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customProperty1.bin" ContentType="application/vnd.openxmlformats-officedocument.spreadsheetml.customProperty"/>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codeName="ThisWorkbook" defaultThemeVersion="166925"/>
  <mc:AlternateContent xmlns:mc="http://schemas.openxmlformats.org/markup-compatibility/2006">
    <mc:Choice Requires="x15">
      <x15ac:absPath xmlns:x15ac="http://schemas.microsoft.com/office/spreadsheetml/2010/11/ac" url="C:\Users\Usuario\OneDrive - Bomberos Bogota\UAE Bomberos Jose Alberto Abril Bernal - OAP\UAE BOMBEROS BOGOTA 2025\PAA 2025 BOGOTA CAMINA SEGURA\MODIF PAA VR 0 A VR 1 - 2025 UAECOB\"/>
    </mc:Choice>
  </mc:AlternateContent>
  <xr:revisionPtr revIDLastSave="0" documentId="13_ncr:1_{C74B96BA-4292-4DC1-AAB4-A95E4292D10F}" xr6:coauthVersionLast="47" xr6:coauthVersionMax="47" xr10:uidLastSave="{00000000-0000-0000-0000-000000000000}"/>
  <bookViews>
    <workbookView xWindow="-110" yWindow="-110" windowWidth="19420" windowHeight="10420" tabRatio="702" firstSheet="1" activeTab="1" xr2:uid="{00000000-000D-0000-FFFF-FFFF00000000}"/>
  </bookViews>
  <sheets>
    <sheet name="Hoja1" sheetId="13" state="hidden" r:id="rId1"/>
    <sheet name="PAA VR1 -2025 UAECOB BCS" sheetId="1" r:id="rId2"/>
    <sheet name="Control PAA Vr0" sheetId="9" state="hidden" r:id="rId3"/>
    <sheet name="Distribución Pptal Inv" sheetId="6" state="hidden" r:id="rId4"/>
    <sheet name="TD" sheetId="4" state="hidden" r:id="rId5"/>
    <sheet name="resumen" sheetId="2" state="hidden" r:id="rId6"/>
  </sheets>
  <externalReferences>
    <externalReference r:id="rId7"/>
    <externalReference r:id="rId8"/>
  </externalReferences>
  <definedNames>
    <definedName name="_xlnm._FilterDatabase" localSheetId="1" hidden="1">'PAA VR1 -2025 UAECOB BCS'!$B$10:$AC$858</definedName>
    <definedName name="_xlnm._FilterDatabase" localSheetId="4" hidden="1">TD!$K$45:$L$45</definedName>
    <definedName name="Sec_Prog_MGA">[1]MGA!$A$7990:$A$8085</definedName>
  </definedNames>
  <calcPr calcId="191029"/>
  <pivotCaches>
    <pivotCache cacheId="0" r:id="rId9"/>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78" i="1" l="1"/>
  <c r="L387" i="1" l="1"/>
  <c r="L293" i="1"/>
  <c r="L292" i="1"/>
  <c r="L291" i="1"/>
  <c r="L290" i="1"/>
  <c r="L289" i="1"/>
  <c r="L288" i="1"/>
  <c r="L287" i="1"/>
  <c r="L286" i="1"/>
  <c r="L285" i="1"/>
  <c r="L284" i="1"/>
  <c r="L283" i="1"/>
  <c r="L282" i="1"/>
  <c r="L281" i="1"/>
  <c r="L280" i="1"/>
  <c r="L279" i="1"/>
  <c r="L278" i="1"/>
  <c r="L277" i="1"/>
  <c r="L276" i="1"/>
  <c r="L275" i="1"/>
  <c r="L274" i="1"/>
  <c r="L273" i="1"/>
  <c r="L272" i="1"/>
  <c r="L271" i="1"/>
  <c r="L270" i="1"/>
  <c r="L269" i="1"/>
  <c r="L268" i="1"/>
  <c r="L267" i="1"/>
  <c r="L21" i="1"/>
  <c r="L26" i="1"/>
  <c r="L32" i="1"/>
  <c r="L31" i="1"/>
  <c r="L28" i="1"/>
  <c r="L19" i="1"/>
  <c r="L18" i="1"/>
  <c r="B442" i="1" l="1"/>
  <c r="B443" i="1" s="1"/>
  <c r="B444" i="1" s="1"/>
  <c r="B445" i="1" s="1"/>
  <c r="B446" i="1" s="1"/>
  <c r="B447" i="1" s="1"/>
  <c r="B448" i="1" s="1"/>
  <c r="B449" i="1" s="1"/>
  <c r="B450" i="1" s="1"/>
  <c r="B451" i="1" s="1"/>
  <c r="B452" i="1" s="1"/>
  <c r="B453" i="1" s="1"/>
  <c r="B454" i="1" s="1"/>
  <c r="B455" i="1" s="1"/>
  <c r="B456" i="1" s="1"/>
  <c r="L41" i="1" l="1"/>
  <c r="L16" i="1"/>
  <c r="L15" i="1"/>
  <c r="L14" i="1"/>
  <c r="L13" i="1"/>
  <c r="L11" i="1"/>
  <c r="L52" i="1" l="1"/>
  <c r="L76" i="1" l="1"/>
  <c r="L87" i="1"/>
  <c r="L84" i="1"/>
  <c r="L83" i="1"/>
  <c r="L80" i="1"/>
  <c r="L79" i="1"/>
  <c r="L75" i="1"/>
  <c r="L74" i="1"/>
  <c r="L72" i="1"/>
  <c r="L68" i="1"/>
  <c r="L66" i="1" l="1"/>
  <c r="L63" i="1"/>
  <c r="L59" i="1"/>
  <c r="L54" i="1"/>
  <c r="L50" i="1"/>
  <c r="L73" i="1" l="1"/>
  <c r="L85" i="1"/>
  <c r="L86" i="1"/>
  <c r="L82" i="1"/>
  <c r="L81" i="1"/>
  <c r="L78" i="1"/>
  <c r="L77" i="1"/>
  <c r="L71" i="1" l="1"/>
  <c r="L70" i="1"/>
  <c r="L69" i="1"/>
  <c r="L67" i="1"/>
  <c r="L65" i="1"/>
  <c r="L64" i="1"/>
  <c r="L62" i="1"/>
  <c r="L61" i="1"/>
  <c r="L60" i="1"/>
  <c r="L58" i="1"/>
  <c r="L57" i="1"/>
  <c r="L56" i="1"/>
  <c r="L55" i="1"/>
  <c r="L53" i="1"/>
  <c r="L51" i="1"/>
  <c r="B424" i="1"/>
  <c r="B425" i="1" s="1"/>
  <c r="B426" i="1" s="1"/>
  <c r="B427" i="1" s="1"/>
  <c r="B428" i="1" s="1"/>
  <c r="B429" i="1" s="1"/>
  <c r="B430" i="1" s="1"/>
  <c r="B431" i="1" s="1"/>
  <c r="B432" i="1" s="1"/>
  <c r="B433" i="1" s="1"/>
  <c r="B434" i="1" s="1"/>
  <c r="B435" i="1" s="1"/>
  <c r="B436" i="1" s="1"/>
  <c r="B437" i="1" s="1"/>
  <c r="B438" i="1" s="1"/>
  <c r="B439" i="1" s="1"/>
  <c r="L201" i="1" l="1"/>
  <c r="L200" i="1"/>
  <c r="L199" i="1"/>
  <c r="L198" i="1"/>
  <c r="L197" i="1"/>
  <c r="L196" i="1"/>
  <c r="L195" i="1"/>
  <c r="L194" i="1"/>
  <c r="L193" i="1"/>
  <c r="L192" i="1"/>
  <c r="L191" i="1"/>
  <c r="L190" i="1"/>
  <c r="L189" i="1"/>
  <c r="L188" i="1"/>
  <c r="L187" i="1"/>
  <c r="L186" i="1"/>
  <c r="L185" i="1"/>
  <c r="L184" i="1"/>
  <c r="L183" i="1"/>
  <c r="L182" i="1"/>
  <c r="L181" i="1"/>
  <c r="L180" i="1"/>
  <c r="L179" i="1"/>
  <c r="L177" i="1"/>
  <c r="L176" i="1"/>
  <c r="L175" i="1"/>
  <c r="L174" i="1"/>
  <c r="L173" i="1"/>
  <c r="L172" i="1"/>
  <c r="L171" i="1"/>
  <c r="L170" i="1"/>
  <c r="L169" i="1"/>
  <c r="L168" i="1"/>
  <c r="L167" i="1"/>
  <c r="L166" i="1"/>
  <c r="L165" i="1"/>
  <c r="L164" i="1"/>
  <c r="L163" i="1"/>
  <c r="L162" i="1"/>
  <c r="L161" i="1"/>
  <c r="L160" i="1"/>
  <c r="L159" i="1"/>
  <c r="L158" i="1"/>
  <c r="L157" i="1"/>
  <c r="L156" i="1"/>
  <c r="L155" i="1"/>
  <c r="L154" i="1"/>
  <c r="L153" i="1"/>
  <c r="L152" i="1"/>
  <c r="L151" i="1"/>
  <c r="L150" i="1"/>
  <c r="L149" i="1"/>
  <c r="L148" i="1"/>
  <c r="L147" i="1"/>
  <c r="L142" i="1"/>
  <c r="L141" i="1"/>
  <c r="L140" i="1" l="1"/>
  <c r="L49" i="1" l="1"/>
  <c r="L48" i="1"/>
  <c r="L47" i="1"/>
  <c r="L46" i="1"/>
  <c r="L45" i="1"/>
  <c r="L44" i="1"/>
  <c r="L43" i="1"/>
  <c r="L42" i="1"/>
  <c r="L40" i="1"/>
  <c r="L39" i="1"/>
  <c r="L38" i="1"/>
  <c r="L223" i="1" l="1"/>
  <c r="L35" i="1"/>
  <c r="T413" i="1" l="1"/>
  <c r="T358" i="1"/>
  <c r="T357" i="1"/>
  <c r="T356" i="1"/>
  <c r="T355" i="1"/>
  <c r="T354" i="1"/>
  <c r="T353" i="1"/>
  <c r="T352" i="1"/>
  <c r="T351" i="1"/>
  <c r="T350" i="1"/>
  <c r="T349" i="1"/>
  <c r="T348" i="1"/>
  <c r="T347" i="1"/>
  <c r="T346" i="1"/>
  <c r="T345" i="1"/>
  <c r="T344" i="1"/>
  <c r="T343" i="1"/>
  <c r="T342" i="1"/>
  <c r="T341" i="1"/>
  <c r="T340" i="1"/>
  <c r="T339" i="1"/>
  <c r="T338" i="1"/>
  <c r="T337" i="1"/>
  <c r="T601" i="1"/>
  <c r="T138" i="1"/>
  <c r="T543" i="1"/>
  <c r="T542" i="1"/>
  <c r="T541" i="1"/>
  <c r="W413" i="1"/>
  <c r="W358" i="1"/>
  <c r="W357" i="1"/>
  <c r="W356" i="1"/>
  <c r="W355" i="1"/>
  <c r="W354" i="1"/>
  <c r="W353" i="1"/>
  <c r="W352" i="1"/>
  <c r="W351" i="1"/>
  <c r="W350" i="1"/>
  <c r="W349" i="1"/>
  <c r="W348" i="1"/>
  <c r="W347" i="1"/>
  <c r="W346" i="1"/>
  <c r="W345" i="1"/>
  <c r="W344" i="1"/>
  <c r="W343" i="1"/>
  <c r="W342" i="1"/>
  <c r="W341" i="1"/>
  <c r="W340" i="1"/>
  <c r="W339" i="1"/>
  <c r="W338" i="1"/>
  <c r="W337" i="1"/>
  <c r="W601" i="1"/>
  <c r="W138" i="1"/>
  <c r="W543" i="1"/>
  <c r="W542" i="1"/>
  <c r="W541" i="1"/>
  <c r="W266" i="1" l="1"/>
  <c r="P601" i="1" l="1"/>
  <c r="Q601" i="1"/>
  <c r="R601" i="1"/>
  <c r="U601" i="1"/>
  <c r="X601" i="1"/>
  <c r="Z601" i="1" l="1"/>
  <c r="Y601" i="1"/>
  <c r="AA601" i="1" s="1"/>
  <c r="P138" i="1" l="1"/>
  <c r="Q138" i="1"/>
  <c r="R138" i="1"/>
  <c r="U138" i="1"/>
  <c r="X138" i="1"/>
  <c r="Z138" i="1" l="1"/>
  <c r="Y138" i="1"/>
  <c r="AA138" i="1" s="1"/>
  <c r="P471" i="1" l="1"/>
  <c r="Q471" i="1"/>
  <c r="R471" i="1"/>
  <c r="T471" i="1"/>
  <c r="P472" i="1"/>
  <c r="Q472" i="1"/>
  <c r="R472" i="1"/>
  <c r="T472" i="1"/>
  <c r="P473" i="1"/>
  <c r="Q473" i="1"/>
  <c r="R473" i="1"/>
  <c r="T473" i="1"/>
  <c r="P474" i="1"/>
  <c r="Q474" i="1"/>
  <c r="R474" i="1"/>
  <c r="T474" i="1"/>
  <c r="P475" i="1"/>
  <c r="Q475" i="1"/>
  <c r="R475" i="1"/>
  <c r="T475" i="1"/>
  <c r="P11" i="1"/>
  <c r="Q11" i="1"/>
  <c r="R11" i="1"/>
  <c r="T11" i="1"/>
  <c r="P12" i="1"/>
  <c r="Q12" i="1"/>
  <c r="R12" i="1"/>
  <c r="T12" i="1"/>
  <c r="P476" i="1"/>
  <c r="Q476" i="1"/>
  <c r="R476" i="1"/>
  <c r="T476" i="1"/>
  <c r="P477" i="1"/>
  <c r="Q477" i="1"/>
  <c r="R477" i="1"/>
  <c r="T477" i="1"/>
  <c r="P13" i="1"/>
  <c r="Q13" i="1"/>
  <c r="R13" i="1"/>
  <c r="T13" i="1"/>
  <c r="P14" i="1"/>
  <c r="Q14" i="1"/>
  <c r="R14" i="1"/>
  <c r="T14" i="1"/>
  <c r="P15" i="1"/>
  <c r="Q15" i="1"/>
  <c r="R15" i="1"/>
  <c r="T15" i="1"/>
  <c r="P16" i="1"/>
  <c r="Q16" i="1"/>
  <c r="R16" i="1"/>
  <c r="T16" i="1"/>
  <c r="P17" i="1"/>
  <c r="Q17" i="1"/>
  <c r="R17" i="1"/>
  <c r="T17" i="1"/>
  <c r="P18" i="1"/>
  <c r="Q18" i="1"/>
  <c r="R18" i="1"/>
  <c r="T18" i="1"/>
  <c r="P19" i="1"/>
  <c r="Q19" i="1"/>
  <c r="R19" i="1"/>
  <c r="T19" i="1"/>
  <c r="P20" i="1"/>
  <c r="Q20" i="1"/>
  <c r="R20" i="1"/>
  <c r="T20" i="1"/>
  <c r="P21" i="1"/>
  <c r="Q21" i="1"/>
  <c r="R21" i="1"/>
  <c r="T21" i="1"/>
  <c r="P22" i="1"/>
  <c r="Q22" i="1"/>
  <c r="R22" i="1"/>
  <c r="T22" i="1"/>
  <c r="P23" i="1"/>
  <c r="Q23" i="1"/>
  <c r="R23" i="1"/>
  <c r="T23" i="1"/>
  <c r="P24" i="1"/>
  <c r="Q24" i="1"/>
  <c r="R24" i="1"/>
  <c r="T24" i="1"/>
  <c r="P25" i="1"/>
  <c r="Q25" i="1"/>
  <c r="R25" i="1"/>
  <c r="T25" i="1"/>
  <c r="P26" i="1"/>
  <c r="Q26" i="1"/>
  <c r="R26" i="1"/>
  <c r="T26" i="1"/>
  <c r="P27" i="1"/>
  <c r="Q27" i="1"/>
  <c r="R27" i="1"/>
  <c r="T27" i="1"/>
  <c r="P28" i="1"/>
  <c r="Q28" i="1"/>
  <c r="R28" i="1"/>
  <c r="T28" i="1"/>
  <c r="P478" i="1"/>
  <c r="Q478" i="1"/>
  <c r="R478" i="1"/>
  <c r="T478" i="1"/>
  <c r="P479" i="1"/>
  <c r="Q479" i="1"/>
  <c r="R479" i="1"/>
  <c r="T479" i="1"/>
  <c r="P480" i="1"/>
  <c r="Q480" i="1"/>
  <c r="R480" i="1"/>
  <c r="T480" i="1"/>
  <c r="P29" i="1"/>
  <c r="Q29" i="1"/>
  <c r="R29" i="1"/>
  <c r="T29" i="1"/>
  <c r="P30" i="1"/>
  <c r="Q30" i="1"/>
  <c r="R30" i="1"/>
  <c r="T30" i="1"/>
  <c r="P31" i="1"/>
  <c r="Q31" i="1"/>
  <c r="R31" i="1"/>
  <c r="T31" i="1"/>
  <c r="P32" i="1"/>
  <c r="Q32" i="1"/>
  <c r="R32" i="1"/>
  <c r="T32" i="1"/>
  <c r="P33" i="1"/>
  <c r="Q33" i="1"/>
  <c r="R33" i="1"/>
  <c r="T33" i="1"/>
  <c r="P34" i="1"/>
  <c r="Q34" i="1"/>
  <c r="R34" i="1"/>
  <c r="T34" i="1"/>
  <c r="P481" i="1"/>
  <c r="Q481" i="1"/>
  <c r="R481" i="1"/>
  <c r="T481" i="1"/>
  <c r="P482" i="1"/>
  <c r="Q482" i="1"/>
  <c r="R482" i="1"/>
  <c r="T482" i="1"/>
  <c r="P483" i="1"/>
  <c r="Q483" i="1"/>
  <c r="R483" i="1"/>
  <c r="T483" i="1"/>
  <c r="P484" i="1"/>
  <c r="Q484" i="1"/>
  <c r="R484" i="1"/>
  <c r="T484" i="1"/>
  <c r="P485" i="1"/>
  <c r="Q485" i="1"/>
  <c r="R485" i="1"/>
  <c r="T485" i="1"/>
  <c r="P486" i="1"/>
  <c r="Q486" i="1"/>
  <c r="R486" i="1"/>
  <c r="T486" i="1"/>
  <c r="P487" i="1"/>
  <c r="Q487" i="1"/>
  <c r="R487" i="1"/>
  <c r="T487" i="1"/>
  <c r="P488" i="1"/>
  <c r="Q488" i="1"/>
  <c r="R488" i="1"/>
  <c r="T488" i="1"/>
  <c r="P489" i="1"/>
  <c r="Q489" i="1"/>
  <c r="R489" i="1"/>
  <c r="T489" i="1"/>
  <c r="P490" i="1"/>
  <c r="Q490" i="1"/>
  <c r="R490" i="1"/>
  <c r="T490" i="1"/>
  <c r="P491" i="1"/>
  <c r="Q491" i="1"/>
  <c r="R491" i="1"/>
  <c r="T491" i="1"/>
  <c r="P492" i="1"/>
  <c r="Q492" i="1"/>
  <c r="R492" i="1"/>
  <c r="T492" i="1"/>
  <c r="P493" i="1"/>
  <c r="Q493" i="1"/>
  <c r="R493" i="1"/>
  <c r="T493" i="1"/>
  <c r="P494" i="1"/>
  <c r="Q494" i="1"/>
  <c r="R494" i="1"/>
  <c r="T494" i="1"/>
  <c r="P495" i="1"/>
  <c r="Q495" i="1"/>
  <c r="R495" i="1"/>
  <c r="T495" i="1"/>
  <c r="P496" i="1"/>
  <c r="Q496" i="1"/>
  <c r="R496" i="1"/>
  <c r="T496" i="1"/>
  <c r="P497" i="1"/>
  <c r="Q497" i="1"/>
  <c r="R497" i="1"/>
  <c r="T497" i="1"/>
  <c r="P498" i="1"/>
  <c r="Q498" i="1"/>
  <c r="R498" i="1"/>
  <c r="T498" i="1"/>
  <c r="P499" i="1"/>
  <c r="Q499" i="1"/>
  <c r="R499" i="1"/>
  <c r="T499" i="1"/>
  <c r="P500" i="1"/>
  <c r="Q500" i="1"/>
  <c r="R500" i="1"/>
  <c r="T500" i="1"/>
  <c r="P501" i="1"/>
  <c r="Q501" i="1"/>
  <c r="R501" i="1"/>
  <c r="T501" i="1"/>
  <c r="P502" i="1"/>
  <c r="Q502" i="1"/>
  <c r="R502" i="1"/>
  <c r="T502" i="1"/>
  <c r="P503" i="1"/>
  <c r="Q503" i="1"/>
  <c r="R503" i="1"/>
  <c r="T503" i="1"/>
  <c r="P504" i="1"/>
  <c r="Q504" i="1"/>
  <c r="R504" i="1"/>
  <c r="T504" i="1"/>
  <c r="P505" i="1"/>
  <c r="Q505" i="1"/>
  <c r="R505" i="1"/>
  <c r="T505" i="1"/>
  <c r="P506" i="1"/>
  <c r="Q506" i="1"/>
  <c r="R506" i="1"/>
  <c r="T506" i="1"/>
  <c r="P507" i="1"/>
  <c r="Q507" i="1"/>
  <c r="R507" i="1"/>
  <c r="T507" i="1"/>
  <c r="P508" i="1"/>
  <c r="Q508" i="1"/>
  <c r="R508" i="1"/>
  <c r="T508" i="1"/>
  <c r="P509" i="1"/>
  <c r="Q509" i="1"/>
  <c r="R509" i="1"/>
  <c r="T509" i="1"/>
  <c r="P510" i="1"/>
  <c r="Q510" i="1"/>
  <c r="R510" i="1"/>
  <c r="T510" i="1"/>
  <c r="P511" i="1"/>
  <c r="Q511" i="1"/>
  <c r="R511" i="1"/>
  <c r="T511" i="1"/>
  <c r="P35" i="1"/>
  <c r="Q35" i="1"/>
  <c r="R35" i="1"/>
  <c r="T35" i="1"/>
  <c r="P36" i="1"/>
  <c r="Q36" i="1"/>
  <c r="R36" i="1"/>
  <c r="T36" i="1"/>
  <c r="P512" i="1"/>
  <c r="Q512" i="1"/>
  <c r="R512" i="1"/>
  <c r="T512" i="1"/>
  <c r="P513" i="1"/>
  <c r="Q513" i="1"/>
  <c r="R513" i="1"/>
  <c r="T513" i="1"/>
  <c r="P514" i="1"/>
  <c r="Q514" i="1"/>
  <c r="R514" i="1"/>
  <c r="T514" i="1"/>
  <c r="P37" i="1"/>
  <c r="Q37" i="1"/>
  <c r="R37" i="1"/>
  <c r="T37" i="1"/>
  <c r="P515" i="1"/>
  <c r="Q515" i="1"/>
  <c r="R515" i="1"/>
  <c r="T515" i="1"/>
  <c r="P516" i="1"/>
  <c r="Q516" i="1"/>
  <c r="R516" i="1"/>
  <c r="T516" i="1"/>
  <c r="P38" i="1"/>
  <c r="Q38" i="1"/>
  <c r="R38" i="1"/>
  <c r="T38" i="1"/>
  <c r="P39" i="1"/>
  <c r="Q39" i="1"/>
  <c r="R39" i="1"/>
  <c r="T39" i="1"/>
  <c r="P517" i="1"/>
  <c r="Q517" i="1"/>
  <c r="R517" i="1"/>
  <c r="T517" i="1"/>
  <c r="P518" i="1"/>
  <c r="Q518" i="1"/>
  <c r="R518" i="1"/>
  <c r="T518" i="1"/>
  <c r="P40" i="1"/>
  <c r="Q40" i="1"/>
  <c r="R40" i="1"/>
  <c r="T40" i="1"/>
  <c r="P519" i="1"/>
  <c r="Q519" i="1"/>
  <c r="R519" i="1"/>
  <c r="T519" i="1"/>
  <c r="P520" i="1"/>
  <c r="Q520" i="1"/>
  <c r="R520" i="1"/>
  <c r="T520" i="1"/>
  <c r="P521" i="1"/>
  <c r="Q521" i="1"/>
  <c r="R521" i="1"/>
  <c r="T521" i="1"/>
  <c r="P41" i="1"/>
  <c r="Q41" i="1"/>
  <c r="R41" i="1"/>
  <c r="T41" i="1"/>
  <c r="P522" i="1"/>
  <c r="Q522" i="1"/>
  <c r="R522" i="1"/>
  <c r="T522" i="1"/>
  <c r="P523" i="1"/>
  <c r="Q523" i="1"/>
  <c r="R523" i="1"/>
  <c r="T523" i="1"/>
  <c r="P42" i="1"/>
  <c r="Q42" i="1"/>
  <c r="R42" i="1"/>
  <c r="T42" i="1"/>
  <c r="P524" i="1"/>
  <c r="Q524" i="1"/>
  <c r="R524" i="1"/>
  <c r="T524" i="1"/>
  <c r="P43" i="1"/>
  <c r="Q43" i="1"/>
  <c r="R43" i="1"/>
  <c r="T43" i="1"/>
  <c r="P525" i="1"/>
  <c r="Q525" i="1"/>
  <c r="R525" i="1"/>
  <c r="T525" i="1"/>
  <c r="P44" i="1"/>
  <c r="Q44" i="1"/>
  <c r="R44" i="1"/>
  <c r="T44" i="1"/>
  <c r="P526" i="1"/>
  <c r="Q526" i="1"/>
  <c r="R526" i="1"/>
  <c r="T526" i="1"/>
  <c r="P45" i="1"/>
  <c r="Q45" i="1"/>
  <c r="R45" i="1"/>
  <c r="T45" i="1"/>
  <c r="P527" i="1"/>
  <c r="Q527" i="1"/>
  <c r="R527" i="1"/>
  <c r="T527" i="1"/>
  <c r="P46" i="1"/>
  <c r="Q46" i="1"/>
  <c r="R46" i="1"/>
  <c r="T46" i="1"/>
  <c r="P47" i="1"/>
  <c r="Q47" i="1"/>
  <c r="R47" i="1"/>
  <c r="T47" i="1"/>
  <c r="P48" i="1"/>
  <c r="Q48" i="1"/>
  <c r="R48" i="1"/>
  <c r="T48" i="1"/>
  <c r="P49" i="1"/>
  <c r="Q49" i="1"/>
  <c r="R49" i="1"/>
  <c r="T49" i="1"/>
  <c r="P50" i="1"/>
  <c r="Q50" i="1"/>
  <c r="R50" i="1"/>
  <c r="T50" i="1"/>
  <c r="P51" i="1"/>
  <c r="Q51" i="1"/>
  <c r="R51" i="1"/>
  <c r="T51" i="1"/>
  <c r="P52" i="1"/>
  <c r="Q52" i="1"/>
  <c r="R52" i="1"/>
  <c r="T52" i="1"/>
  <c r="P53" i="1"/>
  <c r="Q53" i="1"/>
  <c r="R53" i="1"/>
  <c r="T53" i="1"/>
  <c r="P54" i="1"/>
  <c r="Q54" i="1"/>
  <c r="R54" i="1"/>
  <c r="T54" i="1"/>
  <c r="P55" i="1"/>
  <c r="Q55" i="1"/>
  <c r="R55" i="1"/>
  <c r="T55" i="1"/>
  <c r="P56" i="1"/>
  <c r="Q56" i="1"/>
  <c r="R56" i="1"/>
  <c r="T56" i="1"/>
  <c r="P57" i="1"/>
  <c r="Q57" i="1"/>
  <c r="R57" i="1"/>
  <c r="T57" i="1"/>
  <c r="P58" i="1"/>
  <c r="Q58" i="1"/>
  <c r="R58" i="1"/>
  <c r="T58" i="1"/>
  <c r="P59" i="1"/>
  <c r="Q59" i="1"/>
  <c r="R59" i="1"/>
  <c r="T59" i="1"/>
  <c r="P60" i="1"/>
  <c r="Q60" i="1"/>
  <c r="R60" i="1"/>
  <c r="T60" i="1"/>
  <c r="P61" i="1"/>
  <c r="Q61" i="1"/>
  <c r="R61" i="1"/>
  <c r="T61" i="1"/>
  <c r="P62" i="1"/>
  <c r="Q62" i="1"/>
  <c r="R62" i="1"/>
  <c r="T62" i="1"/>
  <c r="P63" i="1"/>
  <c r="Q63" i="1"/>
  <c r="R63" i="1"/>
  <c r="T63" i="1"/>
  <c r="P64" i="1"/>
  <c r="Q64" i="1"/>
  <c r="R64" i="1"/>
  <c r="T64" i="1"/>
  <c r="P65" i="1"/>
  <c r="Q65" i="1"/>
  <c r="R65" i="1"/>
  <c r="T65" i="1"/>
  <c r="P66" i="1"/>
  <c r="Q66" i="1"/>
  <c r="R66" i="1"/>
  <c r="T66" i="1"/>
  <c r="P67" i="1"/>
  <c r="Q67" i="1"/>
  <c r="R67" i="1"/>
  <c r="T67" i="1"/>
  <c r="P68" i="1"/>
  <c r="Q68" i="1"/>
  <c r="R68" i="1"/>
  <c r="T68" i="1"/>
  <c r="P69" i="1"/>
  <c r="Q69" i="1"/>
  <c r="R69" i="1"/>
  <c r="T69" i="1"/>
  <c r="P70" i="1"/>
  <c r="Q70" i="1"/>
  <c r="R70" i="1"/>
  <c r="T70" i="1"/>
  <c r="P71" i="1"/>
  <c r="Q71" i="1"/>
  <c r="R71" i="1"/>
  <c r="T71" i="1"/>
  <c r="P72" i="1"/>
  <c r="Q72" i="1"/>
  <c r="R72" i="1"/>
  <c r="T72" i="1"/>
  <c r="P73" i="1"/>
  <c r="Q73" i="1"/>
  <c r="R73" i="1"/>
  <c r="T73" i="1"/>
  <c r="P74" i="1"/>
  <c r="Q74" i="1"/>
  <c r="R74" i="1"/>
  <c r="T74" i="1"/>
  <c r="P75" i="1"/>
  <c r="Q75" i="1"/>
  <c r="R75" i="1"/>
  <c r="T75" i="1"/>
  <c r="P76" i="1"/>
  <c r="Q76" i="1"/>
  <c r="R76" i="1"/>
  <c r="T76" i="1"/>
  <c r="P77" i="1"/>
  <c r="Q77" i="1"/>
  <c r="R77" i="1"/>
  <c r="T77" i="1"/>
  <c r="P78" i="1"/>
  <c r="Q78" i="1"/>
  <c r="R78" i="1"/>
  <c r="T78" i="1"/>
  <c r="P79" i="1"/>
  <c r="Q79" i="1"/>
  <c r="R79" i="1"/>
  <c r="T79" i="1"/>
  <c r="P80" i="1"/>
  <c r="Q80" i="1"/>
  <c r="R80" i="1"/>
  <c r="T80" i="1"/>
  <c r="P81" i="1"/>
  <c r="Q81" i="1"/>
  <c r="R81" i="1"/>
  <c r="T81" i="1"/>
  <c r="P82" i="1"/>
  <c r="Q82" i="1"/>
  <c r="R82" i="1"/>
  <c r="T82" i="1"/>
  <c r="P83" i="1"/>
  <c r="Q83" i="1"/>
  <c r="R83" i="1"/>
  <c r="T83" i="1"/>
  <c r="P84" i="1"/>
  <c r="Q84" i="1"/>
  <c r="R84" i="1"/>
  <c r="T84" i="1"/>
  <c r="P85" i="1"/>
  <c r="Q85" i="1"/>
  <c r="R85" i="1"/>
  <c r="T85" i="1"/>
  <c r="P86" i="1"/>
  <c r="Q86" i="1"/>
  <c r="R86" i="1"/>
  <c r="T86" i="1"/>
  <c r="P528" i="1"/>
  <c r="Q528" i="1"/>
  <c r="R528" i="1"/>
  <c r="T528" i="1"/>
  <c r="P529" i="1"/>
  <c r="Q529" i="1"/>
  <c r="R529" i="1"/>
  <c r="T529" i="1"/>
  <c r="P87" i="1"/>
  <c r="Q87" i="1"/>
  <c r="R87" i="1"/>
  <c r="T87" i="1"/>
  <c r="P530" i="1"/>
  <c r="Q530" i="1"/>
  <c r="R530" i="1"/>
  <c r="T530" i="1"/>
  <c r="P531" i="1"/>
  <c r="Q531" i="1"/>
  <c r="R531" i="1"/>
  <c r="T531" i="1"/>
  <c r="P532" i="1"/>
  <c r="Q532" i="1"/>
  <c r="R532" i="1"/>
  <c r="T532" i="1"/>
  <c r="P533" i="1"/>
  <c r="Q533" i="1"/>
  <c r="R533" i="1"/>
  <c r="T533" i="1"/>
  <c r="P534" i="1"/>
  <c r="Q534" i="1"/>
  <c r="R534" i="1"/>
  <c r="T534" i="1"/>
  <c r="P535" i="1"/>
  <c r="Q535" i="1"/>
  <c r="R535" i="1"/>
  <c r="T535" i="1"/>
  <c r="P536" i="1"/>
  <c r="Q536" i="1"/>
  <c r="R536" i="1"/>
  <c r="T536" i="1"/>
  <c r="P537" i="1"/>
  <c r="Q537" i="1"/>
  <c r="R537" i="1"/>
  <c r="T537" i="1"/>
  <c r="P538" i="1"/>
  <c r="Q538" i="1"/>
  <c r="R538" i="1"/>
  <c r="T538" i="1"/>
  <c r="P539" i="1"/>
  <c r="Q539" i="1"/>
  <c r="R539" i="1"/>
  <c r="T539" i="1"/>
  <c r="P540" i="1"/>
  <c r="Q540" i="1"/>
  <c r="R540" i="1"/>
  <c r="T540" i="1"/>
  <c r="P541" i="1"/>
  <c r="Q541" i="1"/>
  <c r="R541" i="1"/>
  <c r="P542" i="1"/>
  <c r="Q542" i="1"/>
  <c r="R542" i="1"/>
  <c r="P543" i="1"/>
  <c r="Q543" i="1"/>
  <c r="R543" i="1"/>
  <c r="P544" i="1"/>
  <c r="Q544" i="1"/>
  <c r="R544" i="1"/>
  <c r="T544" i="1"/>
  <c r="P88" i="1"/>
  <c r="Q88" i="1"/>
  <c r="R88" i="1"/>
  <c r="T88" i="1"/>
  <c r="P545" i="1"/>
  <c r="Q545" i="1"/>
  <c r="R545" i="1"/>
  <c r="T545" i="1"/>
  <c r="P546" i="1"/>
  <c r="Q546" i="1"/>
  <c r="R546" i="1"/>
  <c r="T546" i="1"/>
  <c r="P547" i="1"/>
  <c r="Q547" i="1"/>
  <c r="R547" i="1"/>
  <c r="T547" i="1"/>
  <c r="P548" i="1"/>
  <c r="Q548" i="1"/>
  <c r="R548" i="1"/>
  <c r="T548" i="1"/>
  <c r="P549" i="1"/>
  <c r="Q549" i="1"/>
  <c r="R549" i="1"/>
  <c r="T549" i="1"/>
  <c r="P550" i="1"/>
  <c r="Q550" i="1"/>
  <c r="R550" i="1"/>
  <c r="T550" i="1"/>
  <c r="P551" i="1"/>
  <c r="Q551" i="1"/>
  <c r="R551" i="1"/>
  <c r="T551" i="1"/>
  <c r="P552" i="1"/>
  <c r="Q552" i="1"/>
  <c r="R552" i="1"/>
  <c r="T552" i="1"/>
  <c r="P553" i="1"/>
  <c r="Q553" i="1"/>
  <c r="R553" i="1"/>
  <c r="T553" i="1"/>
  <c r="P554" i="1"/>
  <c r="Q554" i="1"/>
  <c r="R554" i="1"/>
  <c r="T554" i="1"/>
  <c r="P89" i="1"/>
  <c r="Q89" i="1"/>
  <c r="R89" i="1"/>
  <c r="T89" i="1"/>
  <c r="P555" i="1"/>
  <c r="Q555" i="1"/>
  <c r="R555" i="1"/>
  <c r="T555" i="1"/>
  <c r="P556" i="1"/>
  <c r="Q556" i="1"/>
  <c r="R556" i="1"/>
  <c r="T556" i="1"/>
  <c r="P557" i="1"/>
  <c r="Q557" i="1"/>
  <c r="R557" i="1"/>
  <c r="T557" i="1"/>
  <c r="P558" i="1"/>
  <c r="Q558" i="1"/>
  <c r="R558" i="1"/>
  <c r="T558" i="1"/>
  <c r="P559" i="1"/>
  <c r="Q559" i="1"/>
  <c r="R559" i="1"/>
  <c r="T559" i="1"/>
  <c r="P90" i="1"/>
  <c r="Q90" i="1"/>
  <c r="R90" i="1"/>
  <c r="T90" i="1"/>
  <c r="P91" i="1"/>
  <c r="Q91" i="1"/>
  <c r="R91" i="1"/>
  <c r="T91" i="1"/>
  <c r="P92" i="1"/>
  <c r="Q92" i="1"/>
  <c r="R92" i="1"/>
  <c r="T92" i="1"/>
  <c r="P93" i="1"/>
  <c r="Q93" i="1"/>
  <c r="R93" i="1"/>
  <c r="T93" i="1"/>
  <c r="P94" i="1"/>
  <c r="Q94" i="1"/>
  <c r="R94" i="1"/>
  <c r="T94" i="1"/>
  <c r="P95" i="1"/>
  <c r="Q95" i="1"/>
  <c r="R95" i="1"/>
  <c r="T95" i="1"/>
  <c r="P96" i="1"/>
  <c r="Q96" i="1"/>
  <c r="R96" i="1"/>
  <c r="T96" i="1"/>
  <c r="P97" i="1"/>
  <c r="Q97" i="1"/>
  <c r="R97" i="1"/>
  <c r="T97" i="1"/>
  <c r="P98" i="1"/>
  <c r="Q98" i="1"/>
  <c r="R98" i="1"/>
  <c r="T98" i="1"/>
  <c r="P99" i="1"/>
  <c r="Q99" i="1"/>
  <c r="R99" i="1"/>
  <c r="T99" i="1"/>
  <c r="P100" i="1"/>
  <c r="Q100" i="1"/>
  <c r="R100" i="1"/>
  <c r="T100" i="1"/>
  <c r="P101" i="1"/>
  <c r="Q101" i="1"/>
  <c r="R101" i="1"/>
  <c r="T101" i="1"/>
  <c r="P102" i="1"/>
  <c r="Q102" i="1"/>
  <c r="R102" i="1"/>
  <c r="T102" i="1"/>
  <c r="P103" i="1"/>
  <c r="Q103" i="1"/>
  <c r="R103" i="1"/>
  <c r="T103" i="1"/>
  <c r="P104" i="1"/>
  <c r="Q104" i="1"/>
  <c r="R104" i="1"/>
  <c r="T104" i="1"/>
  <c r="P105" i="1"/>
  <c r="Q105" i="1"/>
  <c r="R105" i="1"/>
  <c r="T105" i="1"/>
  <c r="P106" i="1"/>
  <c r="Q106" i="1"/>
  <c r="R106" i="1"/>
  <c r="T106" i="1"/>
  <c r="P107" i="1"/>
  <c r="Q107" i="1"/>
  <c r="R107" i="1"/>
  <c r="T107" i="1"/>
  <c r="P108" i="1"/>
  <c r="Q108" i="1"/>
  <c r="R108" i="1"/>
  <c r="T108" i="1"/>
  <c r="P109" i="1"/>
  <c r="Q109" i="1"/>
  <c r="R109" i="1"/>
  <c r="T109" i="1"/>
  <c r="P110" i="1"/>
  <c r="Q110" i="1"/>
  <c r="R110" i="1"/>
  <c r="T110" i="1"/>
  <c r="P111" i="1"/>
  <c r="Q111" i="1"/>
  <c r="R111" i="1"/>
  <c r="T111" i="1"/>
  <c r="P112" i="1"/>
  <c r="Q112" i="1"/>
  <c r="R112" i="1"/>
  <c r="T112" i="1"/>
  <c r="P113" i="1"/>
  <c r="Q113" i="1"/>
  <c r="R113" i="1"/>
  <c r="T113" i="1"/>
  <c r="P114" i="1"/>
  <c r="Q114" i="1"/>
  <c r="R114" i="1"/>
  <c r="T114" i="1"/>
  <c r="P115" i="1"/>
  <c r="Q115" i="1"/>
  <c r="R115" i="1"/>
  <c r="T115" i="1"/>
  <c r="P116" i="1"/>
  <c r="Q116" i="1"/>
  <c r="R116" i="1"/>
  <c r="T116" i="1"/>
  <c r="P117" i="1"/>
  <c r="Q117" i="1"/>
  <c r="R117" i="1"/>
  <c r="T117" i="1"/>
  <c r="P118" i="1"/>
  <c r="Q118" i="1"/>
  <c r="R118" i="1"/>
  <c r="T118" i="1"/>
  <c r="P119" i="1"/>
  <c r="Q119" i="1"/>
  <c r="R119" i="1"/>
  <c r="T119" i="1"/>
  <c r="P120" i="1"/>
  <c r="Q120" i="1"/>
  <c r="R120" i="1"/>
  <c r="T120" i="1"/>
  <c r="P121" i="1"/>
  <c r="Q121" i="1"/>
  <c r="R121" i="1"/>
  <c r="T121" i="1"/>
  <c r="P122" i="1"/>
  <c r="Q122" i="1"/>
  <c r="R122" i="1"/>
  <c r="T122" i="1"/>
  <c r="P123" i="1"/>
  <c r="Q123" i="1"/>
  <c r="R123" i="1"/>
  <c r="T123" i="1"/>
  <c r="P124" i="1"/>
  <c r="Q124" i="1"/>
  <c r="R124" i="1"/>
  <c r="T124" i="1"/>
  <c r="P125" i="1"/>
  <c r="Q125" i="1"/>
  <c r="R125" i="1"/>
  <c r="T125" i="1"/>
  <c r="P126" i="1"/>
  <c r="Q126" i="1"/>
  <c r="R126" i="1"/>
  <c r="T126" i="1"/>
  <c r="P127" i="1"/>
  <c r="Q127" i="1"/>
  <c r="R127" i="1"/>
  <c r="T127" i="1"/>
  <c r="P128" i="1"/>
  <c r="Q128" i="1"/>
  <c r="R128" i="1"/>
  <c r="T128" i="1"/>
  <c r="P129" i="1"/>
  <c r="Q129" i="1"/>
  <c r="R129" i="1"/>
  <c r="T129" i="1"/>
  <c r="P130" i="1"/>
  <c r="Q130" i="1"/>
  <c r="R130" i="1"/>
  <c r="T130" i="1"/>
  <c r="P131" i="1"/>
  <c r="Q131" i="1"/>
  <c r="R131" i="1"/>
  <c r="T131" i="1"/>
  <c r="P132" i="1"/>
  <c r="Q132" i="1"/>
  <c r="R132" i="1"/>
  <c r="T132" i="1"/>
  <c r="P133" i="1"/>
  <c r="Q133" i="1"/>
  <c r="R133" i="1"/>
  <c r="T133" i="1"/>
  <c r="P134" i="1"/>
  <c r="Q134" i="1"/>
  <c r="R134" i="1"/>
  <c r="T134" i="1"/>
  <c r="P135" i="1"/>
  <c r="Q135" i="1"/>
  <c r="R135" i="1"/>
  <c r="T135" i="1"/>
  <c r="P136" i="1"/>
  <c r="Q136" i="1"/>
  <c r="R136" i="1"/>
  <c r="T136" i="1"/>
  <c r="P137" i="1"/>
  <c r="Q137" i="1"/>
  <c r="R137" i="1"/>
  <c r="T137" i="1"/>
  <c r="P560" i="1"/>
  <c r="Q560" i="1"/>
  <c r="R560" i="1"/>
  <c r="T560" i="1"/>
  <c r="P561" i="1"/>
  <c r="Q561" i="1"/>
  <c r="R561" i="1"/>
  <c r="T561" i="1"/>
  <c r="P139" i="1"/>
  <c r="Q139" i="1"/>
  <c r="R139" i="1"/>
  <c r="T139" i="1"/>
  <c r="P140" i="1"/>
  <c r="Q140" i="1"/>
  <c r="R140" i="1"/>
  <c r="T140" i="1"/>
  <c r="P141" i="1"/>
  <c r="Q141" i="1"/>
  <c r="R141" i="1"/>
  <c r="T141" i="1"/>
  <c r="P142" i="1"/>
  <c r="Q142" i="1"/>
  <c r="R142" i="1"/>
  <c r="T142" i="1"/>
  <c r="P143" i="1"/>
  <c r="Q143" i="1"/>
  <c r="R143" i="1"/>
  <c r="T143" i="1"/>
  <c r="P144" i="1"/>
  <c r="Q144" i="1"/>
  <c r="R144" i="1"/>
  <c r="T144" i="1"/>
  <c r="P145" i="1"/>
  <c r="Q145" i="1"/>
  <c r="R145" i="1"/>
  <c r="T145" i="1"/>
  <c r="P146" i="1"/>
  <c r="Q146" i="1"/>
  <c r="R146" i="1"/>
  <c r="T146" i="1"/>
  <c r="P147" i="1"/>
  <c r="Q147" i="1"/>
  <c r="R147" i="1"/>
  <c r="T147" i="1"/>
  <c r="P148" i="1"/>
  <c r="Q148" i="1"/>
  <c r="R148" i="1"/>
  <c r="T148" i="1"/>
  <c r="P562" i="1"/>
  <c r="Q562" i="1"/>
  <c r="R562" i="1"/>
  <c r="T562" i="1"/>
  <c r="P149" i="1"/>
  <c r="Q149" i="1"/>
  <c r="R149" i="1"/>
  <c r="T149" i="1"/>
  <c r="P150" i="1"/>
  <c r="Q150" i="1"/>
  <c r="R150" i="1"/>
  <c r="T150" i="1"/>
  <c r="P151" i="1"/>
  <c r="Q151" i="1"/>
  <c r="R151" i="1"/>
  <c r="T151" i="1"/>
  <c r="P152" i="1"/>
  <c r="Q152" i="1"/>
  <c r="R152" i="1"/>
  <c r="T152" i="1"/>
  <c r="P153" i="1"/>
  <c r="Q153" i="1"/>
  <c r="R153" i="1"/>
  <c r="T153" i="1"/>
  <c r="P154" i="1"/>
  <c r="Q154" i="1"/>
  <c r="R154" i="1"/>
  <c r="T154" i="1"/>
  <c r="P155" i="1"/>
  <c r="Q155" i="1"/>
  <c r="R155" i="1"/>
  <c r="T155" i="1"/>
  <c r="P156" i="1"/>
  <c r="Q156" i="1"/>
  <c r="R156" i="1"/>
  <c r="T156" i="1"/>
  <c r="P157" i="1"/>
  <c r="Q157" i="1"/>
  <c r="R157" i="1"/>
  <c r="T157" i="1"/>
  <c r="P158" i="1"/>
  <c r="Q158" i="1"/>
  <c r="R158" i="1"/>
  <c r="T158" i="1"/>
  <c r="P159" i="1"/>
  <c r="Q159" i="1"/>
  <c r="R159" i="1"/>
  <c r="T159" i="1"/>
  <c r="P160" i="1"/>
  <c r="Q160" i="1"/>
  <c r="R160" i="1"/>
  <c r="T160" i="1"/>
  <c r="P161" i="1"/>
  <c r="Q161" i="1"/>
  <c r="R161" i="1"/>
  <c r="T161" i="1"/>
  <c r="P162" i="1"/>
  <c r="Q162" i="1"/>
  <c r="R162" i="1"/>
  <c r="T162" i="1"/>
  <c r="P163" i="1"/>
  <c r="Q163" i="1"/>
  <c r="R163" i="1"/>
  <c r="T163" i="1"/>
  <c r="P164" i="1"/>
  <c r="Q164" i="1"/>
  <c r="R164" i="1"/>
  <c r="T164" i="1"/>
  <c r="P165" i="1"/>
  <c r="Q165" i="1"/>
  <c r="R165" i="1"/>
  <c r="T165" i="1"/>
  <c r="P166" i="1"/>
  <c r="Q166" i="1"/>
  <c r="R166" i="1"/>
  <c r="T166" i="1"/>
  <c r="P167" i="1"/>
  <c r="Q167" i="1"/>
  <c r="R167" i="1"/>
  <c r="T167" i="1"/>
  <c r="P168" i="1"/>
  <c r="Q168" i="1"/>
  <c r="R168" i="1"/>
  <c r="T168" i="1"/>
  <c r="P169" i="1"/>
  <c r="Q169" i="1"/>
  <c r="R169" i="1"/>
  <c r="T169" i="1"/>
  <c r="P170" i="1"/>
  <c r="Q170" i="1"/>
  <c r="R170" i="1"/>
  <c r="T170" i="1"/>
  <c r="P171" i="1"/>
  <c r="Q171" i="1"/>
  <c r="R171" i="1"/>
  <c r="T171" i="1"/>
  <c r="P172" i="1"/>
  <c r="Q172" i="1"/>
  <c r="R172" i="1"/>
  <c r="T172" i="1"/>
  <c r="P173" i="1"/>
  <c r="Q173" i="1"/>
  <c r="R173" i="1"/>
  <c r="T173" i="1"/>
  <c r="P174" i="1"/>
  <c r="Q174" i="1"/>
  <c r="R174" i="1"/>
  <c r="T174" i="1"/>
  <c r="P175" i="1"/>
  <c r="Q175" i="1"/>
  <c r="R175" i="1"/>
  <c r="T175" i="1"/>
  <c r="P176" i="1"/>
  <c r="Q176" i="1"/>
  <c r="R176" i="1"/>
  <c r="T176" i="1"/>
  <c r="P177" i="1"/>
  <c r="Q177" i="1"/>
  <c r="R177" i="1"/>
  <c r="T177" i="1"/>
  <c r="P178" i="1"/>
  <c r="Q178" i="1"/>
  <c r="R178" i="1"/>
  <c r="T178" i="1"/>
  <c r="P563" i="1"/>
  <c r="Q563" i="1"/>
  <c r="R563" i="1"/>
  <c r="T563" i="1"/>
  <c r="P564" i="1"/>
  <c r="Q564" i="1"/>
  <c r="R564" i="1"/>
  <c r="T564" i="1"/>
  <c r="P179" i="1"/>
  <c r="Q179" i="1"/>
  <c r="R179" i="1"/>
  <c r="T179" i="1"/>
  <c r="P180" i="1"/>
  <c r="Q180" i="1"/>
  <c r="R180" i="1"/>
  <c r="T180" i="1"/>
  <c r="P181" i="1"/>
  <c r="Q181" i="1"/>
  <c r="R181" i="1"/>
  <c r="T181" i="1"/>
  <c r="P182" i="1"/>
  <c r="Q182" i="1"/>
  <c r="R182" i="1"/>
  <c r="T182" i="1"/>
  <c r="P183" i="1"/>
  <c r="Q183" i="1"/>
  <c r="R183" i="1"/>
  <c r="T183" i="1"/>
  <c r="P184" i="1"/>
  <c r="Q184" i="1"/>
  <c r="R184" i="1"/>
  <c r="T184" i="1"/>
  <c r="P185" i="1"/>
  <c r="Q185" i="1"/>
  <c r="R185" i="1"/>
  <c r="T185" i="1"/>
  <c r="P186" i="1"/>
  <c r="Q186" i="1"/>
  <c r="R186" i="1"/>
  <c r="T186" i="1"/>
  <c r="P187" i="1"/>
  <c r="Q187" i="1"/>
  <c r="R187" i="1"/>
  <c r="T187" i="1"/>
  <c r="P188" i="1"/>
  <c r="Q188" i="1"/>
  <c r="R188" i="1"/>
  <c r="T188" i="1"/>
  <c r="P189" i="1"/>
  <c r="Q189" i="1"/>
  <c r="R189" i="1"/>
  <c r="T189" i="1"/>
  <c r="P190" i="1"/>
  <c r="Q190" i="1"/>
  <c r="R190" i="1"/>
  <c r="T190" i="1"/>
  <c r="P191" i="1"/>
  <c r="Q191" i="1"/>
  <c r="R191" i="1"/>
  <c r="T191" i="1"/>
  <c r="P192" i="1"/>
  <c r="Q192" i="1"/>
  <c r="R192" i="1"/>
  <c r="T192" i="1"/>
  <c r="P193" i="1"/>
  <c r="Q193" i="1"/>
  <c r="R193" i="1"/>
  <c r="T193" i="1"/>
  <c r="P194" i="1"/>
  <c r="Q194" i="1"/>
  <c r="R194" i="1"/>
  <c r="T194" i="1"/>
  <c r="P195" i="1"/>
  <c r="Q195" i="1"/>
  <c r="R195" i="1"/>
  <c r="T195" i="1"/>
  <c r="P196" i="1"/>
  <c r="Q196" i="1"/>
  <c r="R196" i="1"/>
  <c r="T196" i="1"/>
  <c r="P197" i="1"/>
  <c r="Q197" i="1"/>
  <c r="R197" i="1"/>
  <c r="T197" i="1"/>
  <c r="P565" i="1"/>
  <c r="Q565" i="1"/>
  <c r="R565" i="1"/>
  <c r="T565" i="1"/>
  <c r="P198" i="1"/>
  <c r="Q198" i="1"/>
  <c r="R198" i="1"/>
  <c r="T198" i="1"/>
  <c r="P199" i="1"/>
  <c r="Q199" i="1"/>
  <c r="R199" i="1"/>
  <c r="T199" i="1"/>
  <c r="P200" i="1"/>
  <c r="Q200" i="1"/>
  <c r="R200" i="1"/>
  <c r="T200" i="1"/>
  <c r="P201" i="1"/>
  <c r="Q201" i="1"/>
  <c r="R201" i="1"/>
  <c r="T201" i="1"/>
  <c r="P566" i="1"/>
  <c r="Q566" i="1"/>
  <c r="R566" i="1"/>
  <c r="T566" i="1"/>
  <c r="P567" i="1"/>
  <c r="Q567" i="1"/>
  <c r="R567" i="1"/>
  <c r="T567" i="1"/>
  <c r="P568" i="1"/>
  <c r="Q568" i="1"/>
  <c r="R568" i="1"/>
  <c r="T568" i="1"/>
  <c r="P569" i="1"/>
  <c r="Q569" i="1"/>
  <c r="R569" i="1"/>
  <c r="T569" i="1"/>
  <c r="P570" i="1"/>
  <c r="Q570" i="1"/>
  <c r="R570" i="1"/>
  <c r="T570" i="1"/>
  <c r="P571" i="1"/>
  <c r="Q571" i="1"/>
  <c r="R571" i="1"/>
  <c r="T571" i="1"/>
  <c r="P572" i="1"/>
  <c r="Q572" i="1"/>
  <c r="R572" i="1"/>
  <c r="T572" i="1"/>
  <c r="P202" i="1"/>
  <c r="Q202" i="1"/>
  <c r="R202" i="1"/>
  <c r="T202" i="1"/>
  <c r="P203" i="1"/>
  <c r="Q203" i="1"/>
  <c r="R203" i="1"/>
  <c r="T203" i="1"/>
  <c r="P204" i="1"/>
  <c r="Q204" i="1"/>
  <c r="R204" i="1"/>
  <c r="T204" i="1"/>
  <c r="P205" i="1"/>
  <c r="Q205" i="1"/>
  <c r="R205" i="1"/>
  <c r="T205" i="1"/>
  <c r="P206" i="1"/>
  <c r="Q206" i="1"/>
  <c r="R206" i="1"/>
  <c r="T206" i="1"/>
  <c r="P207" i="1"/>
  <c r="Q207" i="1"/>
  <c r="R207" i="1"/>
  <c r="T207" i="1"/>
  <c r="P208" i="1"/>
  <c r="Q208" i="1"/>
  <c r="R208" i="1"/>
  <c r="T208" i="1"/>
  <c r="P209" i="1"/>
  <c r="Q209" i="1"/>
  <c r="R209" i="1"/>
  <c r="T209" i="1"/>
  <c r="P573" i="1"/>
  <c r="Q573" i="1"/>
  <c r="R573" i="1"/>
  <c r="T573" i="1"/>
  <c r="P574" i="1"/>
  <c r="Q574" i="1"/>
  <c r="R574" i="1"/>
  <c r="T574" i="1"/>
  <c r="P210" i="1"/>
  <c r="Q210" i="1"/>
  <c r="R210" i="1"/>
  <c r="T210" i="1"/>
  <c r="P575" i="1"/>
  <c r="Q575" i="1"/>
  <c r="R575" i="1"/>
  <c r="T575" i="1"/>
  <c r="P576" i="1"/>
  <c r="Q576" i="1"/>
  <c r="R576" i="1"/>
  <c r="T576" i="1"/>
  <c r="P577" i="1"/>
  <c r="Q577" i="1"/>
  <c r="R577" i="1"/>
  <c r="T577" i="1"/>
  <c r="P578" i="1"/>
  <c r="Q578" i="1"/>
  <c r="R578" i="1"/>
  <c r="T578" i="1"/>
  <c r="P579" i="1"/>
  <c r="Q579" i="1"/>
  <c r="R579" i="1"/>
  <c r="T579" i="1"/>
  <c r="P580" i="1"/>
  <c r="Q580" i="1"/>
  <c r="R580" i="1"/>
  <c r="T580" i="1"/>
  <c r="P581" i="1"/>
  <c r="Q581" i="1"/>
  <c r="R581" i="1"/>
  <c r="T581" i="1"/>
  <c r="P211" i="1"/>
  <c r="Q211" i="1"/>
  <c r="R211" i="1"/>
  <c r="T211" i="1"/>
  <c r="P582" i="1"/>
  <c r="Q582" i="1"/>
  <c r="R582" i="1"/>
  <c r="T582" i="1"/>
  <c r="P583" i="1"/>
  <c r="Q583" i="1"/>
  <c r="R583" i="1"/>
  <c r="T583" i="1"/>
  <c r="P584" i="1"/>
  <c r="Q584" i="1"/>
  <c r="R584" i="1"/>
  <c r="T584" i="1"/>
  <c r="P212" i="1"/>
  <c r="Q212" i="1"/>
  <c r="R212" i="1"/>
  <c r="T212" i="1"/>
  <c r="P585" i="1"/>
  <c r="Q585" i="1"/>
  <c r="R585" i="1"/>
  <c r="T585" i="1"/>
  <c r="P213" i="1"/>
  <c r="Q213" i="1"/>
  <c r="R213" i="1"/>
  <c r="T213" i="1"/>
  <c r="P586" i="1"/>
  <c r="Q586" i="1"/>
  <c r="R586" i="1"/>
  <c r="T586" i="1"/>
  <c r="P214" i="1"/>
  <c r="Q214" i="1"/>
  <c r="R214" i="1"/>
  <c r="T214" i="1"/>
  <c r="P215" i="1"/>
  <c r="Q215" i="1"/>
  <c r="R215" i="1"/>
  <c r="T215" i="1"/>
  <c r="P587" i="1"/>
  <c r="Q587" i="1"/>
  <c r="R587" i="1"/>
  <c r="T587" i="1"/>
  <c r="P216" i="1"/>
  <c r="Q216" i="1"/>
  <c r="R216" i="1"/>
  <c r="T216" i="1"/>
  <c r="P217" i="1"/>
  <c r="Q217" i="1"/>
  <c r="R217" i="1"/>
  <c r="T217" i="1"/>
  <c r="P218" i="1"/>
  <c r="Q218" i="1"/>
  <c r="R218" i="1"/>
  <c r="T218" i="1"/>
  <c r="P219" i="1"/>
  <c r="Q219" i="1"/>
  <c r="R219" i="1"/>
  <c r="T219" i="1"/>
  <c r="P220" i="1"/>
  <c r="Q220" i="1"/>
  <c r="R220" i="1"/>
  <c r="T220" i="1"/>
  <c r="P588" i="1"/>
  <c r="Q588" i="1"/>
  <c r="R588" i="1"/>
  <c r="T588" i="1"/>
  <c r="P221" i="1"/>
  <c r="Q221" i="1"/>
  <c r="R221" i="1"/>
  <c r="T221" i="1"/>
  <c r="P589" i="1"/>
  <c r="Q589" i="1"/>
  <c r="R589" i="1"/>
  <c r="T589" i="1"/>
  <c r="P590" i="1"/>
  <c r="Q590" i="1"/>
  <c r="R590" i="1"/>
  <c r="T590" i="1"/>
  <c r="P591" i="1"/>
  <c r="Q591" i="1"/>
  <c r="R591" i="1"/>
  <c r="T591" i="1"/>
  <c r="P592" i="1"/>
  <c r="Q592" i="1"/>
  <c r="R592" i="1"/>
  <c r="T592" i="1"/>
  <c r="P222" i="1"/>
  <c r="Q222" i="1"/>
  <c r="R222" i="1"/>
  <c r="T222" i="1"/>
  <c r="P593" i="1"/>
  <c r="Q593" i="1"/>
  <c r="R593" i="1"/>
  <c r="T593" i="1"/>
  <c r="P594" i="1"/>
  <c r="Q594" i="1"/>
  <c r="R594" i="1"/>
  <c r="T594" i="1"/>
  <c r="P595" i="1"/>
  <c r="Q595" i="1"/>
  <c r="R595" i="1"/>
  <c r="T595" i="1"/>
  <c r="P596" i="1"/>
  <c r="Q596" i="1"/>
  <c r="R596" i="1"/>
  <c r="T596" i="1"/>
  <c r="P597" i="1"/>
  <c r="Q597" i="1"/>
  <c r="R597" i="1"/>
  <c r="T597" i="1"/>
  <c r="P598" i="1"/>
  <c r="Q598" i="1"/>
  <c r="R598" i="1"/>
  <c r="T598" i="1"/>
  <c r="P599" i="1"/>
  <c r="Q599" i="1"/>
  <c r="R599" i="1"/>
  <c r="T599" i="1"/>
  <c r="P600" i="1"/>
  <c r="Q600" i="1"/>
  <c r="R600" i="1"/>
  <c r="T600" i="1"/>
  <c r="P223" i="1"/>
  <c r="Q223" i="1"/>
  <c r="R223" i="1"/>
  <c r="T223" i="1"/>
  <c r="P224" i="1"/>
  <c r="Q224" i="1"/>
  <c r="R224" i="1"/>
  <c r="T224" i="1"/>
  <c r="P225" i="1"/>
  <c r="Q225" i="1"/>
  <c r="R225" i="1"/>
  <c r="T225" i="1"/>
  <c r="P226" i="1"/>
  <c r="Q226" i="1"/>
  <c r="R226" i="1"/>
  <c r="T226" i="1"/>
  <c r="P602" i="1"/>
  <c r="Q602" i="1"/>
  <c r="R602" i="1"/>
  <c r="T602" i="1"/>
  <c r="P603" i="1"/>
  <c r="Q603" i="1"/>
  <c r="R603" i="1"/>
  <c r="T603" i="1"/>
  <c r="P227" i="1"/>
  <c r="Q227" i="1"/>
  <c r="R227" i="1"/>
  <c r="T227" i="1"/>
  <c r="P228" i="1"/>
  <c r="Q228" i="1"/>
  <c r="R228" i="1"/>
  <c r="T228" i="1"/>
  <c r="P229" i="1"/>
  <c r="Q229" i="1"/>
  <c r="R229" i="1"/>
  <c r="T229" i="1"/>
  <c r="P230" i="1"/>
  <c r="Q230" i="1"/>
  <c r="R230" i="1"/>
  <c r="T230" i="1"/>
  <c r="P604" i="1"/>
  <c r="Q604" i="1"/>
  <c r="R604" i="1"/>
  <c r="T604" i="1"/>
  <c r="P231" i="1"/>
  <c r="Q231" i="1"/>
  <c r="R231" i="1"/>
  <c r="T231" i="1"/>
  <c r="P232" i="1"/>
  <c r="Q232" i="1"/>
  <c r="R232" i="1"/>
  <c r="T232" i="1"/>
  <c r="P233" i="1"/>
  <c r="Q233" i="1"/>
  <c r="R233" i="1"/>
  <c r="T233" i="1"/>
  <c r="P234" i="1"/>
  <c r="Q234" i="1"/>
  <c r="R234" i="1"/>
  <c r="T234" i="1"/>
  <c r="P605" i="1"/>
  <c r="Q605" i="1"/>
  <c r="R605" i="1"/>
  <c r="T605" i="1"/>
  <c r="P235" i="1"/>
  <c r="Q235" i="1"/>
  <c r="R235" i="1"/>
  <c r="T235" i="1"/>
  <c r="P236" i="1"/>
  <c r="Q236" i="1"/>
  <c r="R236" i="1"/>
  <c r="T236" i="1"/>
  <c r="P237" i="1"/>
  <c r="Q237" i="1"/>
  <c r="R237" i="1"/>
  <c r="T237" i="1"/>
  <c r="P238" i="1"/>
  <c r="Q238" i="1"/>
  <c r="R238" i="1"/>
  <c r="T238" i="1"/>
  <c r="P239" i="1"/>
  <c r="Q239" i="1"/>
  <c r="R239" i="1"/>
  <c r="T239" i="1"/>
  <c r="P240" i="1"/>
  <c r="Q240" i="1"/>
  <c r="R240" i="1"/>
  <c r="T240" i="1"/>
  <c r="P241" i="1"/>
  <c r="Q241" i="1"/>
  <c r="R241" i="1"/>
  <c r="T241" i="1"/>
  <c r="P242" i="1"/>
  <c r="Q242" i="1"/>
  <c r="R242" i="1"/>
  <c r="T242" i="1"/>
  <c r="P243" i="1"/>
  <c r="Q243" i="1"/>
  <c r="R243" i="1"/>
  <c r="T243" i="1"/>
  <c r="P244" i="1"/>
  <c r="Q244" i="1"/>
  <c r="R244" i="1"/>
  <c r="T244" i="1"/>
  <c r="P245" i="1"/>
  <c r="Q245" i="1"/>
  <c r="R245" i="1"/>
  <c r="T245" i="1"/>
  <c r="P246" i="1"/>
  <c r="Q246" i="1"/>
  <c r="R246" i="1"/>
  <c r="T246" i="1"/>
  <c r="P247" i="1"/>
  <c r="Q247" i="1"/>
  <c r="R247" i="1"/>
  <c r="T247" i="1"/>
  <c r="P248" i="1"/>
  <c r="Q248" i="1"/>
  <c r="R248" i="1"/>
  <c r="T248" i="1"/>
  <c r="P249" i="1"/>
  <c r="Q249" i="1"/>
  <c r="R249" i="1"/>
  <c r="T249" i="1"/>
  <c r="P250" i="1"/>
  <c r="Q250" i="1"/>
  <c r="R250" i="1"/>
  <c r="T250" i="1"/>
  <c r="P251" i="1"/>
  <c r="Q251" i="1"/>
  <c r="R251" i="1"/>
  <c r="T251" i="1"/>
  <c r="P252" i="1"/>
  <c r="Q252" i="1"/>
  <c r="R252" i="1"/>
  <c r="T252" i="1"/>
  <c r="P606" i="1"/>
  <c r="Q606" i="1"/>
  <c r="R606" i="1"/>
  <c r="T606" i="1"/>
  <c r="P607" i="1"/>
  <c r="Q607" i="1"/>
  <c r="R607" i="1"/>
  <c r="T607" i="1"/>
  <c r="P608" i="1"/>
  <c r="Q608" i="1"/>
  <c r="R608" i="1"/>
  <c r="T608" i="1"/>
  <c r="P609" i="1"/>
  <c r="Q609" i="1"/>
  <c r="R609" i="1"/>
  <c r="T609" i="1"/>
  <c r="P610" i="1"/>
  <c r="Q610" i="1"/>
  <c r="R610" i="1"/>
  <c r="T610" i="1"/>
  <c r="P253" i="1"/>
  <c r="Q253" i="1"/>
  <c r="R253" i="1"/>
  <c r="T253" i="1"/>
  <c r="P611" i="1"/>
  <c r="Q611" i="1"/>
  <c r="R611" i="1"/>
  <c r="T611" i="1"/>
  <c r="P612" i="1"/>
  <c r="Q612" i="1"/>
  <c r="R612" i="1"/>
  <c r="T612" i="1"/>
  <c r="P254" i="1"/>
  <c r="Q254" i="1"/>
  <c r="R254" i="1"/>
  <c r="T254" i="1"/>
  <c r="P613" i="1"/>
  <c r="Q613" i="1"/>
  <c r="R613" i="1"/>
  <c r="T613" i="1"/>
  <c r="P614" i="1"/>
  <c r="Q614" i="1"/>
  <c r="R614" i="1"/>
  <c r="T614" i="1"/>
  <c r="P255" i="1"/>
  <c r="Q255" i="1"/>
  <c r="R255" i="1"/>
  <c r="T255" i="1"/>
  <c r="P256" i="1"/>
  <c r="Q256" i="1"/>
  <c r="R256" i="1"/>
  <c r="T256" i="1"/>
  <c r="P615" i="1"/>
  <c r="Q615" i="1"/>
  <c r="R615" i="1"/>
  <c r="T615" i="1"/>
  <c r="P616" i="1"/>
  <c r="Q616" i="1"/>
  <c r="R616" i="1"/>
  <c r="T616" i="1"/>
  <c r="P257" i="1"/>
  <c r="Q257" i="1"/>
  <c r="R257" i="1"/>
  <c r="T257" i="1"/>
  <c r="P617" i="1"/>
  <c r="Q617" i="1"/>
  <c r="R617" i="1"/>
  <c r="T617" i="1"/>
  <c r="P258" i="1"/>
  <c r="Q258" i="1"/>
  <c r="R258" i="1"/>
  <c r="T258" i="1"/>
  <c r="P259" i="1"/>
  <c r="Q259" i="1"/>
  <c r="R259" i="1"/>
  <c r="T259" i="1"/>
  <c r="P260" i="1"/>
  <c r="Q260" i="1"/>
  <c r="R260" i="1"/>
  <c r="T260" i="1"/>
  <c r="P261" i="1"/>
  <c r="Q261" i="1"/>
  <c r="R261" i="1"/>
  <c r="T261" i="1"/>
  <c r="P262" i="1"/>
  <c r="Q262" i="1"/>
  <c r="R262" i="1"/>
  <c r="T262" i="1"/>
  <c r="P618" i="1"/>
  <c r="Q618" i="1"/>
  <c r="R618" i="1"/>
  <c r="T618" i="1"/>
  <c r="P263" i="1"/>
  <c r="Q263" i="1"/>
  <c r="R263" i="1"/>
  <c r="T263" i="1"/>
  <c r="P264" i="1"/>
  <c r="Q264" i="1"/>
  <c r="R264" i="1"/>
  <c r="T264" i="1"/>
  <c r="P265" i="1"/>
  <c r="Q265" i="1"/>
  <c r="R265" i="1"/>
  <c r="T265" i="1"/>
  <c r="P619" i="1"/>
  <c r="Q619" i="1"/>
  <c r="R619" i="1"/>
  <c r="T619" i="1"/>
  <c r="P266" i="1"/>
  <c r="Q266" i="1"/>
  <c r="R266" i="1"/>
  <c r="T266" i="1"/>
  <c r="P267" i="1"/>
  <c r="Q267" i="1"/>
  <c r="R267" i="1"/>
  <c r="T267" i="1"/>
  <c r="P268" i="1"/>
  <c r="Q268" i="1"/>
  <c r="R268" i="1"/>
  <c r="T268" i="1"/>
  <c r="P269" i="1"/>
  <c r="Q269" i="1"/>
  <c r="R269" i="1"/>
  <c r="T269" i="1"/>
  <c r="P270" i="1"/>
  <c r="Q270" i="1"/>
  <c r="R270" i="1"/>
  <c r="T270" i="1"/>
  <c r="P271" i="1"/>
  <c r="Q271" i="1"/>
  <c r="R271" i="1"/>
  <c r="T271" i="1"/>
  <c r="P272" i="1"/>
  <c r="Q272" i="1"/>
  <c r="R272" i="1"/>
  <c r="T272" i="1"/>
  <c r="P273" i="1"/>
  <c r="Q273" i="1"/>
  <c r="R273" i="1"/>
  <c r="T273" i="1"/>
  <c r="P274" i="1"/>
  <c r="Q274" i="1"/>
  <c r="R274" i="1"/>
  <c r="T274" i="1"/>
  <c r="P275" i="1"/>
  <c r="Q275" i="1"/>
  <c r="R275" i="1"/>
  <c r="T275" i="1"/>
  <c r="P276" i="1"/>
  <c r="Q276" i="1"/>
  <c r="R276" i="1"/>
  <c r="T276" i="1"/>
  <c r="P277" i="1"/>
  <c r="Q277" i="1"/>
  <c r="R277" i="1"/>
  <c r="T277" i="1"/>
  <c r="P278" i="1"/>
  <c r="Q278" i="1"/>
  <c r="R278" i="1"/>
  <c r="T278" i="1"/>
  <c r="P279" i="1"/>
  <c r="Q279" i="1"/>
  <c r="R279" i="1"/>
  <c r="T279" i="1"/>
  <c r="P280" i="1"/>
  <c r="Q280" i="1"/>
  <c r="R280" i="1"/>
  <c r="T280" i="1"/>
  <c r="P281" i="1"/>
  <c r="Q281" i="1"/>
  <c r="R281" i="1"/>
  <c r="T281" i="1"/>
  <c r="P282" i="1"/>
  <c r="Q282" i="1"/>
  <c r="R282" i="1"/>
  <c r="T282" i="1"/>
  <c r="P283" i="1"/>
  <c r="Q283" i="1"/>
  <c r="R283" i="1"/>
  <c r="T283" i="1"/>
  <c r="P284" i="1"/>
  <c r="Q284" i="1"/>
  <c r="R284" i="1"/>
  <c r="T284" i="1"/>
  <c r="P285" i="1"/>
  <c r="Q285" i="1"/>
  <c r="R285" i="1"/>
  <c r="T285" i="1"/>
  <c r="P286" i="1"/>
  <c r="Q286" i="1"/>
  <c r="R286" i="1"/>
  <c r="T286" i="1"/>
  <c r="P287" i="1"/>
  <c r="Q287" i="1"/>
  <c r="R287" i="1"/>
  <c r="T287" i="1"/>
  <c r="P288" i="1"/>
  <c r="Q288" i="1"/>
  <c r="R288" i="1"/>
  <c r="T288" i="1"/>
  <c r="P289" i="1"/>
  <c r="Q289" i="1"/>
  <c r="R289" i="1"/>
  <c r="T289" i="1"/>
  <c r="P290" i="1"/>
  <c r="Q290" i="1"/>
  <c r="R290" i="1"/>
  <c r="T290" i="1"/>
  <c r="P291" i="1"/>
  <c r="Q291" i="1"/>
  <c r="R291" i="1"/>
  <c r="T291" i="1"/>
  <c r="P292" i="1"/>
  <c r="Q292" i="1"/>
  <c r="R292" i="1"/>
  <c r="T292" i="1"/>
  <c r="P293" i="1"/>
  <c r="Q293" i="1"/>
  <c r="R293" i="1"/>
  <c r="T293" i="1"/>
  <c r="P294" i="1"/>
  <c r="Q294" i="1"/>
  <c r="R294" i="1"/>
  <c r="T294" i="1"/>
  <c r="P295" i="1"/>
  <c r="Q295" i="1"/>
  <c r="R295" i="1"/>
  <c r="T295" i="1"/>
  <c r="P296" i="1"/>
  <c r="Q296" i="1"/>
  <c r="R296" i="1"/>
  <c r="T296" i="1"/>
  <c r="P297" i="1"/>
  <c r="Q297" i="1"/>
  <c r="R297" i="1"/>
  <c r="T297" i="1"/>
  <c r="P298" i="1"/>
  <c r="Q298" i="1"/>
  <c r="R298" i="1"/>
  <c r="T298" i="1"/>
  <c r="P299" i="1"/>
  <c r="Q299" i="1"/>
  <c r="R299" i="1"/>
  <c r="T299" i="1"/>
  <c r="P300" i="1"/>
  <c r="Q300" i="1"/>
  <c r="R300" i="1"/>
  <c r="T300" i="1"/>
  <c r="P301" i="1"/>
  <c r="Q301" i="1"/>
  <c r="R301" i="1"/>
  <c r="T301" i="1"/>
  <c r="P302" i="1"/>
  <c r="Q302" i="1"/>
  <c r="R302" i="1"/>
  <c r="T302" i="1"/>
  <c r="P303" i="1"/>
  <c r="Q303" i="1"/>
  <c r="R303" i="1"/>
  <c r="T303" i="1"/>
  <c r="P304" i="1"/>
  <c r="Q304" i="1"/>
  <c r="R304" i="1"/>
  <c r="T304" i="1"/>
  <c r="P305" i="1"/>
  <c r="Q305" i="1"/>
  <c r="R305" i="1"/>
  <c r="T305" i="1"/>
  <c r="P306" i="1"/>
  <c r="Q306" i="1"/>
  <c r="R306" i="1"/>
  <c r="T306" i="1"/>
  <c r="P307" i="1"/>
  <c r="Q307" i="1"/>
  <c r="R307" i="1"/>
  <c r="T307" i="1"/>
  <c r="P308" i="1"/>
  <c r="Q308" i="1"/>
  <c r="R308" i="1"/>
  <c r="T308" i="1"/>
  <c r="P309" i="1"/>
  <c r="Q309" i="1"/>
  <c r="R309" i="1"/>
  <c r="T309" i="1"/>
  <c r="P310" i="1"/>
  <c r="Q310" i="1"/>
  <c r="R310" i="1"/>
  <c r="T310" i="1"/>
  <c r="P311" i="1"/>
  <c r="Q311" i="1"/>
  <c r="R311" i="1"/>
  <c r="T311" i="1"/>
  <c r="P312" i="1"/>
  <c r="Q312" i="1"/>
  <c r="R312" i="1"/>
  <c r="T312" i="1"/>
  <c r="P313" i="1"/>
  <c r="Q313" i="1"/>
  <c r="R313" i="1"/>
  <c r="T313" i="1"/>
  <c r="P314" i="1"/>
  <c r="Q314" i="1"/>
  <c r="R314" i="1"/>
  <c r="T314" i="1"/>
  <c r="P315" i="1"/>
  <c r="Q315" i="1"/>
  <c r="R315" i="1"/>
  <c r="T315" i="1"/>
  <c r="P316" i="1"/>
  <c r="Q316" i="1"/>
  <c r="R316" i="1"/>
  <c r="T316" i="1"/>
  <c r="P317" i="1"/>
  <c r="Q317" i="1"/>
  <c r="R317" i="1"/>
  <c r="T317" i="1"/>
  <c r="P318" i="1"/>
  <c r="Q318" i="1"/>
  <c r="R318" i="1"/>
  <c r="T318" i="1"/>
  <c r="P319" i="1"/>
  <c r="Q319" i="1"/>
  <c r="R319" i="1"/>
  <c r="T319" i="1"/>
  <c r="P320" i="1"/>
  <c r="Q320" i="1"/>
  <c r="R320" i="1"/>
  <c r="T320" i="1"/>
  <c r="P321" i="1"/>
  <c r="Q321" i="1"/>
  <c r="R321" i="1"/>
  <c r="T321" i="1"/>
  <c r="P322" i="1"/>
  <c r="Q322" i="1"/>
  <c r="R322" i="1"/>
  <c r="T322" i="1"/>
  <c r="P323" i="1"/>
  <c r="Q323" i="1"/>
  <c r="R323" i="1"/>
  <c r="T323" i="1"/>
  <c r="P324" i="1"/>
  <c r="Q324" i="1"/>
  <c r="R324" i="1"/>
  <c r="T324" i="1"/>
  <c r="P325" i="1"/>
  <c r="Q325" i="1"/>
  <c r="R325" i="1"/>
  <c r="T325" i="1"/>
  <c r="P326" i="1"/>
  <c r="Q326" i="1"/>
  <c r="R326" i="1"/>
  <c r="T326" i="1"/>
  <c r="P327" i="1"/>
  <c r="Q327" i="1"/>
  <c r="R327" i="1"/>
  <c r="T327" i="1"/>
  <c r="P328" i="1"/>
  <c r="Q328" i="1"/>
  <c r="R328" i="1"/>
  <c r="T328" i="1"/>
  <c r="P329" i="1"/>
  <c r="Q329" i="1"/>
  <c r="R329" i="1"/>
  <c r="T329" i="1"/>
  <c r="P330" i="1"/>
  <c r="Q330" i="1"/>
  <c r="R330" i="1"/>
  <c r="T330" i="1"/>
  <c r="P331" i="1"/>
  <c r="Q331" i="1"/>
  <c r="R331" i="1"/>
  <c r="T331" i="1"/>
  <c r="P332" i="1"/>
  <c r="Q332" i="1"/>
  <c r="R332" i="1"/>
  <c r="T332" i="1"/>
  <c r="P333" i="1"/>
  <c r="Q333" i="1"/>
  <c r="R333" i="1"/>
  <c r="T333" i="1"/>
  <c r="P334" i="1"/>
  <c r="Q334" i="1"/>
  <c r="R334" i="1"/>
  <c r="T334" i="1"/>
  <c r="P335" i="1"/>
  <c r="Q335" i="1"/>
  <c r="R335" i="1"/>
  <c r="T335" i="1"/>
  <c r="P336" i="1"/>
  <c r="Q336" i="1"/>
  <c r="R336" i="1"/>
  <c r="T336" i="1"/>
  <c r="P337" i="1"/>
  <c r="Q337" i="1"/>
  <c r="R337" i="1"/>
  <c r="P338" i="1"/>
  <c r="Q338" i="1"/>
  <c r="R338" i="1"/>
  <c r="P339" i="1"/>
  <c r="Q339" i="1"/>
  <c r="R339" i="1"/>
  <c r="P340" i="1"/>
  <c r="Q340" i="1"/>
  <c r="R340" i="1"/>
  <c r="P341" i="1"/>
  <c r="Q341" i="1"/>
  <c r="R341" i="1"/>
  <c r="P342" i="1"/>
  <c r="Q342" i="1"/>
  <c r="R342" i="1"/>
  <c r="P343" i="1"/>
  <c r="Q343" i="1"/>
  <c r="R343" i="1"/>
  <c r="P344" i="1"/>
  <c r="Q344" i="1"/>
  <c r="R344" i="1"/>
  <c r="P345" i="1"/>
  <c r="Q345" i="1"/>
  <c r="R345" i="1"/>
  <c r="P346" i="1"/>
  <c r="Q346" i="1"/>
  <c r="R346" i="1"/>
  <c r="P347" i="1"/>
  <c r="Q347" i="1"/>
  <c r="R347" i="1"/>
  <c r="P348" i="1"/>
  <c r="Q348" i="1"/>
  <c r="R348" i="1"/>
  <c r="P349" i="1"/>
  <c r="Q349" i="1"/>
  <c r="R349" i="1"/>
  <c r="P350" i="1"/>
  <c r="Q350" i="1"/>
  <c r="R350" i="1"/>
  <c r="P351" i="1"/>
  <c r="Q351" i="1"/>
  <c r="R351" i="1"/>
  <c r="P352" i="1"/>
  <c r="Q352" i="1"/>
  <c r="R352" i="1"/>
  <c r="P353" i="1"/>
  <c r="Q353" i="1"/>
  <c r="R353" i="1"/>
  <c r="P354" i="1"/>
  <c r="Q354" i="1"/>
  <c r="R354" i="1"/>
  <c r="P355" i="1"/>
  <c r="Q355" i="1"/>
  <c r="R355" i="1"/>
  <c r="P356" i="1"/>
  <c r="Q356" i="1"/>
  <c r="R356" i="1"/>
  <c r="P357" i="1"/>
  <c r="Q357" i="1"/>
  <c r="R357" i="1"/>
  <c r="P358" i="1"/>
  <c r="Q358" i="1"/>
  <c r="R358" i="1"/>
  <c r="P359" i="1"/>
  <c r="Q359" i="1"/>
  <c r="R359" i="1"/>
  <c r="T359" i="1"/>
  <c r="P360" i="1"/>
  <c r="Q360" i="1"/>
  <c r="R360" i="1"/>
  <c r="T360" i="1"/>
  <c r="P361" i="1"/>
  <c r="Q361" i="1"/>
  <c r="R361" i="1"/>
  <c r="T361" i="1"/>
  <c r="P362" i="1"/>
  <c r="Q362" i="1"/>
  <c r="R362" i="1"/>
  <c r="T362" i="1"/>
  <c r="P363" i="1"/>
  <c r="Q363" i="1"/>
  <c r="R363" i="1"/>
  <c r="T363" i="1"/>
  <c r="P364" i="1"/>
  <c r="Q364" i="1"/>
  <c r="R364" i="1"/>
  <c r="T364" i="1"/>
  <c r="P365" i="1"/>
  <c r="Q365" i="1"/>
  <c r="R365" i="1"/>
  <c r="T365" i="1"/>
  <c r="P366" i="1"/>
  <c r="Q366" i="1"/>
  <c r="R366" i="1"/>
  <c r="T366" i="1"/>
  <c r="P367" i="1"/>
  <c r="Q367" i="1"/>
  <c r="R367" i="1"/>
  <c r="T367" i="1"/>
  <c r="P368" i="1"/>
  <c r="Q368" i="1"/>
  <c r="R368" i="1"/>
  <c r="T368" i="1"/>
  <c r="P369" i="1"/>
  <c r="Q369" i="1"/>
  <c r="R369" i="1"/>
  <c r="T369" i="1"/>
  <c r="P370" i="1"/>
  <c r="Q370" i="1"/>
  <c r="R370" i="1"/>
  <c r="T370" i="1"/>
  <c r="P371" i="1"/>
  <c r="Q371" i="1"/>
  <c r="R371" i="1"/>
  <c r="T371" i="1"/>
  <c r="P372" i="1"/>
  <c r="Q372" i="1"/>
  <c r="R372" i="1"/>
  <c r="T372" i="1"/>
  <c r="P373" i="1"/>
  <c r="Q373" i="1"/>
  <c r="R373" i="1"/>
  <c r="T373" i="1"/>
  <c r="P374" i="1"/>
  <c r="Q374" i="1"/>
  <c r="R374" i="1"/>
  <c r="T374" i="1"/>
  <c r="P375" i="1"/>
  <c r="Q375" i="1"/>
  <c r="R375" i="1"/>
  <c r="T375" i="1"/>
  <c r="P376" i="1"/>
  <c r="Q376" i="1"/>
  <c r="R376" i="1"/>
  <c r="T376" i="1"/>
  <c r="P377" i="1"/>
  <c r="Q377" i="1"/>
  <c r="R377" i="1"/>
  <c r="T377" i="1"/>
  <c r="P378" i="1"/>
  <c r="Q378" i="1"/>
  <c r="R378" i="1"/>
  <c r="T378" i="1"/>
  <c r="P379" i="1"/>
  <c r="Q379" i="1"/>
  <c r="R379" i="1"/>
  <c r="T379" i="1"/>
  <c r="P380" i="1"/>
  <c r="Q380" i="1"/>
  <c r="R380" i="1"/>
  <c r="T380" i="1"/>
  <c r="P381" i="1"/>
  <c r="Q381" i="1"/>
  <c r="R381" i="1"/>
  <c r="T381" i="1"/>
  <c r="P382" i="1"/>
  <c r="Q382" i="1"/>
  <c r="R382" i="1"/>
  <c r="T382" i="1"/>
  <c r="P383" i="1"/>
  <c r="Q383" i="1"/>
  <c r="R383" i="1"/>
  <c r="T383" i="1"/>
  <c r="P384" i="1"/>
  <c r="Q384" i="1"/>
  <c r="R384" i="1"/>
  <c r="T384" i="1"/>
  <c r="P385" i="1"/>
  <c r="Q385" i="1"/>
  <c r="R385" i="1"/>
  <c r="T385" i="1"/>
  <c r="P386" i="1"/>
  <c r="Q386" i="1"/>
  <c r="R386" i="1"/>
  <c r="T386" i="1"/>
  <c r="P387" i="1"/>
  <c r="Q387" i="1"/>
  <c r="R387" i="1"/>
  <c r="T387" i="1"/>
  <c r="P388" i="1"/>
  <c r="Q388" i="1"/>
  <c r="R388" i="1"/>
  <c r="T388" i="1"/>
  <c r="P389" i="1"/>
  <c r="Q389" i="1"/>
  <c r="R389" i="1"/>
  <c r="T389" i="1"/>
  <c r="P390" i="1"/>
  <c r="Q390" i="1"/>
  <c r="R390" i="1"/>
  <c r="T390" i="1"/>
  <c r="P391" i="1"/>
  <c r="Q391" i="1"/>
  <c r="R391" i="1"/>
  <c r="T391" i="1"/>
  <c r="P392" i="1"/>
  <c r="Q392" i="1"/>
  <c r="R392" i="1"/>
  <c r="T392" i="1"/>
  <c r="P393" i="1"/>
  <c r="Q393" i="1"/>
  <c r="R393" i="1"/>
  <c r="T393" i="1"/>
  <c r="P394" i="1"/>
  <c r="Q394" i="1"/>
  <c r="R394" i="1"/>
  <c r="T394" i="1"/>
  <c r="P395" i="1"/>
  <c r="Q395" i="1"/>
  <c r="R395" i="1"/>
  <c r="T395" i="1"/>
  <c r="P396" i="1"/>
  <c r="Q396" i="1"/>
  <c r="R396" i="1"/>
  <c r="T396" i="1"/>
  <c r="P397" i="1"/>
  <c r="Q397" i="1"/>
  <c r="R397" i="1"/>
  <c r="T397" i="1"/>
  <c r="P398" i="1"/>
  <c r="Q398" i="1"/>
  <c r="R398" i="1"/>
  <c r="T398" i="1"/>
  <c r="P399" i="1"/>
  <c r="Q399" i="1"/>
  <c r="R399" i="1"/>
  <c r="T399" i="1"/>
  <c r="P400" i="1"/>
  <c r="Q400" i="1"/>
  <c r="R400" i="1"/>
  <c r="T400" i="1"/>
  <c r="P401" i="1"/>
  <c r="Q401" i="1"/>
  <c r="R401" i="1"/>
  <c r="T401" i="1"/>
  <c r="P402" i="1"/>
  <c r="Q402" i="1"/>
  <c r="R402" i="1"/>
  <c r="T402" i="1"/>
  <c r="P403" i="1"/>
  <c r="Q403" i="1"/>
  <c r="R403" i="1"/>
  <c r="T403" i="1"/>
  <c r="P404" i="1"/>
  <c r="Q404" i="1"/>
  <c r="R404" i="1"/>
  <c r="T404" i="1"/>
  <c r="P405" i="1"/>
  <c r="Q405" i="1"/>
  <c r="R405" i="1"/>
  <c r="T405" i="1"/>
  <c r="P406" i="1"/>
  <c r="Q406" i="1"/>
  <c r="R406" i="1"/>
  <c r="T406" i="1"/>
  <c r="P407" i="1"/>
  <c r="Q407" i="1"/>
  <c r="R407" i="1"/>
  <c r="T407" i="1"/>
  <c r="P408" i="1"/>
  <c r="Q408" i="1"/>
  <c r="R408" i="1"/>
  <c r="T408" i="1"/>
  <c r="P409" i="1"/>
  <c r="Q409" i="1"/>
  <c r="R409" i="1"/>
  <c r="T409" i="1"/>
  <c r="P410" i="1"/>
  <c r="Q410" i="1"/>
  <c r="R410" i="1"/>
  <c r="T410" i="1"/>
  <c r="P411" i="1"/>
  <c r="Q411" i="1"/>
  <c r="R411" i="1"/>
  <c r="T411" i="1"/>
  <c r="P412" i="1"/>
  <c r="Q412" i="1"/>
  <c r="R412" i="1"/>
  <c r="T412" i="1"/>
  <c r="P413" i="1"/>
  <c r="Q413" i="1"/>
  <c r="R413" i="1"/>
  <c r="P620" i="1"/>
  <c r="Q620" i="1"/>
  <c r="R620" i="1"/>
  <c r="T620" i="1"/>
  <c r="P414" i="1"/>
  <c r="Q414" i="1"/>
  <c r="R414" i="1"/>
  <c r="T414" i="1"/>
  <c r="P415" i="1"/>
  <c r="Q415" i="1"/>
  <c r="R415" i="1"/>
  <c r="T415" i="1"/>
  <c r="P416" i="1"/>
  <c r="Q416" i="1"/>
  <c r="R416" i="1"/>
  <c r="T416" i="1"/>
  <c r="P417" i="1"/>
  <c r="Q417" i="1"/>
  <c r="R417" i="1"/>
  <c r="T417" i="1"/>
  <c r="P418" i="1"/>
  <c r="Q418" i="1"/>
  <c r="R418" i="1"/>
  <c r="T418" i="1"/>
  <c r="P419" i="1"/>
  <c r="Q419" i="1"/>
  <c r="R419" i="1"/>
  <c r="T419" i="1"/>
  <c r="P420" i="1"/>
  <c r="Q420" i="1"/>
  <c r="R420" i="1"/>
  <c r="T420" i="1"/>
  <c r="P421" i="1"/>
  <c r="Q421" i="1"/>
  <c r="R421" i="1"/>
  <c r="T421" i="1"/>
  <c r="P422" i="1"/>
  <c r="Q422" i="1"/>
  <c r="R422" i="1"/>
  <c r="T422" i="1"/>
  <c r="P423" i="1"/>
  <c r="Q423" i="1"/>
  <c r="R423" i="1"/>
  <c r="T423" i="1"/>
  <c r="P424" i="1"/>
  <c r="Q424" i="1"/>
  <c r="R424" i="1"/>
  <c r="T424" i="1"/>
  <c r="P425" i="1"/>
  <c r="Q425" i="1"/>
  <c r="R425" i="1"/>
  <c r="T425" i="1"/>
  <c r="P426" i="1"/>
  <c r="Q426" i="1"/>
  <c r="R426" i="1"/>
  <c r="T426" i="1"/>
  <c r="P427" i="1"/>
  <c r="Q427" i="1"/>
  <c r="R427" i="1"/>
  <c r="T427" i="1"/>
  <c r="P428" i="1"/>
  <c r="Q428" i="1"/>
  <c r="R428" i="1"/>
  <c r="T428" i="1"/>
  <c r="P429" i="1"/>
  <c r="Q429" i="1"/>
  <c r="R429" i="1"/>
  <c r="T429" i="1"/>
  <c r="P430" i="1"/>
  <c r="Q430" i="1"/>
  <c r="R430" i="1"/>
  <c r="T430" i="1"/>
  <c r="P431" i="1"/>
  <c r="Q431" i="1"/>
  <c r="R431" i="1"/>
  <c r="T431" i="1"/>
  <c r="P432" i="1"/>
  <c r="Q432" i="1"/>
  <c r="R432" i="1"/>
  <c r="T432" i="1"/>
  <c r="P433" i="1"/>
  <c r="Q433" i="1"/>
  <c r="R433" i="1"/>
  <c r="T433" i="1"/>
  <c r="P434" i="1"/>
  <c r="Q434" i="1"/>
  <c r="R434" i="1"/>
  <c r="T434" i="1"/>
  <c r="P435" i="1"/>
  <c r="Q435" i="1"/>
  <c r="R435" i="1"/>
  <c r="T435" i="1"/>
  <c r="P436" i="1"/>
  <c r="Q436" i="1"/>
  <c r="R436" i="1"/>
  <c r="T436" i="1"/>
  <c r="P437" i="1"/>
  <c r="Q437" i="1"/>
  <c r="R437" i="1"/>
  <c r="T437" i="1"/>
  <c r="P438" i="1"/>
  <c r="Q438" i="1"/>
  <c r="R438" i="1"/>
  <c r="T438" i="1"/>
  <c r="P439" i="1"/>
  <c r="Q439" i="1"/>
  <c r="R439" i="1"/>
  <c r="T439" i="1"/>
  <c r="P440" i="1"/>
  <c r="Q440" i="1"/>
  <c r="R440" i="1"/>
  <c r="T440" i="1"/>
  <c r="P441" i="1"/>
  <c r="Q441" i="1"/>
  <c r="R441" i="1"/>
  <c r="T441" i="1"/>
  <c r="P442" i="1"/>
  <c r="Q442" i="1"/>
  <c r="R442" i="1"/>
  <c r="T442" i="1"/>
  <c r="P443" i="1"/>
  <c r="Q443" i="1"/>
  <c r="R443" i="1"/>
  <c r="T443" i="1"/>
  <c r="P444" i="1"/>
  <c r="Q444" i="1"/>
  <c r="R444" i="1"/>
  <c r="T444" i="1"/>
  <c r="P445" i="1"/>
  <c r="Q445" i="1"/>
  <c r="R445" i="1"/>
  <c r="T445" i="1"/>
  <c r="P446" i="1"/>
  <c r="Q446" i="1"/>
  <c r="R446" i="1"/>
  <c r="T446" i="1"/>
  <c r="P447" i="1"/>
  <c r="Q447" i="1"/>
  <c r="R447" i="1"/>
  <c r="T447" i="1"/>
  <c r="P448" i="1"/>
  <c r="Q448" i="1"/>
  <c r="R448" i="1"/>
  <c r="T448" i="1"/>
  <c r="P449" i="1"/>
  <c r="Q449" i="1"/>
  <c r="R449" i="1"/>
  <c r="T449" i="1"/>
  <c r="P450" i="1"/>
  <c r="Q450" i="1"/>
  <c r="R450" i="1"/>
  <c r="T450" i="1"/>
  <c r="P451" i="1"/>
  <c r="Q451" i="1"/>
  <c r="R451" i="1"/>
  <c r="T451" i="1"/>
  <c r="P452" i="1"/>
  <c r="Q452" i="1"/>
  <c r="R452" i="1"/>
  <c r="T452" i="1"/>
  <c r="P453" i="1"/>
  <c r="Q453" i="1"/>
  <c r="R453" i="1"/>
  <c r="T453" i="1"/>
  <c r="P454" i="1"/>
  <c r="Q454" i="1"/>
  <c r="R454" i="1"/>
  <c r="T454" i="1"/>
  <c r="P455" i="1"/>
  <c r="Q455" i="1"/>
  <c r="R455" i="1"/>
  <c r="T455" i="1"/>
  <c r="P456" i="1"/>
  <c r="Q456" i="1"/>
  <c r="R456" i="1"/>
  <c r="T456" i="1"/>
  <c r="P457" i="1"/>
  <c r="Q457" i="1"/>
  <c r="R457" i="1"/>
  <c r="T457" i="1"/>
  <c r="P458" i="1"/>
  <c r="Q458" i="1"/>
  <c r="R458" i="1"/>
  <c r="T458" i="1"/>
  <c r="P459" i="1"/>
  <c r="Q459" i="1"/>
  <c r="R459" i="1"/>
  <c r="T459" i="1"/>
  <c r="P460" i="1"/>
  <c r="Q460" i="1"/>
  <c r="R460" i="1"/>
  <c r="T460" i="1"/>
  <c r="P461" i="1"/>
  <c r="Q461" i="1"/>
  <c r="R461" i="1"/>
  <c r="T461" i="1"/>
  <c r="P462" i="1"/>
  <c r="Q462" i="1"/>
  <c r="R462" i="1"/>
  <c r="T462" i="1"/>
  <c r="P463" i="1"/>
  <c r="Q463" i="1"/>
  <c r="R463" i="1"/>
  <c r="T463" i="1"/>
  <c r="P464" i="1"/>
  <c r="Q464" i="1"/>
  <c r="R464" i="1"/>
  <c r="T464" i="1"/>
  <c r="P465" i="1"/>
  <c r="Q465" i="1"/>
  <c r="R465" i="1"/>
  <c r="T465" i="1"/>
  <c r="P466" i="1"/>
  <c r="Q466" i="1"/>
  <c r="R466" i="1"/>
  <c r="T466" i="1"/>
  <c r="P467" i="1"/>
  <c r="Q467" i="1"/>
  <c r="R467" i="1"/>
  <c r="T467" i="1"/>
  <c r="P468" i="1"/>
  <c r="Q468" i="1"/>
  <c r="R468" i="1"/>
  <c r="T468" i="1"/>
  <c r="P469" i="1"/>
  <c r="Q469" i="1"/>
  <c r="R469" i="1"/>
  <c r="T469" i="1"/>
  <c r="P470" i="1"/>
  <c r="Q470" i="1"/>
  <c r="R470" i="1"/>
  <c r="T470" i="1"/>
  <c r="P621" i="1"/>
  <c r="Q621" i="1"/>
  <c r="R621" i="1"/>
  <c r="T621" i="1"/>
  <c r="P622" i="1"/>
  <c r="Q622" i="1"/>
  <c r="R622" i="1"/>
  <c r="T622" i="1"/>
  <c r="P623" i="1"/>
  <c r="Q623" i="1"/>
  <c r="R623" i="1"/>
  <c r="T623" i="1"/>
  <c r="P624" i="1"/>
  <c r="Q624" i="1"/>
  <c r="R624" i="1"/>
  <c r="T624" i="1"/>
  <c r="P625" i="1"/>
  <c r="Q625" i="1"/>
  <c r="R625" i="1"/>
  <c r="T625" i="1"/>
  <c r="P626" i="1"/>
  <c r="Q626" i="1"/>
  <c r="R626" i="1"/>
  <c r="T626" i="1"/>
  <c r="P627" i="1"/>
  <c r="Q627" i="1"/>
  <c r="R627" i="1"/>
  <c r="T627" i="1"/>
  <c r="P628" i="1"/>
  <c r="Q628" i="1"/>
  <c r="R628" i="1"/>
  <c r="T628" i="1"/>
  <c r="P629" i="1"/>
  <c r="Q629" i="1"/>
  <c r="R629" i="1"/>
  <c r="T629" i="1"/>
  <c r="P630" i="1"/>
  <c r="Q630" i="1"/>
  <c r="R630" i="1"/>
  <c r="T630" i="1"/>
  <c r="P631" i="1"/>
  <c r="Q631" i="1"/>
  <c r="R631" i="1"/>
  <c r="T631" i="1"/>
  <c r="P632" i="1"/>
  <c r="Q632" i="1"/>
  <c r="R632" i="1"/>
  <c r="T632" i="1"/>
  <c r="P633" i="1"/>
  <c r="Q633" i="1"/>
  <c r="R633" i="1"/>
  <c r="T633" i="1"/>
  <c r="P634" i="1"/>
  <c r="Q634" i="1"/>
  <c r="R634" i="1"/>
  <c r="T634" i="1"/>
  <c r="P635" i="1"/>
  <c r="Q635" i="1"/>
  <c r="R635" i="1"/>
  <c r="T635" i="1"/>
  <c r="P636" i="1"/>
  <c r="Q636" i="1"/>
  <c r="R636" i="1"/>
  <c r="T636" i="1"/>
  <c r="P637" i="1"/>
  <c r="Q637" i="1"/>
  <c r="R637" i="1"/>
  <c r="T637" i="1"/>
  <c r="P638" i="1"/>
  <c r="Q638" i="1"/>
  <c r="R638" i="1"/>
  <c r="T638" i="1"/>
  <c r="P639" i="1"/>
  <c r="Q639" i="1"/>
  <c r="R639" i="1"/>
  <c r="T639" i="1"/>
  <c r="P640" i="1"/>
  <c r="Q640" i="1"/>
  <c r="R640" i="1"/>
  <c r="T640" i="1"/>
  <c r="P641" i="1"/>
  <c r="Q641" i="1"/>
  <c r="R641" i="1"/>
  <c r="T641" i="1"/>
  <c r="P642" i="1"/>
  <c r="Q642" i="1"/>
  <c r="R642" i="1"/>
  <c r="T642" i="1"/>
  <c r="P643" i="1"/>
  <c r="Q643" i="1"/>
  <c r="R643" i="1"/>
  <c r="T643" i="1"/>
  <c r="P644" i="1"/>
  <c r="Q644" i="1"/>
  <c r="R644" i="1"/>
  <c r="T644" i="1"/>
  <c r="P645" i="1"/>
  <c r="Q645" i="1"/>
  <c r="R645" i="1"/>
  <c r="T645" i="1"/>
  <c r="P646" i="1"/>
  <c r="Q646" i="1"/>
  <c r="R646" i="1"/>
  <c r="T646" i="1"/>
  <c r="P647" i="1"/>
  <c r="Q647" i="1"/>
  <c r="R647" i="1"/>
  <c r="T647" i="1"/>
  <c r="P648" i="1"/>
  <c r="Q648" i="1"/>
  <c r="R648" i="1"/>
  <c r="T648" i="1"/>
  <c r="P649" i="1"/>
  <c r="Q649" i="1"/>
  <c r="R649" i="1"/>
  <c r="T649" i="1"/>
  <c r="P650" i="1"/>
  <c r="Q650" i="1"/>
  <c r="R650" i="1"/>
  <c r="T650" i="1"/>
  <c r="P651" i="1"/>
  <c r="Q651" i="1"/>
  <c r="R651" i="1"/>
  <c r="T651" i="1"/>
  <c r="P652" i="1"/>
  <c r="Q652" i="1"/>
  <c r="R652" i="1"/>
  <c r="T652" i="1"/>
  <c r="W471" i="1"/>
  <c r="W472" i="1"/>
  <c r="W473" i="1"/>
  <c r="W474" i="1"/>
  <c r="W475" i="1"/>
  <c r="W11" i="1"/>
  <c r="W12" i="1"/>
  <c r="W476" i="1"/>
  <c r="W477" i="1"/>
  <c r="W13" i="1"/>
  <c r="W14" i="1"/>
  <c r="W15" i="1"/>
  <c r="W16" i="1"/>
  <c r="W17" i="1"/>
  <c r="W18" i="1"/>
  <c r="W19" i="1"/>
  <c r="W20" i="1"/>
  <c r="W21" i="1"/>
  <c r="W22" i="1"/>
  <c r="W23" i="1"/>
  <c r="W24" i="1"/>
  <c r="W25" i="1"/>
  <c r="W26" i="1"/>
  <c r="W27" i="1"/>
  <c r="W28" i="1"/>
  <c r="W478" i="1"/>
  <c r="W479" i="1"/>
  <c r="W480" i="1"/>
  <c r="W29" i="1"/>
  <c r="W30" i="1"/>
  <c r="W31" i="1"/>
  <c r="W32" i="1"/>
  <c r="W33" i="1"/>
  <c r="W34" i="1"/>
  <c r="W481" i="1"/>
  <c r="W482" i="1"/>
  <c r="W483" i="1"/>
  <c r="W484" i="1"/>
  <c r="W485" i="1"/>
  <c r="W486" i="1"/>
  <c r="W487" i="1"/>
  <c r="W488" i="1"/>
  <c r="W489" i="1"/>
  <c r="W490" i="1"/>
  <c r="W491" i="1"/>
  <c r="W492" i="1"/>
  <c r="W493" i="1"/>
  <c r="W494" i="1"/>
  <c r="W495" i="1"/>
  <c r="W496" i="1"/>
  <c r="W497" i="1"/>
  <c r="W498" i="1"/>
  <c r="W499" i="1"/>
  <c r="W500" i="1"/>
  <c r="W501" i="1"/>
  <c r="W502" i="1"/>
  <c r="W503" i="1"/>
  <c r="W504" i="1"/>
  <c r="W505" i="1"/>
  <c r="W506" i="1"/>
  <c r="W507" i="1"/>
  <c r="W508" i="1"/>
  <c r="W509" i="1"/>
  <c r="W510" i="1"/>
  <c r="W511" i="1"/>
  <c r="W35" i="1"/>
  <c r="W36" i="1"/>
  <c r="W512" i="1"/>
  <c r="W513" i="1"/>
  <c r="W514" i="1"/>
  <c r="W37" i="1"/>
  <c r="W515" i="1"/>
  <c r="W516" i="1"/>
  <c r="W38" i="1"/>
  <c r="W39" i="1"/>
  <c r="W517" i="1"/>
  <c r="W518" i="1"/>
  <c r="W40" i="1"/>
  <c r="W519" i="1"/>
  <c r="W520" i="1"/>
  <c r="W521" i="1"/>
  <c r="W41" i="1"/>
  <c r="W522" i="1"/>
  <c r="W523" i="1"/>
  <c r="W42" i="1"/>
  <c r="W524" i="1"/>
  <c r="W43" i="1"/>
  <c r="W525" i="1"/>
  <c r="W44" i="1"/>
  <c r="W526" i="1"/>
  <c r="W45" i="1"/>
  <c r="W527" i="1"/>
  <c r="W46" i="1"/>
  <c r="W47" i="1"/>
  <c r="W48" i="1"/>
  <c r="W49" i="1"/>
  <c r="W50" i="1"/>
  <c r="W51" i="1"/>
  <c r="W52" i="1"/>
  <c r="W53" i="1"/>
  <c r="W54" i="1"/>
  <c r="W55" i="1"/>
  <c r="W56" i="1"/>
  <c r="W57" i="1"/>
  <c r="W58" i="1"/>
  <c r="W59" i="1"/>
  <c r="W60" i="1"/>
  <c r="W61" i="1"/>
  <c r="W62" i="1"/>
  <c r="W63" i="1"/>
  <c r="W64" i="1"/>
  <c r="W65" i="1"/>
  <c r="W66" i="1"/>
  <c r="W67" i="1"/>
  <c r="W68" i="1"/>
  <c r="W69" i="1"/>
  <c r="W70" i="1"/>
  <c r="W71" i="1"/>
  <c r="W72" i="1"/>
  <c r="W73" i="1"/>
  <c r="W74" i="1"/>
  <c r="W75" i="1"/>
  <c r="W76" i="1"/>
  <c r="W77" i="1"/>
  <c r="W78" i="1"/>
  <c r="W79" i="1"/>
  <c r="W80" i="1"/>
  <c r="W81" i="1"/>
  <c r="W82" i="1"/>
  <c r="W83" i="1"/>
  <c r="W84" i="1"/>
  <c r="W85" i="1"/>
  <c r="W86" i="1"/>
  <c r="W528" i="1"/>
  <c r="W529" i="1"/>
  <c r="W87" i="1"/>
  <c r="W530" i="1"/>
  <c r="W531" i="1"/>
  <c r="W532" i="1"/>
  <c r="W533" i="1"/>
  <c r="W534" i="1"/>
  <c r="W535" i="1"/>
  <c r="W536" i="1"/>
  <c r="W537" i="1"/>
  <c r="W538" i="1"/>
  <c r="W539" i="1"/>
  <c r="W540" i="1"/>
  <c r="W544" i="1"/>
  <c r="W88" i="1"/>
  <c r="W545" i="1"/>
  <c r="W546" i="1"/>
  <c r="W547" i="1"/>
  <c r="W548" i="1"/>
  <c r="W549" i="1"/>
  <c r="W550" i="1"/>
  <c r="W551" i="1"/>
  <c r="W552" i="1"/>
  <c r="W553" i="1"/>
  <c r="W554" i="1"/>
  <c r="W89" i="1"/>
  <c r="W555" i="1"/>
  <c r="W556" i="1"/>
  <c r="W557" i="1"/>
  <c r="W558" i="1"/>
  <c r="W559" i="1"/>
  <c r="W90" i="1"/>
  <c r="W91" i="1"/>
  <c r="W92" i="1"/>
  <c r="W93" i="1"/>
  <c r="W94" i="1"/>
  <c r="W95" i="1"/>
  <c r="W96" i="1"/>
  <c r="W97" i="1"/>
  <c r="W98" i="1"/>
  <c r="W99" i="1"/>
  <c r="W100" i="1"/>
  <c r="W101" i="1"/>
  <c r="W102" i="1"/>
  <c r="W103" i="1"/>
  <c r="W104" i="1"/>
  <c r="W105" i="1"/>
  <c r="W106" i="1"/>
  <c r="W107" i="1"/>
  <c r="W108" i="1"/>
  <c r="W109" i="1"/>
  <c r="W110" i="1"/>
  <c r="W111" i="1"/>
  <c r="W112" i="1"/>
  <c r="W113" i="1"/>
  <c r="W114" i="1"/>
  <c r="W115" i="1"/>
  <c r="W116" i="1"/>
  <c r="W117" i="1"/>
  <c r="W118" i="1"/>
  <c r="W119" i="1"/>
  <c r="W120" i="1"/>
  <c r="W121" i="1"/>
  <c r="W122" i="1"/>
  <c r="W123" i="1"/>
  <c r="W124" i="1"/>
  <c r="W125" i="1"/>
  <c r="W126" i="1"/>
  <c r="W127" i="1"/>
  <c r="W128" i="1"/>
  <c r="W129" i="1"/>
  <c r="W130" i="1"/>
  <c r="W131" i="1"/>
  <c r="W132" i="1"/>
  <c r="W133" i="1"/>
  <c r="W134" i="1"/>
  <c r="W135" i="1"/>
  <c r="W136" i="1"/>
  <c r="W137" i="1"/>
  <c r="W560" i="1"/>
  <c r="W561" i="1"/>
  <c r="W139" i="1"/>
  <c r="W140" i="1"/>
  <c r="W141" i="1"/>
  <c r="W142" i="1"/>
  <c r="W143" i="1"/>
  <c r="W144" i="1"/>
  <c r="W145" i="1"/>
  <c r="W146" i="1"/>
  <c r="W147" i="1"/>
  <c r="W148" i="1"/>
  <c r="W562" i="1"/>
  <c r="W149" i="1"/>
  <c r="W150" i="1"/>
  <c r="W151" i="1"/>
  <c r="W152" i="1"/>
  <c r="W153" i="1"/>
  <c r="W154" i="1"/>
  <c r="W155" i="1"/>
  <c r="W156" i="1"/>
  <c r="W157" i="1"/>
  <c r="W158" i="1"/>
  <c r="W159" i="1"/>
  <c r="W160" i="1"/>
  <c r="W161" i="1"/>
  <c r="W162" i="1"/>
  <c r="W163" i="1"/>
  <c r="W164" i="1"/>
  <c r="W165" i="1"/>
  <c r="W166" i="1"/>
  <c r="W167" i="1"/>
  <c r="W168" i="1"/>
  <c r="W169" i="1"/>
  <c r="W170" i="1"/>
  <c r="W171" i="1"/>
  <c r="W172" i="1"/>
  <c r="W173" i="1"/>
  <c r="W174" i="1"/>
  <c r="W175" i="1"/>
  <c r="W176" i="1"/>
  <c r="W177" i="1"/>
  <c r="W178" i="1"/>
  <c r="W563" i="1"/>
  <c r="W564" i="1"/>
  <c r="W179" i="1"/>
  <c r="W180" i="1"/>
  <c r="W181" i="1"/>
  <c r="W182" i="1"/>
  <c r="W183" i="1"/>
  <c r="W184" i="1"/>
  <c r="W185" i="1"/>
  <c r="W186" i="1"/>
  <c r="W187" i="1"/>
  <c r="W188" i="1"/>
  <c r="W189" i="1"/>
  <c r="W190" i="1"/>
  <c r="W191" i="1"/>
  <c r="W192" i="1"/>
  <c r="W193" i="1"/>
  <c r="W194" i="1"/>
  <c r="W195" i="1"/>
  <c r="W196" i="1"/>
  <c r="W197" i="1"/>
  <c r="W565" i="1"/>
  <c r="W198" i="1"/>
  <c r="W199" i="1"/>
  <c r="W200" i="1"/>
  <c r="W201" i="1"/>
  <c r="W566" i="1"/>
  <c r="W567" i="1"/>
  <c r="W568" i="1"/>
  <c r="W569" i="1"/>
  <c r="W570" i="1"/>
  <c r="W571" i="1"/>
  <c r="W572" i="1"/>
  <c r="W202" i="1"/>
  <c r="W203" i="1"/>
  <c r="W204" i="1"/>
  <c r="W205" i="1"/>
  <c r="W206" i="1"/>
  <c r="W207" i="1"/>
  <c r="W208" i="1"/>
  <c r="W209" i="1"/>
  <c r="W573" i="1"/>
  <c r="W574" i="1"/>
  <c r="W210" i="1"/>
  <c r="W575" i="1"/>
  <c r="W576" i="1"/>
  <c r="W577" i="1"/>
  <c r="W578" i="1"/>
  <c r="W579" i="1"/>
  <c r="W580" i="1"/>
  <c r="W581" i="1"/>
  <c r="W211" i="1"/>
  <c r="W582" i="1"/>
  <c r="W583" i="1"/>
  <c r="W584" i="1"/>
  <c r="W212" i="1"/>
  <c r="W585" i="1"/>
  <c r="W213" i="1"/>
  <c r="W586" i="1"/>
  <c r="W214" i="1"/>
  <c r="W215" i="1"/>
  <c r="W587" i="1"/>
  <c r="W216" i="1"/>
  <c r="W217" i="1"/>
  <c r="W218" i="1"/>
  <c r="W219" i="1"/>
  <c r="W220" i="1"/>
  <c r="W588" i="1"/>
  <c r="W221" i="1"/>
  <c r="W589" i="1"/>
  <c r="W590" i="1"/>
  <c r="W591" i="1"/>
  <c r="W592" i="1"/>
  <c r="W222" i="1"/>
  <c r="W593" i="1"/>
  <c r="W594" i="1"/>
  <c r="W595" i="1"/>
  <c r="W596" i="1"/>
  <c r="W597" i="1"/>
  <c r="W598" i="1"/>
  <c r="W599" i="1"/>
  <c r="W600" i="1"/>
  <c r="W223" i="1"/>
  <c r="W224" i="1"/>
  <c r="W225" i="1"/>
  <c r="W226" i="1"/>
  <c r="W602" i="1"/>
  <c r="W603" i="1"/>
  <c r="W227" i="1"/>
  <c r="W228" i="1"/>
  <c r="W229" i="1"/>
  <c r="W230" i="1"/>
  <c r="W604" i="1"/>
  <c r="W231" i="1"/>
  <c r="W232" i="1"/>
  <c r="W233" i="1"/>
  <c r="W234" i="1"/>
  <c r="W605" i="1"/>
  <c r="W235" i="1"/>
  <c r="W236" i="1"/>
  <c r="W237" i="1"/>
  <c r="W238" i="1"/>
  <c r="W239" i="1"/>
  <c r="W240" i="1"/>
  <c r="W241" i="1"/>
  <c r="W242" i="1"/>
  <c r="W243" i="1"/>
  <c r="W244" i="1"/>
  <c r="W245" i="1"/>
  <c r="W246" i="1"/>
  <c r="W247" i="1"/>
  <c r="W248" i="1"/>
  <c r="W249" i="1"/>
  <c r="W250" i="1"/>
  <c r="W251" i="1"/>
  <c r="W252" i="1"/>
  <c r="W606" i="1"/>
  <c r="W607" i="1"/>
  <c r="W608" i="1"/>
  <c r="W609" i="1"/>
  <c r="W610" i="1"/>
  <c r="W253" i="1"/>
  <c r="W611" i="1"/>
  <c r="W612" i="1"/>
  <c r="W254" i="1"/>
  <c r="W613" i="1"/>
  <c r="W614" i="1"/>
  <c r="W255" i="1"/>
  <c r="W256" i="1"/>
  <c r="W615" i="1"/>
  <c r="W616" i="1"/>
  <c r="W257" i="1"/>
  <c r="W617" i="1"/>
  <c r="W258" i="1"/>
  <c r="W259" i="1"/>
  <c r="W260" i="1"/>
  <c r="W261" i="1"/>
  <c r="W262" i="1"/>
  <c r="W618" i="1"/>
  <c r="W263" i="1"/>
  <c r="W264" i="1"/>
  <c r="W265" i="1"/>
  <c r="W619" i="1"/>
  <c r="W267" i="1"/>
  <c r="W268" i="1"/>
  <c r="W269" i="1"/>
  <c r="W270" i="1"/>
  <c r="W271" i="1"/>
  <c r="W272" i="1"/>
  <c r="W273" i="1"/>
  <c r="W274" i="1"/>
  <c r="W275" i="1"/>
  <c r="W276" i="1"/>
  <c r="W277" i="1"/>
  <c r="W278" i="1"/>
  <c r="W279" i="1"/>
  <c r="W280" i="1"/>
  <c r="W281" i="1"/>
  <c r="W282" i="1"/>
  <c r="W283" i="1"/>
  <c r="W284" i="1"/>
  <c r="W285" i="1"/>
  <c r="W286" i="1"/>
  <c r="W287" i="1"/>
  <c r="W288" i="1"/>
  <c r="W289" i="1"/>
  <c r="W290" i="1"/>
  <c r="W291" i="1"/>
  <c r="W292" i="1"/>
  <c r="W293" i="1"/>
  <c r="W294" i="1"/>
  <c r="W295" i="1"/>
  <c r="W296" i="1"/>
  <c r="W297" i="1"/>
  <c r="W298" i="1"/>
  <c r="W299" i="1"/>
  <c r="W300" i="1"/>
  <c r="W301" i="1"/>
  <c r="W302" i="1"/>
  <c r="W303" i="1"/>
  <c r="W304" i="1"/>
  <c r="W305" i="1"/>
  <c r="W306" i="1"/>
  <c r="W307" i="1"/>
  <c r="W308" i="1"/>
  <c r="W309" i="1"/>
  <c r="W310" i="1"/>
  <c r="W311" i="1"/>
  <c r="W312" i="1"/>
  <c r="W313" i="1"/>
  <c r="W314" i="1"/>
  <c r="W315" i="1"/>
  <c r="W316" i="1"/>
  <c r="W317" i="1"/>
  <c r="W318" i="1"/>
  <c r="W319" i="1"/>
  <c r="W320" i="1"/>
  <c r="W321" i="1"/>
  <c r="W322" i="1"/>
  <c r="W323" i="1"/>
  <c r="W324" i="1"/>
  <c r="W325" i="1"/>
  <c r="W326" i="1"/>
  <c r="W327" i="1"/>
  <c r="W328" i="1"/>
  <c r="W329" i="1"/>
  <c r="W330" i="1"/>
  <c r="W331" i="1"/>
  <c r="W332" i="1"/>
  <c r="W333" i="1"/>
  <c r="W334" i="1"/>
  <c r="W335" i="1"/>
  <c r="W336" i="1"/>
  <c r="W359" i="1"/>
  <c r="W360" i="1"/>
  <c r="W361" i="1"/>
  <c r="W362" i="1"/>
  <c r="W363" i="1"/>
  <c r="W364" i="1"/>
  <c r="W365" i="1"/>
  <c r="W366" i="1"/>
  <c r="W367" i="1"/>
  <c r="W368" i="1"/>
  <c r="W369" i="1"/>
  <c r="W370" i="1"/>
  <c r="W371" i="1"/>
  <c r="W372" i="1"/>
  <c r="W373" i="1"/>
  <c r="W374" i="1"/>
  <c r="W375" i="1"/>
  <c r="W376" i="1"/>
  <c r="W377" i="1"/>
  <c r="W378" i="1"/>
  <c r="W379" i="1"/>
  <c r="W380" i="1"/>
  <c r="W381" i="1"/>
  <c r="W382" i="1"/>
  <c r="W383" i="1"/>
  <c r="W384" i="1"/>
  <c r="W385" i="1"/>
  <c r="W386" i="1"/>
  <c r="W387" i="1"/>
  <c r="W388" i="1"/>
  <c r="W389" i="1"/>
  <c r="W390" i="1"/>
  <c r="W391" i="1"/>
  <c r="W392" i="1"/>
  <c r="W393" i="1"/>
  <c r="W394" i="1"/>
  <c r="W395" i="1"/>
  <c r="W396" i="1"/>
  <c r="W397" i="1"/>
  <c r="W398" i="1"/>
  <c r="W399" i="1"/>
  <c r="W400" i="1"/>
  <c r="W401" i="1"/>
  <c r="W402" i="1"/>
  <c r="W403" i="1"/>
  <c r="W404" i="1"/>
  <c r="W405" i="1"/>
  <c r="W406" i="1"/>
  <c r="W407" i="1"/>
  <c r="W408" i="1"/>
  <c r="W409" i="1"/>
  <c r="W410" i="1"/>
  <c r="W411" i="1"/>
  <c r="W412" i="1"/>
  <c r="W620" i="1"/>
  <c r="W414" i="1"/>
  <c r="W415" i="1"/>
  <c r="W416" i="1"/>
  <c r="W417" i="1"/>
  <c r="W418" i="1"/>
  <c r="W419" i="1"/>
  <c r="W420" i="1"/>
  <c r="W421" i="1"/>
  <c r="W422" i="1"/>
  <c r="W423" i="1"/>
  <c r="W424" i="1"/>
  <c r="W425" i="1"/>
  <c r="W426" i="1"/>
  <c r="W427" i="1"/>
  <c r="W428" i="1"/>
  <c r="W429" i="1"/>
  <c r="W430" i="1"/>
  <c r="W431" i="1"/>
  <c r="W432" i="1"/>
  <c r="W433" i="1"/>
  <c r="W434" i="1"/>
  <c r="W435" i="1"/>
  <c r="W436" i="1"/>
  <c r="W437" i="1"/>
  <c r="W438" i="1"/>
  <c r="W439" i="1"/>
  <c r="W440" i="1"/>
  <c r="W441" i="1"/>
  <c r="W442" i="1"/>
  <c r="W443" i="1"/>
  <c r="W444" i="1"/>
  <c r="W445" i="1"/>
  <c r="W446" i="1"/>
  <c r="W447" i="1"/>
  <c r="W448" i="1"/>
  <c r="W449" i="1"/>
  <c r="W450" i="1"/>
  <c r="W451" i="1"/>
  <c r="W452" i="1"/>
  <c r="W453" i="1"/>
  <c r="W454" i="1"/>
  <c r="W455" i="1"/>
  <c r="W456" i="1"/>
  <c r="W457" i="1"/>
  <c r="W458" i="1"/>
  <c r="W459" i="1"/>
  <c r="W460" i="1"/>
  <c r="W461" i="1"/>
  <c r="W462" i="1"/>
  <c r="W463" i="1"/>
  <c r="W464" i="1"/>
  <c r="W465" i="1"/>
  <c r="W466" i="1"/>
  <c r="W467" i="1"/>
  <c r="W468" i="1"/>
  <c r="W469" i="1"/>
  <c r="W470" i="1"/>
  <c r="W621" i="1"/>
  <c r="W622" i="1"/>
  <c r="W623" i="1"/>
  <c r="W624" i="1"/>
  <c r="W625" i="1"/>
  <c r="W626" i="1"/>
  <c r="W627" i="1"/>
  <c r="W628" i="1"/>
  <c r="W629" i="1"/>
  <c r="W630" i="1"/>
  <c r="W631" i="1"/>
  <c r="W632" i="1"/>
  <c r="W633" i="1"/>
  <c r="W634" i="1"/>
  <c r="W635" i="1"/>
  <c r="W636" i="1"/>
  <c r="W637" i="1"/>
  <c r="W638" i="1"/>
  <c r="W639" i="1"/>
  <c r="W640" i="1"/>
  <c r="W641" i="1"/>
  <c r="W642" i="1"/>
  <c r="W643" i="1"/>
  <c r="W644" i="1"/>
  <c r="W645" i="1"/>
  <c r="W646" i="1"/>
  <c r="W647" i="1"/>
  <c r="W648" i="1"/>
  <c r="W649" i="1"/>
  <c r="W650" i="1"/>
  <c r="W651" i="1"/>
  <c r="W652" i="1"/>
  <c r="P858" i="1" l="1"/>
  <c r="Q858" i="1"/>
  <c r="R858" i="1"/>
  <c r="U858" i="1"/>
  <c r="X858" i="1"/>
  <c r="B18" i="13"/>
  <c r="Z858" i="1" l="1"/>
  <c r="Y858" i="1"/>
  <c r="AA858" i="1" s="1"/>
  <c r="P857" i="1" l="1"/>
  <c r="Q857" i="1"/>
  <c r="R857" i="1"/>
  <c r="U857" i="1"/>
  <c r="X857" i="1"/>
  <c r="Y857" i="1" l="1"/>
  <c r="AA857" i="1" s="1"/>
  <c r="Z857" i="1"/>
  <c r="S4" i="1"/>
  <c r="P4" i="1" l="1"/>
  <c r="P856" i="1"/>
  <c r="Q856" i="1"/>
  <c r="R856" i="1"/>
  <c r="U856" i="1"/>
  <c r="X856" i="1"/>
  <c r="Z856" i="1" l="1"/>
  <c r="Y856" i="1"/>
  <c r="AA856" i="1" s="1"/>
  <c r="Q653" i="1" l="1"/>
  <c r="Q654" i="1"/>
  <c r="Q655" i="1"/>
  <c r="Q656" i="1"/>
  <c r="Q657" i="1"/>
  <c r="Q658" i="1"/>
  <c r="Q659" i="1"/>
  <c r="Q660" i="1"/>
  <c r="Q661" i="1"/>
  <c r="Q662" i="1"/>
  <c r="Q663" i="1"/>
  <c r="Q664" i="1"/>
  <c r="Q665" i="1"/>
  <c r="Q666" i="1"/>
  <c r="Q667" i="1"/>
  <c r="Q668" i="1"/>
  <c r="Q669" i="1"/>
  <c r="Q670" i="1"/>
  <c r="Q671" i="1"/>
  <c r="Q672" i="1"/>
  <c r="Q673" i="1"/>
  <c r="Q674" i="1"/>
  <c r="Q675" i="1"/>
  <c r="Q676" i="1"/>
  <c r="Q677" i="1"/>
  <c r="Q678" i="1"/>
  <c r="Q679" i="1"/>
  <c r="Q680" i="1"/>
  <c r="Q681" i="1"/>
  <c r="Q682" i="1"/>
  <c r="Q683" i="1"/>
  <c r="Q684" i="1"/>
  <c r="Q685" i="1"/>
  <c r="Q686" i="1"/>
  <c r="Q687" i="1"/>
  <c r="Q688" i="1"/>
  <c r="Q689" i="1"/>
  <c r="Q690" i="1"/>
  <c r="Q691" i="1"/>
  <c r="Q692" i="1"/>
  <c r="Q693" i="1"/>
  <c r="Q694" i="1"/>
  <c r="Q695" i="1"/>
  <c r="Q696" i="1"/>
  <c r="Q697" i="1"/>
  <c r="Q698" i="1"/>
  <c r="Q699" i="1"/>
  <c r="Q700" i="1"/>
  <c r="Q701" i="1"/>
  <c r="Q702" i="1"/>
  <c r="Q703" i="1"/>
  <c r="Q704" i="1"/>
  <c r="Q705" i="1"/>
  <c r="Q706" i="1"/>
  <c r="Q707" i="1"/>
  <c r="Q708" i="1"/>
  <c r="Q709" i="1"/>
  <c r="Q710" i="1"/>
  <c r="Q711" i="1"/>
  <c r="Q712" i="1"/>
  <c r="Q713" i="1"/>
  <c r="Q714" i="1"/>
  <c r="Q715" i="1"/>
  <c r="Q716" i="1"/>
  <c r="Q717" i="1"/>
  <c r="Q718" i="1"/>
  <c r="Q719" i="1"/>
  <c r="Q720" i="1"/>
  <c r="Q721" i="1"/>
  <c r="Q722" i="1"/>
  <c r="Q723" i="1"/>
  <c r="Q724" i="1"/>
  <c r="Q725" i="1"/>
  <c r="Q726" i="1"/>
  <c r="Q727" i="1"/>
  <c r="Q728" i="1"/>
  <c r="Q729" i="1"/>
  <c r="Q730" i="1"/>
  <c r="Q731" i="1"/>
  <c r="Q732" i="1"/>
  <c r="Q733" i="1"/>
  <c r="Q734" i="1"/>
  <c r="Q735" i="1"/>
  <c r="Q736" i="1"/>
  <c r="Q737" i="1"/>
  <c r="Q738" i="1"/>
  <c r="Q739" i="1"/>
  <c r="Q740" i="1"/>
  <c r="Q741" i="1"/>
  <c r="Q742" i="1"/>
  <c r="Q743" i="1"/>
  <c r="Q744" i="1"/>
  <c r="Q745" i="1"/>
  <c r="Q746" i="1"/>
  <c r="Q747" i="1"/>
  <c r="Q748" i="1"/>
  <c r="Q749" i="1"/>
  <c r="Q750" i="1"/>
  <c r="Q751" i="1"/>
  <c r="Q752" i="1"/>
  <c r="Q753" i="1"/>
  <c r="Q754" i="1"/>
  <c r="Q755" i="1"/>
  <c r="Q756" i="1"/>
  <c r="Q757" i="1"/>
  <c r="Q758" i="1"/>
  <c r="Q759" i="1"/>
  <c r="Q760" i="1"/>
  <c r="Q761" i="1"/>
  <c r="Q762" i="1"/>
  <c r="Q763" i="1"/>
  <c r="Q764" i="1"/>
  <c r="Q765" i="1"/>
  <c r="Q766" i="1"/>
  <c r="Q767" i="1"/>
  <c r="Q768" i="1"/>
  <c r="Q769" i="1"/>
  <c r="Q770" i="1"/>
  <c r="Q771" i="1"/>
  <c r="Q772" i="1"/>
  <c r="Q773" i="1"/>
  <c r="Q774" i="1"/>
  <c r="Q775" i="1"/>
  <c r="Q776" i="1"/>
  <c r="Q777" i="1"/>
  <c r="Q778" i="1"/>
  <c r="Q779" i="1"/>
  <c r="Q780" i="1"/>
  <c r="Q781" i="1"/>
  <c r="Q782" i="1"/>
  <c r="Q783" i="1"/>
  <c r="Q784" i="1"/>
  <c r="Q785" i="1"/>
  <c r="Q786" i="1"/>
  <c r="Q787" i="1"/>
  <c r="Q788" i="1"/>
  <c r="Q789" i="1"/>
  <c r="Q790" i="1"/>
  <c r="Q791" i="1"/>
  <c r="Q792" i="1"/>
  <c r="Q793" i="1"/>
  <c r="Q794" i="1"/>
  <c r="Q795" i="1"/>
  <c r="Q796" i="1"/>
  <c r="Q797" i="1"/>
  <c r="Q798" i="1"/>
  <c r="Q799" i="1"/>
  <c r="Q800" i="1"/>
  <c r="Q801" i="1"/>
  <c r="Q802" i="1"/>
  <c r="Q803" i="1"/>
  <c r="Q804" i="1"/>
  <c r="Q805" i="1"/>
  <c r="Q806" i="1"/>
  <c r="Q807" i="1"/>
  <c r="Q808" i="1"/>
  <c r="Q809" i="1"/>
  <c r="Q810" i="1"/>
  <c r="Q811" i="1"/>
  <c r="Q812" i="1"/>
  <c r="Q813" i="1"/>
  <c r="Q814" i="1"/>
  <c r="Q815" i="1"/>
  <c r="Q816" i="1"/>
  <c r="Q817" i="1"/>
  <c r="Q818" i="1"/>
  <c r="Q819" i="1"/>
  <c r="Q820" i="1"/>
  <c r="Q821" i="1"/>
  <c r="Q822" i="1"/>
  <c r="Q823" i="1"/>
  <c r="Q824" i="1"/>
  <c r="Q825" i="1"/>
  <c r="Q826" i="1"/>
  <c r="Q827" i="1"/>
  <c r="Q828" i="1"/>
  <c r="Q829" i="1"/>
  <c r="Q830" i="1"/>
  <c r="Q831" i="1"/>
  <c r="Q832" i="1"/>
  <c r="Q833" i="1"/>
  <c r="Q834" i="1"/>
  <c r="Q835" i="1"/>
  <c r="Q836" i="1"/>
  <c r="Q837" i="1"/>
  <c r="Q838" i="1"/>
  <c r="Q839" i="1"/>
  <c r="Q840" i="1"/>
  <c r="Q841" i="1"/>
  <c r="Q842" i="1"/>
  <c r="Q843" i="1"/>
  <c r="Q844" i="1"/>
  <c r="Q845" i="1"/>
  <c r="Q846" i="1"/>
  <c r="Q847" i="1"/>
  <c r="Q848" i="1"/>
  <c r="Q849" i="1"/>
  <c r="Q850" i="1"/>
  <c r="Q851" i="1"/>
  <c r="Q852" i="1"/>
  <c r="Q853" i="1"/>
  <c r="Q854" i="1"/>
  <c r="Q855" i="1"/>
  <c r="R653" i="1" l="1"/>
  <c r="R654" i="1"/>
  <c r="R655" i="1"/>
  <c r="R656" i="1"/>
  <c r="R657" i="1"/>
  <c r="R658" i="1"/>
  <c r="R659" i="1"/>
  <c r="R660" i="1"/>
  <c r="R661" i="1"/>
  <c r="R662" i="1"/>
  <c r="R663" i="1"/>
  <c r="R664" i="1"/>
  <c r="R665" i="1"/>
  <c r="R666" i="1"/>
  <c r="R667" i="1"/>
  <c r="R668" i="1"/>
  <c r="R669" i="1"/>
  <c r="R670" i="1"/>
  <c r="R671" i="1"/>
  <c r="R672" i="1"/>
  <c r="R673" i="1"/>
  <c r="R674" i="1"/>
  <c r="R675" i="1"/>
  <c r="R676" i="1"/>
  <c r="R677" i="1"/>
  <c r="R678" i="1"/>
  <c r="R679" i="1"/>
  <c r="R680" i="1"/>
  <c r="R681" i="1"/>
  <c r="R682" i="1"/>
  <c r="R683" i="1"/>
  <c r="R684" i="1"/>
  <c r="R685" i="1"/>
  <c r="R686" i="1"/>
  <c r="R687" i="1"/>
  <c r="R688" i="1"/>
  <c r="R689" i="1"/>
  <c r="R690" i="1"/>
  <c r="R691" i="1"/>
  <c r="R692" i="1"/>
  <c r="R693" i="1"/>
  <c r="R694" i="1"/>
  <c r="R695" i="1"/>
  <c r="R696" i="1"/>
  <c r="R697" i="1"/>
  <c r="R698" i="1"/>
  <c r="R699" i="1"/>
  <c r="R700" i="1"/>
  <c r="R701" i="1"/>
  <c r="R702" i="1"/>
  <c r="R703" i="1"/>
  <c r="R704" i="1"/>
  <c r="R705" i="1"/>
  <c r="R706" i="1"/>
  <c r="R707" i="1"/>
  <c r="R708" i="1"/>
  <c r="R709" i="1"/>
  <c r="R710" i="1"/>
  <c r="R711" i="1"/>
  <c r="R712" i="1"/>
  <c r="R713" i="1"/>
  <c r="R714" i="1"/>
  <c r="R715" i="1"/>
  <c r="R716" i="1"/>
  <c r="R717" i="1"/>
  <c r="R718" i="1"/>
  <c r="R719" i="1"/>
  <c r="R720" i="1"/>
  <c r="R721" i="1"/>
  <c r="R722" i="1"/>
  <c r="R723" i="1"/>
  <c r="R724" i="1"/>
  <c r="R725" i="1"/>
  <c r="R726" i="1"/>
  <c r="R727" i="1"/>
  <c r="R728" i="1"/>
  <c r="R729" i="1"/>
  <c r="R730" i="1"/>
  <c r="R731" i="1"/>
  <c r="R732" i="1"/>
  <c r="R733" i="1"/>
  <c r="R734" i="1"/>
  <c r="R735" i="1"/>
  <c r="R736" i="1"/>
  <c r="R737" i="1"/>
  <c r="R738" i="1"/>
  <c r="R739" i="1"/>
  <c r="R740" i="1"/>
  <c r="R741" i="1"/>
  <c r="R742" i="1"/>
  <c r="R743" i="1"/>
  <c r="R744" i="1"/>
  <c r="R745" i="1"/>
  <c r="R746" i="1"/>
  <c r="R747" i="1"/>
  <c r="R748" i="1"/>
  <c r="R749" i="1"/>
  <c r="R750" i="1"/>
  <c r="R751" i="1"/>
  <c r="R752" i="1"/>
  <c r="R753" i="1"/>
  <c r="R754" i="1"/>
  <c r="R755" i="1"/>
  <c r="R756" i="1"/>
  <c r="R757" i="1"/>
  <c r="R758" i="1"/>
  <c r="R759" i="1"/>
  <c r="R760" i="1"/>
  <c r="R761" i="1"/>
  <c r="R762" i="1"/>
  <c r="R763" i="1"/>
  <c r="R764" i="1"/>
  <c r="R765" i="1"/>
  <c r="R766" i="1"/>
  <c r="R767" i="1"/>
  <c r="R768" i="1"/>
  <c r="R769" i="1"/>
  <c r="R770" i="1"/>
  <c r="R771" i="1"/>
  <c r="R772" i="1"/>
  <c r="R773" i="1"/>
  <c r="R774" i="1"/>
  <c r="R775" i="1"/>
  <c r="R776" i="1"/>
  <c r="R777" i="1"/>
  <c r="R778" i="1"/>
  <c r="R779" i="1"/>
  <c r="R780" i="1"/>
  <c r="R781" i="1"/>
  <c r="R782" i="1"/>
  <c r="R783" i="1"/>
  <c r="R784" i="1"/>
  <c r="R785" i="1"/>
  <c r="R786" i="1"/>
  <c r="R787" i="1"/>
  <c r="R788" i="1"/>
  <c r="R789" i="1"/>
  <c r="R790" i="1"/>
  <c r="R791" i="1"/>
  <c r="R792" i="1"/>
  <c r="R793" i="1"/>
  <c r="R794" i="1"/>
  <c r="R795" i="1"/>
  <c r="R796" i="1"/>
  <c r="R797" i="1"/>
  <c r="R798" i="1"/>
  <c r="R799" i="1"/>
  <c r="R800" i="1"/>
  <c r="R801" i="1"/>
  <c r="R802" i="1"/>
  <c r="R803" i="1"/>
  <c r="R804" i="1"/>
  <c r="R805" i="1"/>
  <c r="R806" i="1"/>
  <c r="R807" i="1"/>
  <c r="R808" i="1"/>
  <c r="R809" i="1"/>
  <c r="R810" i="1"/>
  <c r="R811" i="1"/>
  <c r="R812" i="1"/>
  <c r="R813" i="1"/>
  <c r="R814" i="1"/>
  <c r="R815" i="1"/>
  <c r="R816" i="1"/>
  <c r="R817" i="1"/>
  <c r="R818" i="1"/>
  <c r="R819" i="1"/>
  <c r="R820" i="1"/>
  <c r="R821" i="1"/>
  <c r="R822" i="1"/>
  <c r="R823" i="1"/>
  <c r="R824" i="1"/>
  <c r="R825" i="1"/>
  <c r="R826" i="1"/>
  <c r="R827" i="1"/>
  <c r="R828" i="1"/>
  <c r="R829" i="1"/>
  <c r="R830" i="1"/>
  <c r="R831" i="1"/>
  <c r="R832" i="1"/>
  <c r="R833" i="1"/>
  <c r="R834" i="1"/>
  <c r="R835" i="1"/>
  <c r="R836" i="1"/>
  <c r="R837" i="1"/>
  <c r="R838" i="1"/>
  <c r="R839" i="1"/>
  <c r="R840" i="1"/>
  <c r="R841" i="1"/>
  <c r="R842" i="1"/>
  <c r="R843" i="1"/>
  <c r="R844" i="1"/>
  <c r="R845" i="1"/>
  <c r="R846" i="1"/>
  <c r="R847" i="1"/>
  <c r="R848" i="1"/>
  <c r="R849" i="1"/>
  <c r="R850" i="1"/>
  <c r="R851" i="1"/>
  <c r="R852" i="1"/>
  <c r="R853" i="1"/>
  <c r="R854" i="1"/>
  <c r="R855" i="1"/>
  <c r="P653" i="1"/>
  <c r="P654" i="1"/>
  <c r="P655" i="1"/>
  <c r="P656" i="1"/>
  <c r="P657" i="1"/>
  <c r="P658" i="1"/>
  <c r="P659" i="1"/>
  <c r="P660" i="1"/>
  <c r="P661" i="1"/>
  <c r="P662" i="1"/>
  <c r="P663" i="1"/>
  <c r="P664" i="1"/>
  <c r="P665" i="1"/>
  <c r="P666" i="1"/>
  <c r="P667" i="1"/>
  <c r="P668" i="1"/>
  <c r="P669" i="1"/>
  <c r="P670" i="1"/>
  <c r="P671" i="1"/>
  <c r="P672" i="1"/>
  <c r="P673" i="1"/>
  <c r="P674" i="1"/>
  <c r="P675" i="1"/>
  <c r="P676" i="1"/>
  <c r="P677" i="1"/>
  <c r="P678" i="1"/>
  <c r="P679" i="1"/>
  <c r="P680" i="1"/>
  <c r="P681" i="1"/>
  <c r="P682" i="1"/>
  <c r="P683" i="1"/>
  <c r="P684" i="1"/>
  <c r="P685" i="1"/>
  <c r="P686" i="1"/>
  <c r="P687" i="1"/>
  <c r="P688" i="1"/>
  <c r="P689" i="1"/>
  <c r="P690" i="1"/>
  <c r="P691" i="1"/>
  <c r="P692" i="1"/>
  <c r="P693" i="1"/>
  <c r="P694" i="1"/>
  <c r="P695" i="1"/>
  <c r="P696" i="1"/>
  <c r="P697" i="1"/>
  <c r="P698" i="1"/>
  <c r="P699" i="1"/>
  <c r="P700" i="1"/>
  <c r="P701" i="1"/>
  <c r="P702" i="1"/>
  <c r="P703" i="1"/>
  <c r="P704" i="1"/>
  <c r="P705" i="1"/>
  <c r="P706" i="1"/>
  <c r="P707" i="1"/>
  <c r="P708" i="1"/>
  <c r="P709" i="1"/>
  <c r="P710" i="1"/>
  <c r="P711" i="1"/>
  <c r="P712" i="1"/>
  <c r="P713" i="1"/>
  <c r="P714" i="1"/>
  <c r="P715" i="1"/>
  <c r="P716" i="1"/>
  <c r="P717" i="1"/>
  <c r="P718" i="1"/>
  <c r="P719" i="1"/>
  <c r="P720" i="1"/>
  <c r="P721" i="1"/>
  <c r="P722" i="1"/>
  <c r="P723" i="1"/>
  <c r="P724" i="1"/>
  <c r="P725" i="1"/>
  <c r="P726" i="1"/>
  <c r="P727" i="1"/>
  <c r="P728" i="1"/>
  <c r="P729" i="1"/>
  <c r="P730" i="1"/>
  <c r="P731" i="1"/>
  <c r="P732" i="1"/>
  <c r="P733" i="1"/>
  <c r="P734" i="1"/>
  <c r="P735" i="1"/>
  <c r="P736" i="1"/>
  <c r="P737" i="1"/>
  <c r="P738" i="1"/>
  <c r="P739" i="1"/>
  <c r="P740" i="1"/>
  <c r="P741" i="1"/>
  <c r="P742" i="1"/>
  <c r="P743" i="1"/>
  <c r="P744" i="1"/>
  <c r="P745" i="1"/>
  <c r="P746" i="1"/>
  <c r="P747" i="1"/>
  <c r="P748" i="1"/>
  <c r="P749" i="1"/>
  <c r="P750" i="1"/>
  <c r="P751" i="1"/>
  <c r="P752" i="1"/>
  <c r="P753" i="1"/>
  <c r="P754" i="1"/>
  <c r="P755" i="1"/>
  <c r="P756" i="1"/>
  <c r="P757" i="1"/>
  <c r="P758" i="1"/>
  <c r="P759" i="1"/>
  <c r="P760" i="1"/>
  <c r="P761" i="1"/>
  <c r="P762" i="1"/>
  <c r="P763" i="1"/>
  <c r="P764" i="1"/>
  <c r="P765" i="1"/>
  <c r="P766" i="1"/>
  <c r="P767" i="1"/>
  <c r="P768" i="1"/>
  <c r="P769" i="1"/>
  <c r="P770" i="1"/>
  <c r="P771" i="1"/>
  <c r="P772" i="1"/>
  <c r="P773" i="1"/>
  <c r="P774" i="1"/>
  <c r="P775" i="1"/>
  <c r="P776" i="1"/>
  <c r="P777" i="1"/>
  <c r="P778" i="1"/>
  <c r="P779" i="1"/>
  <c r="P780" i="1"/>
  <c r="P781" i="1"/>
  <c r="P782" i="1"/>
  <c r="P783" i="1"/>
  <c r="P784" i="1"/>
  <c r="P785" i="1"/>
  <c r="P786" i="1"/>
  <c r="P787" i="1"/>
  <c r="P788" i="1"/>
  <c r="P789" i="1"/>
  <c r="P790" i="1"/>
  <c r="P791" i="1"/>
  <c r="P792" i="1"/>
  <c r="P793" i="1"/>
  <c r="P794" i="1"/>
  <c r="P795" i="1"/>
  <c r="P796" i="1"/>
  <c r="P797" i="1"/>
  <c r="P798" i="1"/>
  <c r="P799" i="1"/>
  <c r="P800" i="1"/>
  <c r="P801" i="1"/>
  <c r="P802" i="1"/>
  <c r="P803" i="1"/>
  <c r="P804" i="1"/>
  <c r="P805" i="1"/>
  <c r="P806" i="1"/>
  <c r="P807" i="1"/>
  <c r="P808" i="1"/>
  <c r="P809" i="1"/>
  <c r="P810" i="1"/>
  <c r="P811" i="1"/>
  <c r="P812" i="1"/>
  <c r="P813" i="1"/>
  <c r="P814" i="1"/>
  <c r="P815" i="1"/>
  <c r="P816" i="1"/>
  <c r="P817" i="1"/>
  <c r="P818" i="1"/>
  <c r="P819" i="1"/>
  <c r="P820" i="1"/>
  <c r="P821" i="1"/>
  <c r="P822" i="1"/>
  <c r="P823" i="1"/>
  <c r="P824" i="1"/>
  <c r="P825" i="1"/>
  <c r="P826" i="1"/>
  <c r="P827" i="1"/>
  <c r="P828" i="1"/>
  <c r="P829" i="1"/>
  <c r="P830" i="1"/>
  <c r="P831" i="1"/>
  <c r="P832" i="1"/>
  <c r="P833" i="1"/>
  <c r="P834" i="1"/>
  <c r="P835" i="1"/>
  <c r="P836" i="1"/>
  <c r="P837" i="1"/>
  <c r="P838" i="1"/>
  <c r="P839" i="1"/>
  <c r="P840" i="1"/>
  <c r="P841" i="1"/>
  <c r="P842" i="1"/>
  <c r="P843" i="1"/>
  <c r="P844" i="1"/>
  <c r="P845" i="1"/>
  <c r="P846" i="1"/>
  <c r="P847" i="1"/>
  <c r="P848" i="1"/>
  <c r="P849" i="1"/>
  <c r="P850" i="1"/>
  <c r="P851" i="1"/>
  <c r="P852" i="1"/>
  <c r="P853" i="1"/>
  <c r="P854" i="1"/>
  <c r="P855" i="1"/>
  <c r="Z477" i="1" l="1"/>
  <c r="Z278" i="1"/>
  <c r="Z266" i="1"/>
  <c r="Z240" i="1"/>
  <c r="Z236" i="1"/>
  <c r="Z233" i="1"/>
  <c r="Z231" i="1"/>
  <c r="Z228" i="1"/>
  <c r="Z203" i="1"/>
  <c r="Z570" i="1"/>
  <c r="Z200" i="1"/>
  <c r="Z565" i="1"/>
  <c r="Z194" i="1"/>
  <c r="Z190" i="1"/>
  <c r="Z180" i="1"/>
  <c r="Z178" i="1"/>
  <c r="Z174" i="1"/>
  <c r="Z170" i="1"/>
  <c r="Z166" i="1"/>
  <c r="Z162" i="1"/>
  <c r="Z158" i="1"/>
  <c r="Z265" i="1"/>
  <c r="Z248" i="1"/>
  <c r="Z241" i="1"/>
  <c r="Z237" i="1"/>
  <c r="Z234" i="1"/>
  <c r="Z229" i="1"/>
  <c r="Z207" i="1"/>
  <c r="Z204" i="1"/>
  <c r="Z571" i="1"/>
  <c r="Z567" i="1"/>
  <c r="Z201" i="1"/>
  <c r="Z195" i="1"/>
  <c r="Z191" i="1"/>
  <c r="Z187" i="1"/>
  <c r="Z185" i="1"/>
  <c r="Z182" i="1"/>
  <c r="Z563" i="1"/>
  <c r="Z175" i="1"/>
  <c r="Z171" i="1"/>
  <c r="Z167" i="1"/>
  <c r="Z163" i="1"/>
  <c r="Z159" i="1"/>
  <c r="Z155" i="1"/>
  <c r="Z153" i="1"/>
  <c r="Z619" i="1"/>
  <c r="Z250" i="1"/>
  <c r="Z239" i="1"/>
  <c r="Z235" i="1"/>
  <c r="Z232" i="1"/>
  <c r="Z604" i="1"/>
  <c r="Z11" i="1"/>
  <c r="Z206" i="1"/>
  <c r="Z202" i="1"/>
  <c r="Z569" i="1"/>
  <c r="Z566" i="1"/>
  <c r="Z199" i="1"/>
  <c r="Z197" i="1"/>
  <c r="Z193" i="1"/>
  <c r="Z189" i="1"/>
  <c r="Z186" i="1"/>
  <c r="Z184" i="1"/>
  <c r="Z179" i="1"/>
  <c r="Z177" i="1"/>
  <c r="Z173" i="1"/>
  <c r="Z169" i="1"/>
  <c r="Z165" i="1"/>
  <c r="Z161" i="1"/>
  <c r="Z157" i="1"/>
  <c r="Z249" i="1"/>
  <c r="Z242" i="1"/>
  <c r="Z238" i="1"/>
  <c r="Z605" i="1"/>
  <c r="Z230" i="1"/>
  <c r="Z471" i="1"/>
  <c r="Z205" i="1"/>
  <c r="Z572" i="1"/>
  <c r="Z568" i="1"/>
  <c r="Z198" i="1"/>
  <c r="Z196" i="1"/>
  <c r="Z192" i="1"/>
  <c r="Z188" i="1"/>
  <c r="Z183" i="1"/>
  <c r="Z564" i="1"/>
  <c r="Z176" i="1"/>
  <c r="Z172" i="1"/>
  <c r="Z168" i="1"/>
  <c r="Z164" i="1"/>
  <c r="Z160" i="1"/>
  <c r="Z156" i="1"/>
  <c r="Z154" i="1"/>
  <c r="P5" i="1"/>
  <c r="U855" i="1" l="1"/>
  <c r="X855" i="1"/>
  <c r="Z855" i="1" l="1"/>
  <c r="Y855" i="1"/>
  <c r="AA855" i="1" s="1"/>
  <c r="T653" i="1" l="1"/>
  <c r="T654" i="1"/>
  <c r="T655" i="1"/>
  <c r="T656" i="1"/>
  <c r="T657" i="1"/>
  <c r="T658" i="1"/>
  <c r="T659" i="1"/>
  <c r="T660" i="1"/>
  <c r="T661" i="1"/>
  <c r="T662" i="1"/>
  <c r="T663" i="1"/>
  <c r="T664" i="1"/>
  <c r="T665" i="1"/>
  <c r="T666" i="1"/>
  <c r="T667" i="1"/>
  <c r="T668" i="1"/>
  <c r="T669" i="1"/>
  <c r="T670" i="1"/>
  <c r="T671" i="1"/>
  <c r="T672" i="1"/>
  <c r="T673" i="1"/>
  <c r="T674" i="1"/>
  <c r="T675" i="1"/>
  <c r="T676" i="1"/>
  <c r="T677" i="1"/>
  <c r="T678" i="1"/>
  <c r="T679" i="1"/>
  <c r="T680" i="1"/>
  <c r="T681" i="1"/>
  <c r="T682" i="1"/>
  <c r="T683" i="1"/>
  <c r="T684" i="1"/>
  <c r="T685" i="1"/>
  <c r="T686" i="1"/>
  <c r="T687" i="1"/>
  <c r="T688" i="1"/>
  <c r="T689" i="1"/>
  <c r="T690" i="1"/>
  <c r="T691" i="1"/>
  <c r="T692" i="1"/>
  <c r="T693" i="1"/>
  <c r="T694" i="1"/>
  <c r="T695" i="1"/>
  <c r="T696" i="1"/>
  <c r="T697" i="1"/>
  <c r="T698" i="1"/>
  <c r="T699" i="1"/>
  <c r="T700" i="1"/>
  <c r="T701" i="1"/>
  <c r="T702" i="1"/>
  <c r="T703" i="1"/>
  <c r="T704" i="1"/>
  <c r="T705" i="1"/>
  <c r="T706" i="1"/>
  <c r="T707" i="1"/>
  <c r="T708" i="1"/>
  <c r="T709" i="1"/>
  <c r="T710" i="1"/>
  <c r="T711" i="1"/>
  <c r="T712" i="1"/>
  <c r="T713" i="1"/>
  <c r="T714" i="1"/>
  <c r="T715" i="1"/>
  <c r="T716" i="1"/>
  <c r="T717" i="1"/>
  <c r="T718" i="1"/>
  <c r="T719" i="1"/>
  <c r="T720" i="1"/>
  <c r="T721" i="1"/>
  <c r="T722" i="1"/>
  <c r="T723" i="1"/>
  <c r="T724" i="1"/>
  <c r="T725" i="1"/>
  <c r="T726" i="1"/>
  <c r="T727" i="1"/>
  <c r="T728" i="1"/>
  <c r="T729" i="1"/>
  <c r="T730" i="1"/>
  <c r="T731" i="1"/>
  <c r="T732" i="1"/>
  <c r="T733" i="1"/>
  <c r="T734" i="1"/>
  <c r="T735" i="1"/>
  <c r="T736" i="1"/>
  <c r="T737" i="1"/>
  <c r="T738" i="1"/>
  <c r="T739" i="1"/>
  <c r="T740" i="1"/>
  <c r="T741" i="1"/>
  <c r="T742" i="1"/>
  <c r="T743" i="1"/>
  <c r="T744" i="1"/>
  <c r="T745" i="1"/>
  <c r="T746" i="1"/>
  <c r="T747" i="1"/>
  <c r="T748" i="1"/>
  <c r="T749" i="1"/>
  <c r="T750" i="1"/>
  <c r="T751" i="1"/>
  <c r="T752" i="1"/>
  <c r="T753" i="1"/>
  <c r="T754" i="1"/>
  <c r="T755" i="1"/>
  <c r="T756" i="1"/>
  <c r="T757" i="1"/>
  <c r="T758" i="1"/>
  <c r="T759" i="1"/>
  <c r="T760" i="1"/>
  <c r="T761" i="1"/>
  <c r="T762" i="1"/>
  <c r="T763" i="1"/>
  <c r="T764" i="1"/>
  <c r="T765" i="1"/>
  <c r="T766" i="1"/>
  <c r="T767" i="1"/>
  <c r="T768" i="1"/>
  <c r="T769" i="1"/>
  <c r="T770" i="1"/>
  <c r="T771" i="1"/>
  <c r="T772" i="1"/>
  <c r="T773" i="1"/>
  <c r="T774" i="1"/>
  <c r="T775" i="1"/>
  <c r="T776" i="1"/>
  <c r="T777" i="1"/>
  <c r="T778" i="1"/>
  <c r="T779" i="1"/>
  <c r="T780" i="1"/>
  <c r="T781" i="1"/>
  <c r="T782" i="1"/>
  <c r="T783" i="1"/>
  <c r="T784" i="1"/>
  <c r="T785" i="1"/>
  <c r="T786" i="1"/>
  <c r="T787" i="1"/>
  <c r="T788" i="1"/>
  <c r="T789" i="1"/>
  <c r="T790" i="1"/>
  <c r="T791" i="1"/>
  <c r="T792" i="1"/>
  <c r="T793" i="1"/>
  <c r="T794" i="1"/>
  <c r="T795" i="1"/>
  <c r="T796" i="1"/>
  <c r="T797" i="1"/>
  <c r="T798" i="1"/>
  <c r="T799" i="1"/>
  <c r="T800" i="1"/>
  <c r="T801" i="1"/>
  <c r="T802" i="1"/>
  <c r="T803" i="1"/>
  <c r="T804" i="1"/>
  <c r="T805" i="1"/>
  <c r="T806" i="1"/>
  <c r="T807" i="1"/>
  <c r="T808" i="1"/>
  <c r="T809" i="1"/>
  <c r="T810" i="1"/>
  <c r="T811" i="1"/>
  <c r="T812" i="1"/>
  <c r="T813" i="1"/>
  <c r="T814" i="1"/>
  <c r="T815" i="1"/>
  <c r="T816" i="1"/>
  <c r="T817" i="1"/>
  <c r="T818" i="1"/>
  <c r="T819" i="1"/>
  <c r="T820" i="1"/>
  <c r="T821" i="1"/>
  <c r="T822" i="1"/>
  <c r="T823" i="1"/>
  <c r="T824" i="1"/>
  <c r="T825" i="1"/>
  <c r="T826" i="1"/>
  <c r="T827" i="1"/>
  <c r="T828" i="1"/>
  <c r="T829" i="1"/>
  <c r="T830" i="1"/>
  <c r="T831" i="1"/>
  <c r="T832" i="1"/>
  <c r="T833" i="1"/>
  <c r="T834" i="1"/>
  <c r="T835" i="1"/>
  <c r="T836" i="1"/>
  <c r="T837" i="1"/>
  <c r="T838" i="1"/>
  <c r="T839" i="1"/>
  <c r="T840" i="1"/>
  <c r="T841" i="1"/>
  <c r="T842" i="1"/>
  <c r="T843" i="1"/>
  <c r="T844" i="1"/>
  <c r="T845" i="1"/>
  <c r="T846" i="1"/>
  <c r="T847" i="1"/>
  <c r="T848" i="1"/>
  <c r="T849" i="1"/>
  <c r="T850" i="1"/>
  <c r="T851" i="1"/>
  <c r="T852" i="1"/>
  <c r="T853" i="1"/>
  <c r="M37" i="9"/>
  <c r="M36" i="9"/>
  <c r="M35" i="9"/>
  <c r="M34" i="9"/>
  <c r="M33" i="9"/>
  <c r="M32" i="9"/>
  <c r="M31" i="9"/>
  <c r="M30" i="9"/>
  <c r="M29" i="9"/>
  <c r="M28" i="9"/>
  <c r="M27" i="9"/>
  <c r="M26" i="9"/>
  <c r="M7" i="9" l="1"/>
  <c r="M8" i="9"/>
  <c r="M9" i="9"/>
  <c r="M10" i="9"/>
  <c r="M11" i="9"/>
  <c r="M12" i="9"/>
  <c r="M13" i="9"/>
  <c r="M14" i="9"/>
  <c r="M15" i="9"/>
  <c r="M16" i="9"/>
  <c r="M17" i="9"/>
  <c r="M18" i="9"/>
  <c r="M19" i="9"/>
  <c r="M6" i="9"/>
  <c r="L20" i="9"/>
  <c r="F20" i="9"/>
  <c r="U14" i="1"/>
  <c r="X14" i="1"/>
  <c r="U15" i="1"/>
  <c r="X15" i="1"/>
  <c r="U16" i="1"/>
  <c r="X16" i="1"/>
  <c r="U17" i="1"/>
  <c r="X17" i="1"/>
  <c r="U18" i="1"/>
  <c r="X18" i="1"/>
  <c r="U19" i="1"/>
  <c r="X19" i="1"/>
  <c r="U20" i="1"/>
  <c r="X20" i="1"/>
  <c r="U21" i="1"/>
  <c r="X21" i="1"/>
  <c r="U22" i="1"/>
  <c r="X22" i="1"/>
  <c r="U23" i="1"/>
  <c r="X23" i="1"/>
  <c r="U24" i="1"/>
  <c r="X24" i="1"/>
  <c r="U25" i="1"/>
  <c r="X25" i="1"/>
  <c r="U26" i="1"/>
  <c r="X26" i="1"/>
  <c r="U27" i="1"/>
  <c r="X27" i="1"/>
  <c r="U28" i="1"/>
  <c r="X28" i="1"/>
  <c r="U478" i="1"/>
  <c r="X478" i="1"/>
  <c r="U479" i="1"/>
  <c r="X479" i="1"/>
  <c r="U480" i="1"/>
  <c r="X480" i="1"/>
  <c r="U29" i="1"/>
  <c r="X29" i="1"/>
  <c r="U30" i="1"/>
  <c r="X30" i="1"/>
  <c r="U31" i="1"/>
  <c r="X31" i="1"/>
  <c r="U32" i="1"/>
  <c r="X32" i="1"/>
  <c r="U33" i="1"/>
  <c r="X33" i="1"/>
  <c r="U34" i="1"/>
  <c r="X34" i="1"/>
  <c r="U481" i="1"/>
  <c r="X481" i="1"/>
  <c r="U482" i="1"/>
  <c r="X482" i="1"/>
  <c r="U483" i="1"/>
  <c r="X483" i="1"/>
  <c r="U485" i="1"/>
  <c r="X485" i="1"/>
  <c r="U486" i="1"/>
  <c r="X486" i="1"/>
  <c r="U487" i="1"/>
  <c r="X487" i="1"/>
  <c r="U488" i="1"/>
  <c r="X488" i="1"/>
  <c r="U489" i="1"/>
  <c r="X489" i="1"/>
  <c r="U490" i="1"/>
  <c r="X490" i="1"/>
  <c r="U491" i="1"/>
  <c r="X491" i="1"/>
  <c r="U492" i="1"/>
  <c r="X492" i="1"/>
  <c r="U493" i="1"/>
  <c r="X493" i="1"/>
  <c r="U494" i="1"/>
  <c r="X494" i="1"/>
  <c r="U495" i="1"/>
  <c r="X495" i="1"/>
  <c r="U496" i="1"/>
  <c r="X496" i="1"/>
  <c r="U497" i="1"/>
  <c r="X497" i="1"/>
  <c r="U498" i="1"/>
  <c r="X498" i="1"/>
  <c r="U499" i="1"/>
  <c r="X499" i="1"/>
  <c r="U500" i="1"/>
  <c r="X500" i="1"/>
  <c r="U501" i="1"/>
  <c r="X501" i="1"/>
  <c r="U502" i="1"/>
  <c r="X502" i="1"/>
  <c r="U503" i="1"/>
  <c r="X503" i="1"/>
  <c r="U504" i="1"/>
  <c r="X504" i="1"/>
  <c r="U505" i="1"/>
  <c r="X505" i="1"/>
  <c r="U506" i="1"/>
  <c r="X506" i="1"/>
  <c r="U507" i="1"/>
  <c r="X507" i="1"/>
  <c r="U508" i="1"/>
  <c r="X508" i="1"/>
  <c r="U509" i="1"/>
  <c r="X509" i="1"/>
  <c r="U510" i="1"/>
  <c r="X510" i="1"/>
  <c r="U511" i="1"/>
  <c r="X511" i="1"/>
  <c r="U35" i="1"/>
  <c r="X35" i="1"/>
  <c r="U36" i="1"/>
  <c r="X36" i="1"/>
  <c r="U512" i="1"/>
  <c r="X512" i="1"/>
  <c r="U513" i="1"/>
  <c r="X513" i="1"/>
  <c r="U514" i="1"/>
  <c r="X514" i="1"/>
  <c r="U37" i="1"/>
  <c r="X37" i="1"/>
  <c r="U515" i="1"/>
  <c r="X515" i="1"/>
  <c r="U516" i="1"/>
  <c r="X516" i="1"/>
  <c r="U38" i="1"/>
  <c r="X38" i="1"/>
  <c r="U39" i="1"/>
  <c r="X39" i="1"/>
  <c r="U517" i="1"/>
  <c r="X517" i="1"/>
  <c r="U518" i="1"/>
  <c r="X518" i="1"/>
  <c r="U40" i="1"/>
  <c r="X40" i="1"/>
  <c r="U519" i="1"/>
  <c r="X519" i="1"/>
  <c r="U520" i="1"/>
  <c r="X520" i="1"/>
  <c r="U521" i="1"/>
  <c r="X521" i="1"/>
  <c r="U41" i="1"/>
  <c r="X41" i="1"/>
  <c r="U522" i="1"/>
  <c r="X522" i="1"/>
  <c r="U523" i="1"/>
  <c r="X523" i="1"/>
  <c r="U42" i="1"/>
  <c r="X42" i="1"/>
  <c r="U524" i="1"/>
  <c r="X524" i="1"/>
  <c r="U43" i="1"/>
  <c r="X43" i="1"/>
  <c r="U525" i="1"/>
  <c r="X525" i="1"/>
  <c r="U44" i="1"/>
  <c r="X44" i="1"/>
  <c r="U526" i="1"/>
  <c r="X526" i="1"/>
  <c r="U45" i="1"/>
  <c r="X45" i="1"/>
  <c r="U527" i="1"/>
  <c r="X527" i="1"/>
  <c r="U46" i="1"/>
  <c r="X46" i="1"/>
  <c r="U47" i="1"/>
  <c r="X47" i="1"/>
  <c r="U48" i="1"/>
  <c r="X48" i="1"/>
  <c r="U49" i="1"/>
  <c r="X49" i="1"/>
  <c r="U50" i="1"/>
  <c r="X50" i="1"/>
  <c r="U282" i="1"/>
  <c r="X282" i="1"/>
  <c r="U51" i="1"/>
  <c r="X51" i="1"/>
  <c r="U52" i="1"/>
  <c r="X52" i="1"/>
  <c r="U53" i="1"/>
  <c r="X53" i="1"/>
  <c r="U54" i="1"/>
  <c r="X54" i="1"/>
  <c r="U55" i="1"/>
  <c r="X55" i="1"/>
  <c r="U474" i="1"/>
  <c r="X474" i="1"/>
  <c r="U57" i="1"/>
  <c r="X57" i="1"/>
  <c r="U58" i="1"/>
  <c r="X58" i="1"/>
  <c r="U59" i="1"/>
  <c r="X59" i="1"/>
  <c r="U60" i="1"/>
  <c r="X60" i="1"/>
  <c r="U61" i="1"/>
  <c r="X61" i="1"/>
  <c r="U62" i="1"/>
  <c r="X62" i="1"/>
  <c r="U63" i="1"/>
  <c r="X63" i="1"/>
  <c r="U64" i="1"/>
  <c r="X64" i="1"/>
  <c r="U65" i="1"/>
  <c r="X65" i="1"/>
  <c r="U66" i="1"/>
  <c r="X66" i="1"/>
  <c r="U473" i="1"/>
  <c r="X473" i="1"/>
  <c r="U472" i="1"/>
  <c r="X472" i="1"/>
  <c r="U68" i="1"/>
  <c r="X68" i="1"/>
  <c r="U69" i="1"/>
  <c r="X69" i="1"/>
  <c r="U70" i="1"/>
  <c r="X70" i="1"/>
  <c r="U71" i="1"/>
  <c r="X71" i="1"/>
  <c r="U72" i="1"/>
  <c r="X72" i="1"/>
  <c r="U73" i="1"/>
  <c r="X73" i="1"/>
  <c r="U74" i="1"/>
  <c r="X74" i="1"/>
  <c r="U75" i="1"/>
  <c r="X75" i="1"/>
  <c r="U76" i="1"/>
  <c r="X76" i="1"/>
  <c r="U77" i="1"/>
  <c r="X77" i="1"/>
  <c r="U78" i="1"/>
  <c r="X78" i="1"/>
  <c r="U79" i="1"/>
  <c r="X79" i="1"/>
  <c r="U80" i="1"/>
  <c r="X80" i="1"/>
  <c r="U81" i="1"/>
  <c r="X81" i="1"/>
  <c r="U82" i="1"/>
  <c r="X82" i="1"/>
  <c r="U83" i="1"/>
  <c r="X83" i="1"/>
  <c r="U84" i="1"/>
  <c r="X84" i="1"/>
  <c r="U85" i="1"/>
  <c r="X85" i="1"/>
  <c r="U86" i="1"/>
  <c r="X86" i="1"/>
  <c r="U528" i="1"/>
  <c r="X528" i="1"/>
  <c r="U529" i="1"/>
  <c r="X529" i="1"/>
  <c r="U87" i="1"/>
  <c r="X87" i="1"/>
  <c r="U530" i="1"/>
  <c r="X530" i="1"/>
  <c r="U531" i="1"/>
  <c r="X531" i="1"/>
  <c r="U532" i="1"/>
  <c r="X532" i="1"/>
  <c r="U533" i="1"/>
  <c r="X533" i="1"/>
  <c r="U534" i="1"/>
  <c r="X534" i="1"/>
  <c r="U535" i="1"/>
  <c r="X535" i="1"/>
  <c r="U536" i="1"/>
  <c r="X536" i="1"/>
  <c r="U537" i="1"/>
  <c r="X537" i="1"/>
  <c r="U538" i="1"/>
  <c r="X538" i="1"/>
  <c r="U539" i="1"/>
  <c r="X539" i="1"/>
  <c r="U540" i="1"/>
  <c r="X540" i="1"/>
  <c r="U541" i="1"/>
  <c r="X541" i="1"/>
  <c r="U542" i="1"/>
  <c r="X542" i="1"/>
  <c r="U543" i="1"/>
  <c r="X543" i="1"/>
  <c r="U544" i="1"/>
  <c r="X544" i="1"/>
  <c r="U88" i="1"/>
  <c r="X88" i="1"/>
  <c r="U545" i="1"/>
  <c r="X545" i="1"/>
  <c r="U546" i="1"/>
  <c r="X546" i="1"/>
  <c r="U547" i="1"/>
  <c r="X547" i="1"/>
  <c r="U548" i="1"/>
  <c r="X548" i="1"/>
  <c r="U549" i="1"/>
  <c r="X549" i="1"/>
  <c r="U550" i="1"/>
  <c r="X550" i="1"/>
  <c r="U551" i="1"/>
  <c r="X551" i="1"/>
  <c r="U552" i="1"/>
  <c r="X552" i="1"/>
  <c r="U553" i="1"/>
  <c r="X553" i="1"/>
  <c r="U554" i="1"/>
  <c r="X554" i="1"/>
  <c r="U89" i="1"/>
  <c r="X89" i="1"/>
  <c r="U555" i="1"/>
  <c r="X555" i="1"/>
  <c r="U556" i="1"/>
  <c r="X556" i="1"/>
  <c r="U557" i="1"/>
  <c r="X557" i="1"/>
  <c r="U558" i="1"/>
  <c r="X558" i="1"/>
  <c r="U559" i="1"/>
  <c r="X559" i="1"/>
  <c r="U90" i="1"/>
  <c r="X90" i="1"/>
  <c r="U91" i="1"/>
  <c r="X91" i="1"/>
  <c r="U92" i="1"/>
  <c r="X92" i="1"/>
  <c r="U93" i="1"/>
  <c r="X93" i="1"/>
  <c r="U94" i="1"/>
  <c r="X94" i="1"/>
  <c r="U95" i="1"/>
  <c r="X95" i="1"/>
  <c r="U96" i="1"/>
  <c r="X96" i="1"/>
  <c r="U97" i="1"/>
  <c r="X97" i="1"/>
  <c r="U98" i="1"/>
  <c r="X98" i="1"/>
  <c r="U99" i="1"/>
  <c r="X99" i="1"/>
  <c r="U100" i="1"/>
  <c r="X100" i="1"/>
  <c r="U101" i="1"/>
  <c r="X101" i="1"/>
  <c r="U102" i="1"/>
  <c r="X102" i="1"/>
  <c r="U103" i="1"/>
  <c r="X103" i="1"/>
  <c r="U104" i="1"/>
  <c r="X104" i="1"/>
  <c r="U105" i="1"/>
  <c r="X105" i="1"/>
  <c r="U106" i="1"/>
  <c r="X106" i="1"/>
  <c r="U107" i="1"/>
  <c r="X107" i="1"/>
  <c r="U108" i="1"/>
  <c r="X108" i="1"/>
  <c r="U109" i="1"/>
  <c r="X109" i="1"/>
  <c r="U110" i="1"/>
  <c r="X110" i="1"/>
  <c r="U111" i="1"/>
  <c r="X111" i="1"/>
  <c r="U112" i="1"/>
  <c r="X112" i="1"/>
  <c r="U113" i="1"/>
  <c r="X113" i="1"/>
  <c r="U114" i="1"/>
  <c r="X114" i="1"/>
  <c r="U115" i="1"/>
  <c r="X115" i="1"/>
  <c r="U116" i="1"/>
  <c r="X116" i="1"/>
  <c r="U117" i="1"/>
  <c r="X117" i="1"/>
  <c r="U118" i="1"/>
  <c r="X118" i="1"/>
  <c r="U119" i="1"/>
  <c r="X119" i="1"/>
  <c r="U120" i="1"/>
  <c r="X120" i="1"/>
  <c r="U121" i="1"/>
  <c r="X121" i="1"/>
  <c r="U122" i="1"/>
  <c r="X122" i="1"/>
  <c r="U123" i="1"/>
  <c r="X123" i="1"/>
  <c r="U124" i="1"/>
  <c r="X124" i="1"/>
  <c r="U125" i="1"/>
  <c r="X125" i="1"/>
  <c r="U12" i="1"/>
  <c r="X12" i="1"/>
  <c r="U128" i="1"/>
  <c r="X128" i="1"/>
  <c r="U129" i="1"/>
  <c r="X129" i="1"/>
  <c r="U130" i="1"/>
  <c r="X130" i="1"/>
  <c r="U131" i="1"/>
  <c r="X131" i="1"/>
  <c r="U132" i="1"/>
  <c r="X132" i="1"/>
  <c r="U133" i="1"/>
  <c r="X133" i="1"/>
  <c r="U134" i="1"/>
  <c r="X134" i="1"/>
  <c r="U135" i="1"/>
  <c r="X135" i="1"/>
  <c r="U136" i="1"/>
  <c r="X136" i="1"/>
  <c r="U137" i="1"/>
  <c r="X137" i="1"/>
  <c r="U560" i="1"/>
  <c r="X560" i="1"/>
  <c r="U561" i="1"/>
  <c r="X561" i="1"/>
  <c r="U139" i="1"/>
  <c r="X139" i="1"/>
  <c r="U140" i="1"/>
  <c r="X140" i="1"/>
  <c r="U141" i="1"/>
  <c r="X141" i="1"/>
  <c r="U142" i="1"/>
  <c r="X142" i="1"/>
  <c r="U143" i="1"/>
  <c r="X143" i="1"/>
  <c r="U144" i="1"/>
  <c r="X144" i="1"/>
  <c r="U145" i="1"/>
  <c r="X145" i="1"/>
  <c r="U146" i="1"/>
  <c r="X146" i="1"/>
  <c r="U147" i="1"/>
  <c r="X147" i="1"/>
  <c r="U148" i="1"/>
  <c r="X148" i="1"/>
  <c r="U562" i="1"/>
  <c r="X562" i="1"/>
  <c r="U149" i="1"/>
  <c r="X149" i="1"/>
  <c r="U150" i="1"/>
  <c r="X150" i="1"/>
  <c r="U151" i="1"/>
  <c r="X151" i="1"/>
  <c r="U152" i="1"/>
  <c r="X152" i="1"/>
  <c r="U153" i="1"/>
  <c r="X153" i="1"/>
  <c r="U154" i="1"/>
  <c r="X154" i="1"/>
  <c r="U155" i="1"/>
  <c r="X155" i="1"/>
  <c r="U156" i="1"/>
  <c r="X156" i="1"/>
  <c r="U157" i="1"/>
  <c r="X157" i="1"/>
  <c r="U158" i="1"/>
  <c r="X158" i="1"/>
  <c r="U159" i="1"/>
  <c r="X159" i="1"/>
  <c r="U160" i="1"/>
  <c r="X160" i="1"/>
  <c r="U161" i="1"/>
  <c r="X161" i="1"/>
  <c r="U162" i="1"/>
  <c r="X162" i="1"/>
  <c r="U163" i="1"/>
  <c r="X163" i="1"/>
  <c r="U164" i="1"/>
  <c r="X164" i="1"/>
  <c r="U165" i="1"/>
  <c r="X165" i="1"/>
  <c r="U166" i="1"/>
  <c r="X166" i="1"/>
  <c r="U167" i="1"/>
  <c r="X167" i="1"/>
  <c r="U168" i="1"/>
  <c r="X168" i="1"/>
  <c r="U169" i="1"/>
  <c r="X169" i="1"/>
  <c r="U170" i="1"/>
  <c r="X170" i="1"/>
  <c r="U171" i="1"/>
  <c r="X171" i="1"/>
  <c r="U172" i="1"/>
  <c r="X172" i="1"/>
  <c r="U173" i="1"/>
  <c r="X173" i="1"/>
  <c r="U174" i="1"/>
  <c r="X174" i="1"/>
  <c r="U175" i="1"/>
  <c r="X175" i="1"/>
  <c r="U176" i="1"/>
  <c r="X176" i="1"/>
  <c r="U177" i="1"/>
  <c r="X177" i="1"/>
  <c r="U178" i="1"/>
  <c r="X178" i="1"/>
  <c r="U563" i="1"/>
  <c r="X563" i="1"/>
  <c r="U564" i="1"/>
  <c r="X564" i="1"/>
  <c r="U179" i="1"/>
  <c r="X179" i="1"/>
  <c r="U180" i="1"/>
  <c r="X180" i="1"/>
  <c r="U477" i="1"/>
  <c r="X477" i="1"/>
  <c r="U182" i="1"/>
  <c r="X182" i="1"/>
  <c r="U183" i="1"/>
  <c r="X183" i="1"/>
  <c r="U184" i="1"/>
  <c r="X184" i="1"/>
  <c r="U185" i="1"/>
  <c r="X185" i="1"/>
  <c r="U186" i="1"/>
  <c r="X186" i="1"/>
  <c r="U187" i="1"/>
  <c r="X187" i="1"/>
  <c r="U188" i="1"/>
  <c r="X188" i="1"/>
  <c r="U189" i="1"/>
  <c r="X189" i="1"/>
  <c r="U190" i="1"/>
  <c r="X190" i="1"/>
  <c r="U191" i="1"/>
  <c r="X191" i="1"/>
  <c r="U192" i="1"/>
  <c r="X192" i="1"/>
  <c r="U193" i="1"/>
  <c r="X193" i="1"/>
  <c r="U194" i="1"/>
  <c r="X194" i="1"/>
  <c r="U195" i="1"/>
  <c r="X195" i="1"/>
  <c r="U196" i="1"/>
  <c r="X196" i="1"/>
  <c r="U197" i="1"/>
  <c r="X197" i="1"/>
  <c r="U565" i="1"/>
  <c r="X565" i="1"/>
  <c r="U198" i="1"/>
  <c r="X198" i="1"/>
  <c r="U199" i="1"/>
  <c r="X199" i="1"/>
  <c r="U200" i="1"/>
  <c r="X200" i="1"/>
  <c r="U201" i="1"/>
  <c r="X201" i="1"/>
  <c r="U566" i="1"/>
  <c r="X566" i="1"/>
  <c r="U567" i="1"/>
  <c r="X567" i="1"/>
  <c r="U568" i="1"/>
  <c r="X568" i="1"/>
  <c r="U569" i="1"/>
  <c r="X569" i="1"/>
  <c r="U570" i="1"/>
  <c r="X570" i="1"/>
  <c r="U571" i="1"/>
  <c r="X571" i="1"/>
  <c r="U572" i="1"/>
  <c r="X572" i="1"/>
  <c r="U202" i="1"/>
  <c r="X202" i="1"/>
  <c r="U203" i="1"/>
  <c r="X203" i="1"/>
  <c r="U204" i="1"/>
  <c r="X204" i="1"/>
  <c r="U205" i="1"/>
  <c r="X205" i="1"/>
  <c r="U206" i="1"/>
  <c r="X206" i="1"/>
  <c r="U207" i="1"/>
  <c r="X207" i="1"/>
  <c r="U475" i="1"/>
  <c r="X475" i="1"/>
  <c r="U573" i="1"/>
  <c r="X573" i="1"/>
  <c r="U476" i="1"/>
  <c r="X476" i="1"/>
  <c r="U210" i="1"/>
  <c r="X210" i="1"/>
  <c r="U575" i="1"/>
  <c r="X575" i="1"/>
  <c r="U576" i="1"/>
  <c r="X576" i="1"/>
  <c r="U577" i="1"/>
  <c r="X577" i="1"/>
  <c r="U578" i="1"/>
  <c r="X578" i="1"/>
  <c r="U579" i="1"/>
  <c r="X579" i="1"/>
  <c r="U580" i="1"/>
  <c r="X580" i="1"/>
  <c r="U581" i="1"/>
  <c r="X581" i="1"/>
  <c r="U211" i="1"/>
  <c r="X211" i="1"/>
  <c r="U582" i="1"/>
  <c r="X582" i="1"/>
  <c r="U583" i="1"/>
  <c r="X583" i="1"/>
  <c r="U584" i="1"/>
  <c r="X584" i="1"/>
  <c r="U212" i="1"/>
  <c r="X212" i="1"/>
  <c r="U585" i="1"/>
  <c r="X585" i="1"/>
  <c r="U213" i="1"/>
  <c r="X213" i="1"/>
  <c r="U586" i="1"/>
  <c r="X586" i="1"/>
  <c r="U214" i="1"/>
  <c r="X214" i="1"/>
  <c r="U215" i="1"/>
  <c r="X215" i="1"/>
  <c r="U587" i="1"/>
  <c r="X587" i="1"/>
  <c r="U216" i="1"/>
  <c r="X216" i="1"/>
  <c r="U217" i="1"/>
  <c r="X217" i="1"/>
  <c r="U218" i="1"/>
  <c r="X218" i="1"/>
  <c r="U219" i="1"/>
  <c r="X219" i="1"/>
  <c r="U220" i="1"/>
  <c r="X220" i="1"/>
  <c r="U588" i="1"/>
  <c r="X588" i="1"/>
  <c r="U221" i="1"/>
  <c r="X221" i="1"/>
  <c r="U589" i="1"/>
  <c r="X589" i="1"/>
  <c r="U590" i="1"/>
  <c r="X590" i="1"/>
  <c r="U591" i="1"/>
  <c r="X591" i="1"/>
  <c r="U592" i="1"/>
  <c r="X592" i="1"/>
  <c r="U222" i="1"/>
  <c r="X222" i="1"/>
  <c r="U593" i="1"/>
  <c r="X593" i="1"/>
  <c r="U594" i="1"/>
  <c r="X594" i="1"/>
  <c r="U595" i="1"/>
  <c r="X595" i="1"/>
  <c r="U596" i="1"/>
  <c r="X596" i="1"/>
  <c r="U597" i="1"/>
  <c r="X597" i="1"/>
  <c r="U484" i="1"/>
  <c r="X484" i="1"/>
  <c r="U56" i="1"/>
  <c r="X56" i="1"/>
  <c r="U67" i="1"/>
  <c r="X67" i="1"/>
  <c r="U126" i="1"/>
  <c r="X126" i="1"/>
  <c r="U471" i="1"/>
  <c r="X471" i="1"/>
  <c r="U11" i="1"/>
  <c r="X11" i="1"/>
  <c r="U127" i="1"/>
  <c r="X127" i="1"/>
  <c r="U181" i="1"/>
  <c r="X181" i="1"/>
  <c r="U208" i="1"/>
  <c r="X208" i="1"/>
  <c r="U209" i="1"/>
  <c r="X209" i="1"/>
  <c r="U574" i="1"/>
  <c r="X574" i="1"/>
  <c r="U598" i="1"/>
  <c r="X598" i="1"/>
  <c r="U599" i="1"/>
  <c r="X599" i="1"/>
  <c r="U600" i="1"/>
  <c r="X600" i="1"/>
  <c r="U223" i="1"/>
  <c r="X223" i="1"/>
  <c r="U224" i="1"/>
  <c r="X224" i="1"/>
  <c r="U225" i="1"/>
  <c r="X225" i="1"/>
  <c r="U226" i="1"/>
  <c r="X226" i="1"/>
  <c r="U602" i="1"/>
  <c r="X602" i="1"/>
  <c r="U603" i="1"/>
  <c r="X603" i="1"/>
  <c r="U227" i="1"/>
  <c r="X227" i="1"/>
  <c r="U228" i="1"/>
  <c r="X228" i="1"/>
  <c r="U229" i="1"/>
  <c r="X229" i="1"/>
  <c r="U230" i="1"/>
  <c r="X230" i="1"/>
  <c r="U604" i="1"/>
  <c r="X604" i="1"/>
  <c r="U231" i="1"/>
  <c r="X231" i="1"/>
  <c r="U232" i="1"/>
  <c r="X232" i="1"/>
  <c r="U233" i="1"/>
  <c r="X233" i="1"/>
  <c r="U234" i="1"/>
  <c r="X234" i="1"/>
  <c r="U605" i="1"/>
  <c r="X605" i="1"/>
  <c r="U235" i="1"/>
  <c r="X235" i="1"/>
  <c r="U236" i="1"/>
  <c r="X236" i="1"/>
  <c r="U237" i="1"/>
  <c r="X237" i="1"/>
  <c r="U238" i="1"/>
  <c r="X238" i="1"/>
  <c r="U239" i="1"/>
  <c r="X239" i="1"/>
  <c r="U240" i="1"/>
  <c r="X240" i="1"/>
  <c r="U241" i="1"/>
  <c r="X241" i="1"/>
  <c r="U242" i="1"/>
  <c r="X242" i="1"/>
  <c r="U243" i="1"/>
  <c r="X243" i="1"/>
  <c r="U244" i="1"/>
  <c r="X244" i="1"/>
  <c r="U245" i="1"/>
  <c r="X245" i="1"/>
  <c r="U246" i="1"/>
  <c r="X246" i="1"/>
  <c r="U247" i="1"/>
  <c r="X247" i="1"/>
  <c r="U248" i="1"/>
  <c r="X248" i="1"/>
  <c r="U249" i="1"/>
  <c r="X249" i="1"/>
  <c r="U250" i="1"/>
  <c r="X250" i="1"/>
  <c r="U251" i="1"/>
  <c r="X251" i="1"/>
  <c r="U252" i="1"/>
  <c r="X252" i="1"/>
  <c r="U606" i="1"/>
  <c r="X606" i="1"/>
  <c r="U608" i="1"/>
  <c r="X608" i="1"/>
  <c r="U609" i="1"/>
  <c r="X609" i="1"/>
  <c r="U610" i="1"/>
  <c r="X610" i="1"/>
  <c r="U253" i="1"/>
  <c r="X253" i="1"/>
  <c r="U611" i="1"/>
  <c r="X611" i="1"/>
  <c r="U612" i="1"/>
  <c r="X612" i="1"/>
  <c r="U254" i="1"/>
  <c r="X254" i="1"/>
  <c r="U613" i="1"/>
  <c r="X613" i="1"/>
  <c r="U614" i="1"/>
  <c r="X614" i="1"/>
  <c r="U255" i="1"/>
  <c r="X255" i="1"/>
  <c r="U256" i="1"/>
  <c r="X256" i="1"/>
  <c r="U615" i="1"/>
  <c r="X615" i="1"/>
  <c r="U616" i="1"/>
  <c r="X616" i="1"/>
  <c r="U257" i="1"/>
  <c r="X257" i="1"/>
  <c r="U617" i="1"/>
  <c r="X617" i="1"/>
  <c r="U258" i="1"/>
  <c r="X258" i="1"/>
  <c r="U259" i="1"/>
  <c r="X259" i="1"/>
  <c r="U260" i="1"/>
  <c r="X260" i="1"/>
  <c r="U261" i="1"/>
  <c r="X261" i="1"/>
  <c r="U262" i="1"/>
  <c r="X262" i="1"/>
  <c r="U618" i="1"/>
  <c r="X618" i="1"/>
  <c r="U263" i="1"/>
  <c r="X263" i="1"/>
  <c r="U264" i="1"/>
  <c r="X264" i="1"/>
  <c r="U265" i="1"/>
  <c r="X265" i="1"/>
  <c r="U619" i="1"/>
  <c r="X619" i="1"/>
  <c r="U266" i="1"/>
  <c r="X266" i="1"/>
  <c r="U267" i="1"/>
  <c r="X267" i="1"/>
  <c r="U268" i="1"/>
  <c r="X268" i="1"/>
  <c r="U269" i="1"/>
  <c r="X269" i="1"/>
  <c r="U270" i="1"/>
  <c r="X270" i="1"/>
  <c r="U271" i="1"/>
  <c r="X271" i="1"/>
  <c r="U272" i="1"/>
  <c r="X272" i="1"/>
  <c r="U273" i="1"/>
  <c r="X273" i="1"/>
  <c r="U274" i="1"/>
  <c r="X274" i="1"/>
  <c r="U275" i="1"/>
  <c r="X275" i="1"/>
  <c r="U276" i="1"/>
  <c r="X276" i="1"/>
  <c r="U277" i="1"/>
  <c r="X277" i="1"/>
  <c r="U278" i="1"/>
  <c r="X278" i="1"/>
  <c r="U279" i="1"/>
  <c r="X279" i="1"/>
  <c r="U280" i="1"/>
  <c r="X280" i="1"/>
  <c r="U281" i="1"/>
  <c r="X281" i="1"/>
  <c r="U283" i="1"/>
  <c r="X283" i="1"/>
  <c r="U284" i="1"/>
  <c r="X284" i="1"/>
  <c r="U285" i="1"/>
  <c r="X285" i="1"/>
  <c r="U286" i="1"/>
  <c r="X286" i="1"/>
  <c r="U287" i="1"/>
  <c r="X287" i="1"/>
  <c r="U288" i="1"/>
  <c r="X288" i="1"/>
  <c r="U289" i="1"/>
  <c r="X289" i="1"/>
  <c r="U290" i="1"/>
  <c r="X290" i="1"/>
  <c r="U291" i="1"/>
  <c r="X291" i="1"/>
  <c r="U292" i="1"/>
  <c r="X292" i="1"/>
  <c r="U293" i="1"/>
  <c r="X293" i="1"/>
  <c r="U294" i="1"/>
  <c r="X294" i="1"/>
  <c r="U295" i="1"/>
  <c r="X295" i="1"/>
  <c r="U296" i="1"/>
  <c r="X296" i="1"/>
  <c r="U297" i="1"/>
  <c r="X297" i="1"/>
  <c r="U298" i="1"/>
  <c r="X298" i="1"/>
  <c r="U299" i="1"/>
  <c r="X299" i="1"/>
  <c r="U300" i="1"/>
  <c r="X300" i="1"/>
  <c r="U301" i="1"/>
  <c r="X301" i="1"/>
  <c r="U302" i="1"/>
  <c r="X302" i="1"/>
  <c r="U303" i="1"/>
  <c r="X303" i="1"/>
  <c r="U304" i="1"/>
  <c r="X304" i="1"/>
  <c r="U305" i="1"/>
  <c r="X305" i="1"/>
  <c r="U306" i="1"/>
  <c r="X306" i="1"/>
  <c r="U307" i="1"/>
  <c r="X307" i="1"/>
  <c r="U308" i="1"/>
  <c r="X308" i="1"/>
  <c r="U309" i="1"/>
  <c r="X309" i="1"/>
  <c r="U310" i="1"/>
  <c r="X310" i="1"/>
  <c r="U311" i="1"/>
  <c r="X311" i="1"/>
  <c r="U312" i="1"/>
  <c r="X312" i="1"/>
  <c r="U313" i="1"/>
  <c r="X313" i="1"/>
  <c r="U314" i="1"/>
  <c r="X314" i="1"/>
  <c r="U315" i="1"/>
  <c r="X315" i="1"/>
  <c r="U316" i="1"/>
  <c r="X316" i="1"/>
  <c r="U317" i="1"/>
  <c r="X317" i="1"/>
  <c r="U318" i="1"/>
  <c r="X318" i="1"/>
  <c r="U319" i="1"/>
  <c r="X319" i="1"/>
  <c r="U320" i="1"/>
  <c r="X320" i="1"/>
  <c r="U321" i="1"/>
  <c r="X321" i="1"/>
  <c r="U322" i="1"/>
  <c r="X322" i="1"/>
  <c r="U323" i="1"/>
  <c r="X323" i="1"/>
  <c r="U324" i="1"/>
  <c r="X324" i="1"/>
  <c r="U325" i="1"/>
  <c r="X325" i="1"/>
  <c r="U326" i="1"/>
  <c r="X326" i="1"/>
  <c r="U327" i="1"/>
  <c r="X327" i="1"/>
  <c r="U328" i="1"/>
  <c r="X328" i="1"/>
  <c r="U329" i="1"/>
  <c r="X329" i="1"/>
  <c r="U330" i="1"/>
  <c r="X330" i="1"/>
  <c r="U331" i="1"/>
  <c r="X331" i="1"/>
  <c r="U332" i="1"/>
  <c r="X332" i="1"/>
  <c r="U333" i="1"/>
  <c r="X333" i="1"/>
  <c r="U334" i="1"/>
  <c r="X334" i="1"/>
  <c r="U335" i="1"/>
  <c r="X335" i="1"/>
  <c r="U336" i="1"/>
  <c r="X336" i="1"/>
  <c r="U337" i="1"/>
  <c r="X337" i="1"/>
  <c r="U338" i="1"/>
  <c r="X338" i="1"/>
  <c r="U339" i="1"/>
  <c r="X339" i="1"/>
  <c r="U340" i="1"/>
  <c r="X340" i="1"/>
  <c r="U341" i="1"/>
  <c r="X341" i="1"/>
  <c r="U342" i="1"/>
  <c r="X342" i="1"/>
  <c r="U343" i="1"/>
  <c r="X343" i="1"/>
  <c r="U344" i="1"/>
  <c r="X344" i="1"/>
  <c r="U345" i="1"/>
  <c r="X345" i="1"/>
  <c r="U346" i="1"/>
  <c r="X346" i="1"/>
  <c r="U347" i="1"/>
  <c r="X347" i="1"/>
  <c r="U348" i="1"/>
  <c r="X348" i="1"/>
  <c r="U349" i="1"/>
  <c r="X349" i="1"/>
  <c r="U350" i="1"/>
  <c r="X350" i="1"/>
  <c r="U351" i="1"/>
  <c r="X351" i="1"/>
  <c r="U352" i="1"/>
  <c r="X352" i="1"/>
  <c r="U353" i="1"/>
  <c r="X353" i="1"/>
  <c r="U354" i="1"/>
  <c r="X354" i="1"/>
  <c r="U355" i="1"/>
  <c r="X355" i="1"/>
  <c r="U356" i="1"/>
  <c r="X356" i="1"/>
  <c r="U357" i="1"/>
  <c r="X357" i="1"/>
  <c r="U358" i="1"/>
  <c r="X358" i="1"/>
  <c r="U359" i="1"/>
  <c r="X359" i="1"/>
  <c r="U360" i="1"/>
  <c r="X360" i="1"/>
  <c r="U361" i="1"/>
  <c r="X361" i="1"/>
  <c r="U362" i="1"/>
  <c r="X362" i="1"/>
  <c r="U363" i="1"/>
  <c r="X363" i="1"/>
  <c r="U364" i="1"/>
  <c r="X364" i="1"/>
  <c r="U365" i="1"/>
  <c r="X365" i="1"/>
  <c r="U366" i="1"/>
  <c r="X366" i="1"/>
  <c r="U367" i="1"/>
  <c r="X367" i="1"/>
  <c r="U368" i="1"/>
  <c r="X368" i="1"/>
  <c r="U369" i="1"/>
  <c r="X369" i="1"/>
  <c r="U370" i="1"/>
  <c r="X370" i="1"/>
  <c r="U371" i="1"/>
  <c r="X371" i="1"/>
  <c r="U372" i="1"/>
  <c r="X372" i="1"/>
  <c r="U373" i="1"/>
  <c r="X373" i="1"/>
  <c r="U374" i="1"/>
  <c r="X374" i="1"/>
  <c r="U375" i="1"/>
  <c r="X375" i="1"/>
  <c r="U376" i="1"/>
  <c r="X376" i="1"/>
  <c r="U377" i="1"/>
  <c r="X377" i="1"/>
  <c r="U378" i="1"/>
  <c r="X378" i="1"/>
  <c r="U379" i="1"/>
  <c r="X379" i="1"/>
  <c r="U380" i="1"/>
  <c r="X380" i="1"/>
  <c r="U381" i="1"/>
  <c r="X381" i="1"/>
  <c r="U382" i="1"/>
  <c r="X382" i="1"/>
  <c r="U383" i="1"/>
  <c r="X383" i="1"/>
  <c r="U384" i="1"/>
  <c r="X384" i="1"/>
  <c r="U385" i="1"/>
  <c r="X385" i="1"/>
  <c r="U386" i="1"/>
  <c r="X386" i="1"/>
  <c r="U387" i="1"/>
  <c r="X387" i="1"/>
  <c r="U388" i="1"/>
  <c r="X388" i="1"/>
  <c r="U389" i="1"/>
  <c r="X389" i="1"/>
  <c r="U390" i="1"/>
  <c r="X390" i="1"/>
  <c r="U391" i="1"/>
  <c r="X391" i="1"/>
  <c r="U392" i="1"/>
  <c r="X392" i="1"/>
  <c r="U393" i="1"/>
  <c r="X393" i="1"/>
  <c r="U394" i="1"/>
  <c r="X394" i="1"/>
  <c r="U395" i="1"/>
  <c r="X395" i="1"/>
  <c r="U396" i="1"/>
  <c r="X396" i="1"/>
  <c r="U397" i="1"/>
  <c r="X397" i="1"/>
  <c r="U398" i="1"/>
  <c r="X398" i="1"/>
  <c r="U399" i="1"/>
  <c r="X399" i="1"/>
  <c r="U400" i="1"/>
  <c r="X400" i="1"/>
  <c r="U401" i="1"/>
  <c r="X401" i="1"/>
  <c r="U402" i="1"/>
  <c r="X402" i="1"/>
  <c r="U403" i="1"/>
  <c r="X403" i="1"/>
  <c r="U404" i="1"/>
  <c r="X404" i="1"/>
  <c r="U405" i="1"/>
  <c r="X405" i="1"/>
  <c r="U406" i="1"/>
  <c r="X406" i="1"/>
  <c r="U407" i="1"/>
  <c r="X407" i="1"/>
  <c r="U408" i="1"/>
  <c r="X408" i="1"/>
  <c r="U409" i="1"/>
  <c r="X409" i="1"/>
  <c r="U410" i="1"/>
  <c r="X410" i="1"/>
  <c r="U411" i="1"/>
  <c r="X411" i="1"/>
  <c r="U412" i="1"/>
  <c r="X412" i="1"/>
  <c r="U413" i="1"/>
  <c r="X413" i="1"/>
  <c r="U620" i="1"/>
  <c r="X620" i="1"/>
  <c r="U414" i="1"/>
  <c r="X414" i="1"/>
  <c r="U415" i="1"/>
  <c r="X415" i="1"/>
  <c r="U416" i="1"/>
  <c r="X416" i="1"/>
  <c r="U417" i="1"/>
  <c r="X417" i="1"/>
  <c r="U418" i="1"/>
  <c r="X418" i="1"/>
  <c r="U419" i="1"/>
  <c r="X419" i="1"/>
  <c r="U420" i="1"/>
  <c r="X420" i="1"/>
  <c r="U421" i="1"/>
  <c r="X421" i="1"/>
  <c r="U422" i="1"/>
  <c r="X422" i="1"/>
  <c r="U423" i="1"/>
  <c r="X423" i="1"/>
  <c r="U424" i="1"/>
  <c r="X424" i="1"/>
  <c r="U425" i="1"/>
  <c r="X425" i="1"/>
  <c r="U426" i="1"/>
  <c r="X426" i="1"/>
  <c r="U427" i="1"/>
  <c r="X427" i="1"/>
  <c r="U428" i="1"/>
  <c r="X428" i="1"/>
  <c r="U429" i="1"/>
  <c r="X429" i="1"/>
  <c r="U430" i="1"/>
  <c r="X430" i="1"/>
  <c r="U431" i="1"/>
  <c r="X431" i="1"/>
  <c r="U432" i="1"/>
  <c r="X432" i="1"/>
  <c r="U433" i="1"/>
  <c r="X433" i="1"/>
  <c r="U434" i="1"/>
  <c r="X434" i="1"/>
  <c r="U435" i="1"/>
  <c r="X435" i="1"/>
  <c r="U436" i="1"/>
  <c r="X436" i="1"/>
  <c r="U437" i="1"/>
  <c r="X437" i="1"/>
  <c r="U438" i="1"/>
  <c r="X438" i="1"/>
  <c r="U439" i="1"/>
  <c r="X439" i="1"/>
  <c r="U440" i="1"/>
  <c r="X440" i="1"/>
  <c r="U441" i="1"/>
  <c r="X441" i="1"/>
  <c r="U442" i="1"/>
  <c r="X442" i="1"/>
  <c r="U443" i="1"/>
  <c r="X443" i="1"/>
  <c r="U444" i="1"/>
  <c r="X444" i="1"/>
  <c r="U445" i="1"/>
  <c r="X445" i="1"/>
  <c r="U446" i="1"/>
  <c r="X446" i="1"/>
  <c r="U447" i="1"/>
  <c r="X447" i="1"/>
  <c r="U448" i="1"/>
  <c r="X448" i="1"/>
  <c r="U449" i="1"/>
  <c r="X449" i="1"/>
  <c r="U450" i="1"/>
  <c r="X450" i="1"/>
  <c r="U451" i="1"/>
  <c r="X451" i="1"/>
  <c r="U452" i="1"/>
  <c r="X452" i="1"/>
  <c r="U453" i="1"/>
  <c r="X453" i="1"/>
  <c r="U454" i="1"/>
  <c r="X454" i="1"/>
  <c r="U455" i="1"/>
  <c r="X455" i="1"/>
  <c r="U456" i="1"/>
  <c r="X456" i="1"/>
  <c r="U457" i="1"/>
  <c r="X457" i="1"/>
  <c r="U458" i="1"/>
  <c r="X458" i="1"/>
  <c r="U459" i="1"/>
  <c r="X459" i="1"/>
  <c r="U460" i="1"/>
  <c r="X460" i="1"/>
  <c r="U461" i="1"/>
  <c r="X461" i="1"/>
  <c r="U462" i="1"/>
  <c r="X462" i="1"/>
  <c r="U463" i="1"/>
  <c r="X463" i="1"/>
  <c r="U464" i="1"/>
  <c r="X464" i="1"/>
  <c r="U465" i="1"/>
  <c r="X465" i="1"/>
  <c r="U466" i="1"/>
  <c r="X466" i="1"/>
  <c r="U467" i="1"/>
  <c r="X467" i="1"/>
  <c r="U468" i="1"/>
  <c r="X468" i="1"/>
  <c r="U469" i="1"/>
  <c r="X469" i="1"/>
  <c r="U470" i="1"/>
  <c r="X470" i="1"/>
  <c r="U621" i="1"/>
  <c r="X621" i="1"/>
  <c r="U622" i="1"/>
  <c r="X622" i="1"/>
  <c r="U623" i="1"/>
  <c r="X623" i="1"/>
  <c r="U624" i="1"/>
  <c r="X624" i="1"/>
  <c r="U625" i="1"/>
  <c r="X625" i="1"/>
  <c r="U626" i="1"/>
  <c r="X626" i="1"/>
  <c r="U627" i="1"/>
  <c r="X627" i="1"/>
  <c r="U628" i="1"/>
  <c r="X628" i="1"/>
  <c r="U629" i="1"/>
  <c r="X629" i="1"/>
  <c r="U630" i="1"/>
  <c r="X630" i="1"/>
  <c r="U631" i="1"/>
  <c r="X631" i="1"/>
  <c r="U632" i="1"/>
  <c r="X632" i="1"/>
  <c r="U633" i="1"/>
  <c r="X633" i="1"/>
  <c r="U607" i="1"/>
  <c r="X607" i="1"/>
  <c r="U634" i="1"/>
  <c r="X634" i="1"/>
  <c r="U635" i="1"/>
  <c r="X635" i="1"/>
  <c r="U636" i="1"/>
  <c r="X636" i="1"/>
  <c r="U637" i="1"/>
  <c r="X637" i="1"/>
  <c r="U638" i="1"/>
  <c r="X638" i="1"/>
  <c r="U639" i="1"/>
  <c r="X639" i="1"/>
  <c r="U640" i="1"/>
  <c r="X640" i="1"/>
  <c r="U641" i="1"/>
  <c r="X641" i="1"/>
  <c r="U642" i="1"/>
  <c r="X642" i="1"/>
  <c r="U643" i="1"/>
  <c r="X643" i="1"/>
  <c r="U644" i="1"/>
  <c r="X644" i="1"/>
  <c r="U645" i="1"/>
  <c r="X645" i="1"/>
  <c r="U646" i="1"/>
  <c r="X646" i="1"/>
  <c r="U647" i="1"/>
  <c r="X647" i="1"/>
  <c r="U648" i="1"/>
  <c r="X648" i="1"/>
  <c r="U649" i="1"/>
  <c r="X649" i="1"/>
  <c r="U650" i="1"/>
  <c r="X650" i="1"/>
  <c r="U651" i="1"/>
  <c r="X651" i="1"/>
  <c r="U652" i="1"/>
  <c r="X652" i="1"/>
  <c r="U653" i="1"/>
  <c r="W653" i="1"/>
  <c r="X653" i="1" s="1"/>
  <c r="U654" i="1"/>
  <c r="W654" i="1"/>
  <c r="X654" i="1" s="1"/>
  <c r="U655" i="1"/>
  <c r="W655" i="1"/>
  <c r="X655" i="1" s="1"/>
  <c r="U656" i="1"/>
  <c r="W656" i="1"/>
  <c r="X656" i="1" s="1"/>
  <c r="U657" i="1"/>
  <c r="W657" i="1"/>
  <c r="X657" i="1" s="1"/>
  <c r="U658" i="1"/>
  <c r="W658" i="1"/>
  <c r="X658" i="1" s="1"/>
  <c r="U659" i="1"/>
  <c r="W659" i="1"/>
  <c r="X659" i="1" s="1"/>
  <c r="U660" i="1"/>
  <c r="W660" i="1"/>
  <c r="X660" i="1" s="1"/>
  <c r="U661" i="1"/>
  <c r="W661" i="1"/>
  <c r="X661" i="1" s="1"/>
  <c r="U662" i="1"/>
  <c r="W662" i="1"/>
  <c r="X662" i="1" s="1"/>
  <c r="U663" i="1"/>
  <c r="W663" i="1"/>
  <c r="X663" i="1" s="1"/>
  <c r="U664" i="1"/>
  <c r="W664" i="1"/>
  <c r="X664" i="1" s="1"/>
  <c r="U665" i="1"/>
  <c r="W665" i="1"/>
  <c r="X665" i="1" s="1"/>
  <c r="U666" i="1"/>
  <c r="W666" i="1"/>
  <c r="X666" i="1" s="1"/>
  <c r="U667" i="1"/>
  <c r="W667" i="1"/>
  <c r="X667" i="1" s="1"/>
  <c r="U668" i="1"/>
  <c r="W668" i="1"/>
  <c r="X668" i="1" s="1"/>
  <c r="U669" i="1"/>
  <c r="W669" i="1"/>
  <c r="X669" i="1" s="1"/>
  <c r="U670" i="1"/>
  <c r="W670" i="1"/>
  <c r="X670" i="1" s="1"/>
  <c r="U671" i="1"/>
  <c r="W671" i="1"/>
  <c r="X671" i="1" s="1"/>
  <c r="U672" i="1"/>
  <c r="W672" i="1"/>
  <c r="X672" i="1" s="1"/>
  <c r="U673" i="1"/>
  <c r="W673" i="1"/>
  <c r="X673" i="1" s="1"/>
  <c r="U674" i="1"/>
  <c r="W674" i="1"/>
  <c r="X674" i="1" s="1"/>
  <c r="U675" i="1"/>
  <c r="W675" i="1"/>
  <c r="X675" i="1" s="1"/>
  <c r="U676" i="1"/>
  <c r="W676" i="1"/>
  <c r="X676" i="1" s="1"/>
  <c r="U677" i="1"/>
  <c r="W677" i="1"/>
  <c r="X677" i="1" s="1"/>
  <c r="U678" i="1"/>
  <c r="W678" i="1"/>
  <c r="X678" i="1" s="1"/>
  <c r="U679" i="1"/>
  <c r="W679" i="1"/>
  <c r="X679" i="1" s="1"/>
  <c r="U680" i="1"/>
  <c r="W680" i="1"/>
  <c r="X680" i="1" s="1"/>
  <c r="U681" i="1"/>
  <c r="W681" i="1"/>
  <c r="X681" i="1" s="1"/>
  <c r="U682" i="1"/>
  <c r="W682" i="1"/>
  <c r="X682" i="1" s="1"/>
  <c r="U683" i="1"/>
  <c r="W683" i="1"/>
  <c r="X683" i="1" s="1"/>
  <c r="U684" i="1"/>
  <c r="W684" i="1"/>
  <c r="X684" i="1" s="1"/>
  <c r="U685" i="1"/>
  <c r="W685" i="1"/>
  <c r="X685" i="1" s="1"/>
  <c r="U686" i="1"/>
  <c r="W686" i="1"/>
  <c r="X686" i="1" s="1"/>
  <c r="U687" i="1"/>
  <c r="W687" i="1"/>
  <c r="X687" i="1" s="1"/>
  <c r="U688" i="1"/>
  <c r="W688" i="1"/>
  <c r="X688" i="1" s="1"/>
  <c r="U689" i="1"/>
  <c r="W689" i="1"/>
  <c r="X689" i="1" s="1"/>
  <c r="U690" i="1"/>
  <c r="W690" i="1"/>
  <c r="X690" i="1" s="1"/>
  <c r="U691" i="1"/>
  <c r="W691" i="1"/>
  <c r="X691" i="1" s="1"/>
  <c r="U692" i="1"/>
  <c r="W692" i="1"/>
  <c r="X692" i="1" s="1"/>
  <c r="U693" i="1"/>
  <c r="W693" i="1"/>
  <c r="X693" i="1" s="1"/>
  <c r="U694" i="1"/>
  <c r="W694" i="1"/>
  <c r="X694" i="1" s="1"/>
  <c r="U695" i="1"/>
  <c r="W695" i="1"/>
  <c r="X695" i="1" s="1"/>
  <c r="U696" i="1"/>
  <c r="W696" i="1"/>
  <c r="X696" i="1" s="1"/>
  <c r="U697" i="1"/>
  <c r="W697" i="1"/>
  <c r="X697" i="1" s="1"/>
  <c r="U698" i="1"/>
  <c r="W698" i="1"/>
  <c r="X698" i="1" s="1"/>
  <c r="U699" i="1"/>
  <c r="W699" i="1"/>
  <c r="X699" i="1" s="1"/>
  <c r="U700" i="1"/>
  <c r="W700" i="1"/>
  <c r="X700" i="1" s="1"/>
  <c r="U701" i="1"/>
  <c r="W701" i="1"/>
  <c r="X701" i="1" s="1"/>
  <c r="U702" i="1"/>
  <c r="W702" i="1"/>
  <c r="X702" i="1" s="1"/>
  <c r="U703" i="1"/>
  <c r="W703" i="1"/>
  <c r="X703" i="1" s="1"/>
  <c r="U704" i="1"/>
  <c r="W704" i="1"/>
  <c r="X704" i="1" s="1"/>
  <c r="U705" i="1"/>
  <c r="W705" i="1"/>
  <c r="X705" i="1" s="1"/>
  <c r="U706" i="1"/>
  <c r="W706" i="1"/>
  <c r="X706" i="1" s="1"/>
  <c r="U707" i="1"/>
  <c r="W707" i="1"/>
  <c r="X707" i="1" s="1"/>
  <c r="U708" i="1"/>
  <c r="W708" i="1"/>
  <c r="X708" i="1" s="1"/>
  <c r="U709" i="1"/>
  <c r="W709" i="1"/>
  <c r="X709" i="1" s="1"/>
  <c r="U710" i="1"/>
  <c r="W710" i="1"/>
  <c r="X710" i="1" s="1"/>
  <c r="U711" i="1"/>
  <c r="W711" i="1"/>
  <c r="X711" i="1" s="1"/>
  <c r="U712" i="1"/>
  <c r="W712" i="1"/>
  <c r="X712" i="1" s="1"/>
  <c r="U713" i="1"/>
  <c r="W713" i="1"/>
  <c r="X713" i="1" s="1"/>
  <c r="U714" i="1"/>
  <c r="W714" i="1"/>
  <c r="X714" i="1" s="1"/>
  <c r="U715" i="1"/>
  <c r="W715" i="1"/>
  <c r="X715" i="1" s="1"/>
  <c r="U716" i="1"/>
  <c r="W716" i="1"/>
  <c r="X716" i="1" s="1"/>
  <c r="U717" i="1"/>
  <c r="W717" i="1"/>
  <c r="X717" i="1" s="1"/>
  <c r="U718" i="1"/>
  <c r="W718" i="1"/>
  <c r="X718" i="1" s="1"/>
  <c r="U719" i="1"/>
  <c r="W719" i="1"/>
  <c r="X719" i="1" s="1"/>
  <c r="U720" i="1"/>
  <c r="W720" i="1"/>
  <c r="X720" i="1" s="1"/>
  <c r="U721" i="1"/>
  <c r="W721" i="1"/>
  <c r="X721" i="1" s="1"/>
  <c r="U722" i="1"/>
  <c r="W722" i="1"/>
  <c r="X722" i="1" s="1"/>
  <c r="U723" i="1"/>
  <c r="W723" i="1"/>
  <c r="X723" i="1" s="1"/>
  <c r="U724" i="1"/>
  <c r="W724" i="1"/>
  <c r="X724" i="1" s="1"/>
  <c r="U725" i="1"/>
  <c r="W725" i="1"/>
  <c r="X725" i="1" s="1"/>
  <c r="U726" i="1"/>
  <c r="W726" i="1"/>
  <c r="X726" i="1" s="1"/>
  <c r="U727" i="1"/>
  <c r="W727" i="1"/>
  <c r="X727" i="1" s="1"/>
  <c r="U728" i="1"/>
  <c r="W728" i="1"/>
  <c r="X728" i="1" s="1"/>
  <c r="U729" i="1"/>
  <c r="W729" i="1"/>
  <c r="X729" i="1" s="1"/>
  <c r="U730" i="1"/>
  <c r="W730" i="1"/>
  <c r="X730" i="1" s="1"/>
  <c r="U731" i="1"/>
  <c r="W731" i="1"/>
  <c r="X731" i="1" s="1"/>
  <c r="U732" i="1"/>
  <c r="W732" i="1"/>
  <c r="X732" i="1" s="1"/>
  <c r="U733" i="1"/>
  <c r="W733" i="1"/>
  <c r="X733" i="1" s="1"/>
  <c r="U734" i="1"/>
  <c r="W734" i="1"/>
  <c r="X734" i="1" s="1"/>
  <c r="U735" i="1"/>
  <c r="W735" i="1"/>
  <c r="X735" i="1" s="1"/>
  <c r="U736" i="1"/>
  <c r="W736" i="1"/>
  <c r="X736" i="1" s="1"/>
  <c r="U737" i="1"/>
  <c r="W737" i="1"/>
  <c r="X737" i="1" s="1"/>
  <c r="U738" i="1"/>
  <c r="W738" i="1"/>
  <c r="X738" i="1" s="1"/>
  <c r="U739" i="1"/>
  <c r="W739" i="1"/>
  <c r="X739" i="1" s="1"/>
  <c r="U740" i="1"/>
  <c r="W740" i="1"/>
  <c r="X740" i="1" s="1"/>
  <c r="U741" i="1"/>
  <c r="W741" i="1"/>
  <c r="X741" i="1" s="1"/>
  <c r="U742" i="1"/>
  <c r="W742" i="1"/>
  <c r="X742" i="1" s="1"/>
  <c r="U743" i="1"/>
  <c r="W743" i="1"/>
  <c r="X743" i="1" s="1"/>
  <c r="U744" i="1"/>
  <c r="W744" i="1"/>
  <c r="X744" i="1" s="1"/>
  <c r="U745" i="1"/>
  <c r="W745" i="1"/>
  <c r="X745" i="1" s="1"/>
  <c r="U746" i="1"/>
  <c r="W746" i="1"/>
  <c r="X746" i="1" s="1"/>
  <c r="U747" i="1"/>
  <c r="W747" i="1"/>
  <c r="X747" i="1" s="1"/>
  <c r="U748" i="1"/>
  <c r="W748" i="1"/>
  <c r="X748" i="1" s="1"/>
  <c r="U749" i="1"/>
  <c r="W749" i="1"/>
  <c r="X749" i="1" s="1"/>
  <c r="U750" i="1"/>
  <c r="W750" i="1"/>
  <c r="X750" i="1" s="1"/>
  <c r="U751" i="1"/>
  <c r="W751" i="1"/>
  <c r="X751" i="1" s="1"/>
  <c r="U752" i="1"/>
  <c r="W752" i="1"/>
  <c r="X752" i="1" s="1"/>
  <c r="U753" i="1"/>
  <c r="W753" i="1"/>
  <c r="X753" i="1" s="1"/>
  <c r="U754" i="1"/>
  <c r="W754" i="1"/>
  <c r="X754" i="1" s="1"/>
  <c r="U755" i="1"/>
  <c r="W755" i="1"/>
  <c r="X755" i="1" s="1"/>
  <c r="U756" i="1"/>
  <c r="W756" i="1"/>
  <c r="X756" i="1" s="1"/>
  <c r="U757" i="1"/>
  <c r="W757" i="1"/>
  <c r="X757" i="1" s="1"/>
  <c r="U758" i="1"/>
  <c r="W758" i="1"/>
  <c r="X758" i="1" s="1"/>
  <c r="U759" i="1"/>
  <c r="W759" i="1"/>
  <c r="X759" i="1" s="1"/>
  <c r="U760" i="1"/>
  <c r="W760" i="1"/>
  <c r="X760" i="1" s="1"/>
  <c r="U761" i="1"/>
  <c r="W761" i="1"/>
  <c r="X761" i="1" s="1"/>
  <c r="U762" i="1"/>
  <c r="W762" i="1"/>
  <c r="X762" i="1" s="1"/>
  <c r="U763" i="1"/>
  <c r="W763" i="1"/>
  <c r="X763" i="1" s="1"/>
  <c r="U764" i="1"/>
  <c r="W764" i="1"/>
  <c r="X764" i="1" s="1"/>
  <c r="U765" i="1"/>
  <c r="W765" i="1"/>
  <c r="X765" i="1" s="1"/>
  <c r="U766" i="1"/>
  <c r="W766" i="1"/>
  <c r="X766" i="1" s="1"/>
  <c r="U767" i="1"/>
  <c r="W767" i="1"/>
  <c r="X767" i="1" s="1"/>
  <c r="U768" i="1"/>
  <c r="W768" i="1"/>
  <c r="X768" i="1" s="1"/>
  <c r="U769" i="1"/>
  <c r="W769" i="1"/>
  <c r="X769" i="1" s="1"/>
  <c r="U770" i="1"/>
  <c r="W770" i="1"/>
  <c r="X770" i="1" s="1"/>
  <c r="U771" i="1"/>
  <c r="W771" i="1"/>
  <c r="X771" i="1" s="1"/>
  <c r="U772" i="1"/>
  <c r="W772" i="1"/>
  <c r="X772" i="1" s="1"/>
  <c r="U773" i="1"/>
  <c r="W773" i="1"/>
  <c r="X773" i="1" s="1"/>
  <c r="U774" i="1"/>
  <c r="W774" i="1"/>
  <c r="X774" i="1" s="1"/>
  <c r="U775" i="1"/>
  <c r="W775" i="1"/>
  <c r="X775" i="1" s="1"/>
  <c r="U776" i="1"/>
  <c r="W776" i="1"/>
  <c r="X776" i="1" s="1"/>
  <c r="U777" i="1"/>
  <c r="W777" i="1"/>
  <c r="X777" i="1" s="1"/>
  <c r="U778" i="1"/>
  <c r="W778" i="1"/>
  <c r="X778" i="1" s="1"/>
  <c r="U779" i="1"/>
  <c r="W779" i="1"/>
  <c r="X779" i="1" s="1"/>
  <c r="U780" i="1"/>
  <c r="W780" i="1"/>
  <c r="X780" i="1" s="1"/>
  <c r="U781" i="1"/>
  <c r="W781" i="1"/>
  <c r="X781" i="1" s="1"/>
  <c r="U782" i="1"/>
  <c r="W782" i="1"/>
  <c r="X782" i="1" s="1"/>
  <c r="U783" i="1"/>
  <c r="W783" i="1"/>
  <c r="X783" i="1" s="1"/>
  <c r="U784" i="1"/>
  <c r="W784" i="1"/>
  <c r="X784" i="1" s="1"/>
  <c r="U785" i="1"/>
  <c r="W785" i="1"/>
  <c r="X785" i="1" s="1"/>
  <c r="U786" i="1"/>
  <c r="W786" i="1"/>
  <c r="X786" i="1" s="1"/>
  <c r="U787" i="1"/>
  <c r="W787" i="1"/>
  <c r="X787" i="1" s="1"/>
  <c r="U788" i="1"/>
  <c r="W788" i="1"/>
  <c r="X788" i="1" s="1"/>
  <c r="U789" i="1"/>
  <c r="W789" i="1"/>
  <c r="X789" i="1" s="1"/>
  <c r="U790" i="1"/>
  <c r="W790" i="1"/>
  <c r="X790" i="1" s="1"/>
  <c r="U791" i="1"/>
  <c r="W791" i="1"/>
  <c r="X791" i="1" s="1"/>
  <c r="U792" i="1"/>
  <c r="W792" i="1"/>
  <c r="X792" i="1" s="1"/>
  <c r="U793" i="1"/>
  <c r="W793" i="1"/>
  <c r="X793" i="1" s="1"/>
  <c r="U794" i="1"/>
  <c r="W794" i="1"/>
  <c r="X794" i="1" s="1"/>
  <c r="U795" i="1"/>
  <c r="W795" i="1"/>
  <c r="X795" i="1" s="1"/>
  <c r="U796" i="1"/>
  <c r="W796" i="1"/>
  <c r="X796" i="1" s="1"/>
  <c r="U797" i="1"/>
  <c r="W797" i="1"/>
  <c r="X797" i="1" s="1"/>
  <c r="U798" i="1"/>
  <c r="W798" i="1"/>
  <c r="X798" i="1" s="1"/>
  <c r="U799" i="1"/>
  <c r="W799" i="1"/>
  <c r="X799" i="1" s="1"/>
  <c r="U800" i="1"/>
  <c r="W800" i="1"/>
  <c r="X800" i="1" s="1"/>
  <c r="U801" i="1"/>
  <c r="W801" i="1"/>
  <c r="X801" i="1" s="1"/>
  <c r="U802" i="1"/>
  <c r="W802" i="1"/>
  <c r="X802" i="1" s="1"/>
  <c r="U803" i="1"/>
  <c r="W803" i="1"/>
  <c r="X803" i="1" s="1"/>
  <c r="U804" i="1"/>
  <c r="W804" i="1"/>
  <c r="X804" i="1" s="1"/>
  <c r="U805" i="1"/>
  <c r="W805" i="1"/>
  <c r="X805" i="1" s="1"/>
  <c r="U806" i="1"/>
  <c r="W806" i="1"/>
  <c r="X806" i="1" s="1"/>
  <c r="U807" i="1"/>
  <c r="W807" i="1"/>
  <c r="X807" i="1" s="1"/>
  <c r="U808" i="1"/>
  <c r="W808" i="1"/>
  <c r="X808" i="1" s="1"/>
  <c r="U809" i="1"/>
  <c r="W809" i="1"/>
  <c r="X809" i="1" s="1"/>
  <c r="U810" i="1"/>
  <c r="W810" i="1"/>
  <c r="X810" i="1" s="1"/>
  <c r="U811" i="1"/>
  <c r="W811" i="1"/>
  <c r="X811" i="1" s="1"/>
  <c r="U812" i="1"/>
  <c r="W812" i="1"/>
  <c r="X812" i="1" s="1"/>
  <c r="U813" i="1"/>
  <c r="W813" i="1"/>
  <c r="X813" i="1" s="1"/>
  <c r="U814" i="1"/>
  <c r="W814" i="1"/>
  <c r="X814" i="1" s="1"/>
  <c r="U815" i="1"/>
  <c r="W815" i="1"/>
  <c r="X815" i="1" s="1"/>
  <c r="U816" i="1"/>
  <c r="W816" i="1"/>
  <c r="X816" i="1" s="1"/>
  <c r="Y471" i="1" l="1"/>
  <c r="AA471" i="1" s="1"/>
  <c r="M20" i="9"/>
  <c r="Z761" i="1"/>
  <c r="Z757" i="1"/>
  <c r="Y614" i="1"/>
  <c r="AA614" i="1" s="1"/>
  <c r="Y379" i="1"/>
  <c r="AA379" i="1" s="1"/>
  <c r="Y681" i="1"/>
  <c r="AA681" i="1" s="1"/>
  <c r="Y320" i="1"/>
  <c r="AA320" i="1" s="1"/>
  <c r="Y276" i="1"/>
  <c r="AA276" i="1" s="1"/>
  <c r="Y369" i="1"/>
  <c r="AA369" i="1" s="1"/>
  <c r="Y330" i="1"/>
  <c r="AA330" i="1" s="1"/>
  <c r="Y737" i="1"/>
  <c r="AA737" i="1" s="1"/>
  <c r="Y713" i="1"/>
  <c r="AA713" i="1" s="1"/>
  <c r="Y634" i="1"/>
  <c r="AA634" i="1" s="1"/>
  <c r="Y127" i="1"/>
  <c r="AA127" i="1" s="1"/>
  <c r="Y597" i="1"/>
  <c r="AA597" i="1" s="1"/>
  <c r="Y389" i="1"/>
  <c r="AA389" i="1" s="1"/>
  <c r="Y600" i="1"/>
  <c r="AA600" i="1" s="1"/>
  <c r="Y743" i="1"/>
  <c r="AA743" i="1" s="1"/>
  <c r="Y671" i="1"/>
  <c r="AA671" i="1" s="1"/>
  <c r="Y663" i="1"/>
  <c r="AA663" i="1" s="1"/>
  <c r="Y655" i="1"/>
  <c r="AA655" i="1" s="1"/>
  <c r="Y425" i="1"/>
  <c r="AA425" i="1" s="1"/>
  <c r="Y417" i="1"/>
  <c r="AA417" i="1" s="1"/>
  <c r="Y402" i="1"/>
  <c r="AA402" i="1" s="1"/>
  <c r="Y119" i="1"/>
  <c r="AA119" i="1" s="1"/>
  <c r="Y126" i="1"/>
  <c r="AA126" i="1" s="1"/>
  <c r="Y484" i="1"/>
  <c r="AA484" i="1" s="1"/>
  <c r="Y18" i="1"/>
  <c r="AA18" i="1" s="1"/>
  <c r="Z131" i="1"/>
  <c r="Z118" i="1"/>
  <c r="Y761" i="1"/>
  <c r="AA761" i="1" s="1"/>
  <c r="Y756" i="1"/>
  <c r="AA756" i="1" s="1"/>
  <c r="Z709" i="1"/>
  <c r="Y678" i="1"/>
  <c r="AA678" i="1" s="1"/>
  <c r="Z677" i="1"/>
  <c r="Y419" i="1"/>
  <c r="AA419" i="1" s="1"/>
  <c r="Y348" i="1"/>
  <c r="AA348" i="1" s="1"/>
  <c r="Y340" i="1"/>
  <c r="AA340" i="1" s="1"/>
  <c r="Z293" i="1"/>
  <c r="Y225" i="1"/>
  <c r="AA225" i="1" s="1"/>
  <c r="Y187" i="1"/>
  <c r="AA187" i="1" s="1"/>
  <c r="Y136" i="1"/>
  <c r="AA136" i="1" s="1"/>
  <c r="Y816" i="1"/>
  <c r="AA816" i="1" s="1"/>
  <c r="Y708" i="1"/>
  <c r="AA708" i="1" s="1"/>
  <c r="Y676" i="1"/>
  <c r="AA676" i="1" s="1"/>
  <c r="Y312" i="1"/>
  <c r="AA312" i="1" s="1"/>
  <c r="Z43" i="1"/>
  <c r="Z483" i="1"/>
  <c r="Y808" i="1"/>
  <c r="AA808" i="1" s="1"/>
  <c r="Y792" i="1"/>
  <c r="AA792" i="1" s="1"/>
  <c r="Y784" i="1"/>
  <c r="AA784" i="1" s="1"/>
  <c r="Z725" i="1"/>
  <c r="Y135" i="1"/>
  <c r="AA135" i="1" s="1"/>
  <c r="Z100" i="1"/>
  <c r="Z543" i="1"/>
  <c r="Z554" i="1"/>
  <c r="Y622" i="1"/>
  <c r="AA622" i="1" s="1"/>
  <c r="Y410" i="1"/>
  <c r="AA410" i="1" s="1"/>
  <c r="Y404" i="1"/>
  <c r="AA404" i="1" s="1"/>
  <c r="Y354" i="1"/>
  <c r="AA354" i="1" s="1"/>
  <c r="Y293" i="1"/>
  <c r="AA293" i="1" s="1"/>
  <c r="Y270" i="1"/>
  <c r="AA270" i="1" s="1"/>
  <c r="Y223" i="1"/>
  <c r="AA223" i="1" s="1"/>
  <c r="Z223" i="1"/>
  <c r="Z600" i="1"/>
  <c r="Y181" i="1"/>
  <c r="AA181" i="1" s="1"/>
  <c r="Y56" i="1"/>
  <c r="AA56" i="1" s="1"/>
  <c r="Y207" i="1"/>
  <c r="AA207" i="1" s="1"/>
  <c r="Y197" i="1"/>
  <c r="AA197" i="1" s="1"/>
  <c r="Y166" i="1"/>
  <c r="AA166" i="1" s="1"/>
  <c r="Y148" i="1"/>
  <c r="AA148" i="1" s="1"/>
  <c r="Y133" i="1"/>
  <c r="AA133" i="1" s="1"/>
  <c r="Z133" i="1"/>
  <c r="Y777" i="1"/>
  <c r="AA777" i="1" s="1"/>
  <c r="Z759" i="1"/>
  <c r="Z745" i="1"/>
  <c r="Y711" i="1"/>
  <c r="AA711" i="1" s="1"/>
  <c r="Z783" i="1"/>
  <c r="Y759" i="1"/>
  <c r="AA759" i="1" s="1"/>
  <c r="Y745" i="1"/>
  <c r="AA745" i="1" s="1"/>
  <c r="Y710" i="1"/>
  <c r="AA710" i="1" s="1"/>
  <c r="Z634" i="1"/>
  <c r="Z632" i="1"/>
  <c r="Y630" i="1"/>
  <c r="AA630" i="1" s="1"/>
  <c r="Z629" i="1"/>
  <c r="Y450" i="1"/>
  <c r="AA450" i="1" s="1"/>
  <c r="Y359" i="1"/>
  <c r="AA359" i="1" s="1"/>
  <c r="Y335" i="1"/>
  <c r="AA335" i="1" s="1"/>
  <c r="Y319" i="1"/>
  <c r="AA319" i="1" s="1"/>
  <c r="Y248" i="1"/>
  <c r="AA248" i="1" s="1"/>
  <c r="Y175" i="1"/>
  <c r="AA175" i="1" s="1"/>
  <c r="Y169" i="1"/>
  <c r="AA169" i="1" s="1"/>
  <c r="Y140" i="1"/>
  <c r="AA140" i="1" s="1"/>
  <c r="Y112" i="1"/>
  <c r="AA112" i="1" s="1"/>
  <c r="Z103" i="1"/>
  <c r="Y101" i="1"/>
  <c r="AA101" i="1" s="1"/>
  <c r="Y782" i="1"/>
  <c r="AA782" i="1" s="1"/>
  <c r="Y774" i="1"/>
  <c r="AA774" i="1" s="1"/>
  <c r="Y639" i="1"/>
  <c r="AA639" i="1" s="1"/>
  <c r="Y329" i="1"/>
  <c r="AA329" i="1" s="1"/>
  <c r="Z326" i="1"/>
  <c r="Y323" i="1"/>
  <c r="AA323" i="1" s="1"/>
  <c r="Y602" i="1"/>
  <c r="AA602" i="1" s="1"/>
  <c r="Y151" i="1"/>
  <c r="AA151" i="1" s="1"/>
  <c r="Z146" i="1"/>
  <c r="Z64" i="1"/>
  <c r="Z49" i="1"/>
  <c r="Z751" i="1"/>
  <c r="Z741" i="1"/>
  <c r="Y729" i="1"/>
  <c r="AA729" i="1" s="1"/>
  <c r="Y726" i="1"/>
  <c r="AA726" i="1" s="1"/>
  <c r="Y703" i="1"/>
  <c r="AA703" i="1" s="1"/>
  <c r="Y695" i="1"/>
  <c r="AA695" i="1" s="1"/>
  <c r="Y687" i="1"/>
  <c r="AA687" i="1" s="1"/>
  <c r="Y673" i="1"/>
  <c r="AA673" i="1" s="1"/>
  <c r="Y448" i="1"/>
  <c r="AA448" i="1" s="1"/>
  <c r="Z446" i="1"/>
  <c r="Y444" i="1"/>
  <c r="AA444" i="1" s="1"/>
  <c r="Y440" i="1"/>
  <c r="AA440" i="1" s="1"/>
  <c r="Y434" i="1"/>
  <c r="AA434" i="1" s="1"/>
  <c r="Y432" i="1"/>
  <c r="AA432" i="1" s="1"/>
  <c r="Z383" i="1"/>
  <c r="Y381" i="1"/>
  <c r="AA381" i="1" s="1"/>
  <c r="Y377" i="1"/>
  <c r="AA377" i="1" s="1"/>
  <c r="Y350" i="1"/>
  <c r="AA350" i="1" s="1"/>
  <c r="Z344" i="1"/>
  <c r="Z303" i="1"/>
  <c r="Y281" i="1"/>
  <c r="AA281" i="1" s="1"/>
  <c r="Z280" i="1"/>
  <c r="Y196" i="1"/>
  <c r="AA196" i="1" s="1"/>
  <c r="Y789" i="1"/>
  <c r="AA789" i="1" s="1"/>
  <c r="Y735" i="1"/>
  <c r="AA735" i="1" s="1"/>
  <c r="Z729" i="1"/>
  <c r="Y679" i="1"/>
  <c r="AA679" i="1" s="1"/>
  <c r="Z679" i="1"/>
  <c r="Z661" i="1"/>
  <c r="Z653" i="1"/>
  <c r="Y631" i="1"/>
  <c r="AA631" i="1" s="1"/>
  <c r="Y814" i="1"/>
  <c r="AA814" i="1" s="1"/>
  <c r="Z800" i="1"/>
  <c r="Z797" i="1"/>
  <c r="Y768" i="1"/>
  <c r="AA768" i="1" s="1"/>
  <c r="Z743" i="1"/>
  <c r="Z724" i="1"/>
  <c r="Z711" i="1"/>
  <c r="Z708" i="1"/>
  <c r="Z701" i="1"/>
  <c r="Z693" i="1"/>
  <c r="Y464" i="1"/>
  <c r="AA464" i="1" s="1"/>
  <c r="Z462" i="1"/>
  <c r="Y460" i="1"/>
  <c r="AA460" i="1" s="1"/>
  <c r="Y456" i="1"/>
  <c r="AA456" i="1" s="1"/>
  <c r="Y394" i="1"/>
  <c r="AA394" i="1" s="1"/>
  <c r="Y373" i="1"/>
  <c r="AA373" i="1" s="1"/>
  <c r="Y367" i="1"/>
  <c r="AA367" i="1" s="1"/>
  <c r="Z365" i="1"/>
  <c r="Y364" i="1"/>
  <c r="AA364" i="1" s="1"/>
  <c r="Z355" i="1"/>
  <c r="Y331" i="1"/>
  <c r="AA331" i="1" s="1"/>
  <c r="Z330" i="1"/>
  <c r="Y296" i="1"/>
  <c r="AA296" i="1" s="1"/>
  <c r="Y273" i="1"/>
  <c r="AA273" i="1" s="1"/>
  <c r="Y268" i="1"/>
  <c r="AA268" i="1" s="1"/>
  <c r="Z267" i="1"/>
  <c r="Y266" i="1"/>
  <c r="AA266" i="1" s="1"/>
  <c r="Z262" i="1"/>
  <c r="Z261" i="1"/>
  <c r="Z613" i="1"/>
  <c r="Z805" i="1"/>
  <c r="Z789" i="1"/>
  <c r="Z772" i="1"/>
  <c r="Z735" i="1"/>
  <c r="Y684" i="1"/>
  <c r="AA684" i="1" s="1"/>
  <c r="Z360" i="1"/>
  <c r="Z350" i="1"/>
  <c r="Z336" i="1"/>
  <c r="Z319" i="1"/>
  <c r="Z259" i="1"/>
  <c r="Y240" i="1"/>
  <c r="AA240" i="1" s="1"/>
  <c r="Y233" i="1"/>
  <c r="AA233" i="1" s="1"/>
  <c r="Y604" i="1"/>
  <c r="AA604" i="1" s="1"/>
  <c r="Z592" i="1"/>
  <c r="Y588" i="1"/>
  <c r="AA588" i="1" s="1"/>
  <c r="Y216" i="1"/>
  <c r="AA216" i="1" s="1"/>
  <c r="Y214" i="1"/>
  <c r="AA214" i="1" s="1"/>
  <c r="Y584" i="1"/>
  <c r="AA584" i="1" s="1"/>
  <c r="Y211" i="1"/>
  <c r="AA211" i="1" s="1"/>
  <c r="Y475" i="1"/>
  <c r="AA475" i="1" s="1"/>
  <c r="Y184" i="1"/>
  <c r="AA184" i="1" s="1"/>
  <c r="Z136" i="1"/>
  <c r="Z130" i="1"/>
  <c r="Z129" i="1"/>
  <c r="Z110" i="1"/>
  <c r="Z108" i="1"/>
  <c r="Y106" i="1"/>
  <c r="AA106" i="1" s="1"/>
  <c r="Z92" i="1"/>
  <c r="Z538" i="1"/>
  <c r="Z78" i="1"/>
  <c r="Y75" i="1"/>
  <c r="AA75" i="1" s="1"/>
  <c r="Y48" i="1"/>
  <c r="AA48" i="1" s="1"/>
  <c r="Y45" i="1"/>
  <c r="AA45" i="1" s="1"/>
  <c r="Z114" i="1"/>
  <c r="Z96" i="1"/>
  <c r="Y557" i="1"/>
  <c r="AA557" i="1" s="1"/>
  <c r="Z546" i="1"/>
  <c r="Y534" i="1"/>
  <c r="AA534" i="1" s="1"/>
  <c r="Z70" i="1"/>
  <c r="Y35" i="1"/>
  <c r="AA35" i="1" s="1"/>
  <c r="Z511" i="1"/>
  <c r="Z508" i="1"/>
  <c r="Y498" i="1"/>
  <c r="AA498" i="1" s="1"/>
  <c r="Z32" i="1"/>
  <c r="Y31" i="1"/>
  <c r="AA31" i="1" s="1"/>
  <c r="Z16" i="1"/>
  <c r="Z14" i="1"/>
  <c r="Z247" i="1"/>
  <c r="Y238" i="1"/>
  <c r="AA238" i="1" s="1"/>
  <c r="Y237" i="1"/>
  <c r="AA237" i="1" s="1"/>
  <c r="Y605" i="1"/>
  <c r="AA605" i="1" s="1"/>
  <c r="Y234" i="1"/>
  <c r="AA234" i="1" s="1"/>
  <c r="Y603" i="1"/>
  <c r="AA603" i="1" s="1"/>
  <c r="Z602" i="1"/>
  <c r="Y591" i="1"/>
  <c r="AA591" i="1" s="1"/>
  <c r="Y219" i="1"/>
  <c r="AA219" i="1" s="1"/>
  <c r="Y218" i="1"/>
  <c r="AA218" i="1" s="1"/>
  <c r="Z217" i="1"/>
  <c r="Y213" i="1"/>
  <c r="AA213" i="1" s="1"/>
  <c r="Y585" i="1"/>
  <c r="AA585" i="1" s="1"/>
  <c r="Z212" i="1"/>
  <c r="Y580" i="1"/>
  <c r="AA580" i="1" s="1"/>
  <c r="Y579" i="1"/>
  <c r="AA579" i="1" s="1"/>
  <c r="Z578" i="1"/>
  <c r="Y575" i="1"/>
  <c r="AA575" i="1" s="1"/>
  <c r="Y210" i="1"/>
  <c r="AA210" i="1" s="1"/>
  <c r="Z476" i="1"/>
  <c r="Y202" i="1"/>
  <c r="AA202" i="1" s="1"/>
  <c r="Y201" i="1"/>
  <c r="AA201" i="1" s="1"/>
  <c r="Y200" i="1"/>
  <c r="AA200" i="1" s="1"/>
  <c r="Y190" i="1"/>
  <c r="AA190" i="1" s="1"/>
  <c r="Y163" i="1"/>
  <c r="AA163" i="1" s="1"/>
  <c r="Z152" i="1"/>
  <c r="Z560" i="1"/>
  <c r="Z125" i="1"/>
  <c r="Y95" i="1"/>
  <c r="AA95" i="1" s="1"/>
  <c r="Y90" i="1"/>
  <c r="AA90" i="1" s="1"/>
  <c r="Z51" i="1"/>
  <c r="Z520" i="1"/>
  <c r="Y40" i="1"/>
  <c r="AA40" i="1" s="1"/>
  <c r="Y514" i="1"/>
  <c r="AA514" i="1" s="1"/>
  <c r="Y507" i="1"/>
  <c r="AA507" i="1" s="1"/>
  <c r="Z22" i="1"/>
  <c r="Z20" i="1"/>
  <c r="Y87" i="1"/>
  <c r="AA87" i="1" s="1"/>
  <c r="Y79" i="1"/>
  <c r="AA79" i="1" s="1"/>
  <c r="Y73" i="1"/>
  <c r="AA73" i="1" s="1"/>
  <c r="Z77" i="1"/>
  <c r="Z66" i="1"/>
  <c r="Z531" i="1"/>
  <c r="Z68" i="1"/>
  <c r="Y53" i="1"/>
  <c r="AA53" i="1" s="1"/>
  <c r="Y50" i="1"/>
  <c r="AA50" i="1" s="1"/>
  <c r="Z55" i="1"/>
  <c r="Z525" i="1"/>
  <c r="Y36" i="1"/>
  <c r="AA36" i="1" s="1"/>
  <c r="Y494" i="1"/>
  <c r="AA494" i="1" s="1"/>
  <c r="Y490" i="1"/>
  <c r="AA490" i="1" s="1"/>
  <c r="Z514" i="1"/>
  <c r="Z502" i="1"/>
  <c r="Z495" i="1"/>
  <c r="Z488" i="1"/>
  <c r="Z517" i="1"/>
  <c r="Z784" i="1"/>
  <c r="Y783" i="1"/>
  <c r="AA783" i="1" s="1"/>
  <c r="Y779" i="1"/>
  <c r="AA779" i="1" s="1"/>
  <c r="Z771" i="1"/>
  <c r="Y770" i="1"/>
  <c r="AA770" i="1" s="1"/>
  <c r="Y766" i="1"/>
  <c r="AA766" i="1" s="1"/>
  <c r="Z763" i="1"/>
  <c r="Y750" i="1"/>
  <c r="AA750" i="1" s="1"/>
  <c r="Z747" i="1"/>
  <c r="Y740" i="1"/>
  <c r="AA740" i="1" s="1"/>
  <c r="Y734" i="1"/>
  <c r="AA734" i="1" s="1"/>
  <c r="Z731" i="1"/>
  <c r="Y716" i="1"/>
  <c r="AA716" i="1" s="1"/>
  <c r="Y705" i="1"/>
  <c r="AA705" i="1" s="1"/>
  <c r="Y702" i="1"/>
  <c r="AA702" i="1" s="1"/>
  <c r="Z695" i="1"/>
  <c r="Y692" i="1"/>
  <c r="AA692" i="1" s="1"/>
  <c r="Y689" i="1"/>
  <c r="AA689" i="1" s="1"/>
  <c r="Y668" i="1"/>
  <c r="AA668" i="1" s="1"/>
  <c r="Y665" i="1"/>
  <c r="AA665" i="1" s="1"/>
  <c r="Z655" i="1"/>
  <c r="Y652" i="1"/>
  <c r="AA652" i="1" s="1"/>
  <c r="Y649" i="1"/>
  <c r="AA649" i="1" s="1"/>
  <c r="Y645" i="1"/>
  <c r="AA645" i="1" s="1"/>
  <c r="Y642" i="1"/>
  <c r="AA642" i="1" s="1"/>
  <c r="Z631" i="1"/>
  <c r="Y626" i="1"/>
  <c r="AA626" i="1" s="1"/>
  <c r="Y468" i="1"/>
  <c r="AA468" i="1" s="1"/>
  <c r="Y452" i="1"/>
  <c r="AA452" i="1" s="1"/>
  <c r="Z451" i="1"/>
  <c r="Y436" i="1"/>
  <c r="AA436" i="1" s="1"/>
  <c r="Z435" i="1"/>
  <c r="Y421" i="1"/>
  <c r="AA421" i="1" s="1"/>
  <c r="Z420" i="1"/>
  <c r="Y406" i="1"/>
  <c r="AA406" i="1" s="1"/>
  <c r="Z405" i="1"/>
  <c r="Y390" i="1"/>
  <c r="AA390" i="1" s="1"/>
  <c r="Y386" i="1"/>
  <c r="AA386" i="1" s="1"/>
  <c r="Y352" i="1"/>
  <c r="AA352" i="1" s="1"/>
  <c r="Y338" i="1"/>
  <c r="AA338" i="1" s="1"/>
  <c r="Y317" i="1"/>
  <c r="AA317" i="1" s="1"/>
  <c r="Y306" i="1"/>
  <c r="AA306" i="1" s="1"/>
  <c r="Y284" i="1"/>
  <c r="AA284" i="1" s="1"/>
  <c r="Y615" i="1"/>
  <c r="AA615" i="1" s="1"/>
  <c r="Y806" i="1"/>
  <c r="AA806" i="1" s="1"/>
  <c r="Y803" i="1"/>
  <c r="AA803" i="1" s="1"/>
  <c r="Z793" i="1"/>
  <c r="Y790" i="1"/>
  <c r="AA790" i="1" s="1"/>
  <c r="Z786" i="1"/>
  <c r="Z781" i="1"/>
  <c r="Y753" i="1"/>
  <c r="AA753" i="1" s="1"/>
  <c r="Z749" i="1"/>
  <c r="Z737" i="1"/>
  <c r="Z717" i="1"/>
  <c r="Z671" i="1"/>
  <c r="Z669" i="1"/>
  <c r="Z648" i="1"/>
  <c r="Z638" i="1"/>
  <c r="Y462" i="1"/>
  <c r="AA462" i="1" s="1"/>
  <c r="Z460" i="1"/>
  <c r="Y458" i="1"/>
  <c r="AA458" i="1" s="1"/>
  <c r="Y454" i="1"/>
  <c r="AA454" i="1" s="1"/>
  <c r="Z453" i="1"/>
  <c r="Y446" i="1"/>
  <c r="AA446" i="1" s="1"/>
  <c r="Z444" i="1"/>
  <c r="Y442" i="1"/>
  <c r="AA442" i="1" s="1"/>
  <c r="Y438" i="1"/>
  <c r="AA438" i="1" s="1"/>
  <c r="Z437" i="1"/>
  <c r="Z429" i="1"/>
  <c r="Y427" i="1"/>
  <c r="AA427" i="1" s="1"/>
  <c r="Y423" i="1"/>
  <c r="AA423" i="1" s="1"/>
  <c r="Z422" i="1"/>
  <c r="Z620" i="1"/>
  <c r="Y412" i="1"/>
  <c r="AA412" i="1" s="1"/>
  <c r="Y408" i="1"/>
  <c r="AA408" i="1" s="1"/>
  <c r="Z407" i="1"/>
  <c r="Z398" i="1"/>
  <c r="Y396" i="1"/>
  <c r="AA396" i="1" s="1"/>
  <c r="Y392" i="1"/>
  <c r="AA392" i="1" s="1"/>
  <c r="Y388" i="1"/>
  <c r="AA388" i="1" s="1"/>
  <c r="Z386" i="1"/>
  <c r="Z308" i="1"/>
  <c r="Z285" i="1"/>
  <c r="Z815" i="1"/>
  <c r="Z802" i="1"/>
  <c r="Z799" i="1"/>
  <c r="Y811" i="1"/>
  <c r="AA811" i="1" s="1"/>
  <c r="Z807" i="1"/>
  <c r="Y787" i="1"/>
  <c r="AA787" i="1" s="1"/>
  <c r="Z787" i="1"/>
  <c r="Y775" i="1"/>
  <c r="AA775" i="1" s="1"/>
  <c r="Y769" i="1"/>
  <c r="AA769" i="1" s="1"/>
  <c r="Y767" i="1"/>
  <c r="AA767" i="1" s="1"/>
  <c r="Z765" i="1"/>
  <c r="Z753" i="1"/>
  <c r="Y751" i="1"/>
  <c r="AA751" i="1" s="1"/>
  <c r="Z733" i="1"/>
  <c r="Z813" i="1"/>
  <c r="Y805" i="1"/>
  <c r="AA805" i="1" s="1"/>
  <c r="Y799" i="1"/>
  <c r="AA799" i="1" s="1"/>
  <c r="Y798" i="1"/>
  <c r="AA798" i="1" s="1"/>
  <c r="Y795" i="1"/>
  <c r="AA795" i="1" s="1"/>
  <c r="Z791" i="1"/>
  <c r="Z773" i="1"/>
  <c r="Z770" i="1"/>
  <c r="Y764" i="1"/>
  <c r="AA764" i="1" s="1"/>
  <c r="Y758" i="1"/>
  <c r="AA758" i="1" s="1"/>
  <c r="Z755" i="1"/>
  <c r="Y748" i="1"/>
  <c r="AA748" i="1" s="1"/>
  <c r="Y742" i="1"/>
  <c r="AA742" i="1" s="1"/>
  <c r="Z739" i="1"/>
  <c r="Y732" i="1"/>
  <c r="AA732" i="1" s="1"/>
  <c r="Y727" i="1"/>
  <c r="AA727" i="1" s="1"/>
  <c r="Y721" i="1"/>
  <c r="AA721" i="1" s="1"/>
  <c r="Z714" i="1"/>
  <c r="Z703" i="1"/>
  <c r="Y700" i="1"/>
  <c r="AA700" i="1" s="1"/>
  <c r="Y697" i="1"/>
  <c r="AA697" i="1" s="1"/>
  <c r="Y694" i="1"/>
  <c r="AA694" i="1" s="1"/>
  <c r="Z687" i="1"/>
  <c r="Z685" i="1"/>
  <c r="Z663" i="1"/>
  <c r="Y660" i="1"/>
  <c r="AA660" i="1" s="1"/>
  <c r="Y657" i="1"/>
  <c r="AA657" i="1" s="1"/>
  <c r="Y647" i="1"/>
  <c r="AA647" i="1" s="1"/>
  <c r="Z646" i="1"/>
  <c r="Y640" i="1"/>
  <c r="AA640" i="1" s="1"/>
  <c r="Y637" i="1"/>
  <c r="AA637" i="1" s="1"/>
  <c r="Y633" i="1"/>
  <c r="AA633" i="1" s="1"/>
  <c r="Y627" i="1"/>
  <c r="AA627" i="1" s="1"/>
  <c r="Y433" i="1"/>
  <c r="AA433" i="1" s="1"/>
  <c r="Y431" i="1"/>
  <c r="AA431" i="1" s="1"/>
  <c r="Z430" i="1"/>
  <c r="Y418" i="1"/>
  <c r="AA418" i="1" s="1"/>
  <c r="Y416" i="1"/>
  <c r="AA416" i="1" s="1"/>
  <c r="Z415" i="1"/>
  <c r="Y403" i="1"/>
  <c r="AA403" i="1" s="1"/>
  <c r="Y401" i="1"/>
  <c r="AA401" i="1" s="1"/>
  <c r="Z400" i="1"/>
  <c r="Z388" i="1"/>
  <c r="Y387" i="1"/>
  <c r="AA387" i="1" s="1"/>
  <c r="Y361" i="1"/>
  <c r="AA361" i="1" s="1"/>
  <c r="Z351" i="1"/>
  <c r="Y346" i="1"/>
  <c r="AA346" i="1" s="1"/>
  <c r="Y343" i="1"/>
  <c r="AA343" i="1" s="1"/>
  <c r="Z300" i="1"/>
  <c r="Y280" i="1"/>
  <c r="AA280" i="1" s="1"/>
  <c r="Z277" i="1"/>
  <c r="Y159" i="1"/>
  <c r="AA159" i="1" s="1"/>
  <c r="Z385" i="1"/>
  <c r="Y371" i="1"/>
  <c r="AA371" i="1" s="1"/>
  <c r="Z357" i="1"/>
  <c r="Z342" i="1"/>
  <c r="Z339" i="1"/>
  <c r="Z328" i="1"/>
  <c r="Z323" i="1"/>
  <c r="Y318" i="1"/>
  <c r="AA318" i="1" s="1"/>
  <c r="Y311" i="1"/>
  <c r="AA311" i="1" s="1"/>
  <c r="Z310" i="1"/>
  <c r="Y305" i="1"/>
  <c r="AA305" i="1" s="1"/>
  <c r="Y300" i="1"/>
  <c r="AA300" i="1" s="1"/>
  <c r="Y288" i="1"/>
  <c r="AA288" i="1" s="1"/>
  <c r="Z283" i="1"/>
  <c r="Z263" i="1"/>
  <c r="Z615" i="1"/>
  <c r="Y608" i="1"/>
  <c r="AA608" i="1" s="1"/>
  <c r="Y241" i="1"/>
  <c r="AA241" i="1" s="1"/>
  <c r="Y231" i="1"/>
  <c r="AA231" i="1" s="1"/>
  <c r="Y229" i="1"/>
  <c r="AA229" i="1" s="1"/>
  <c r="Z227" i="1"/>
  <c r="Y224" i="1"/>
  <c r="AA224" i="1" s="1"/>
  <c r="Z224" i="1"/>
  <c r="Y574" i="1"/>
  <c r="AA574" i="1" s="1"/>
  <c r="Y209" i="1"/>
  <c r="AA209" i="1" s="1"/>
  <c r="Z127" i="1"/>
  <c r="Z56" i="1"/>
  <c r="Y592" i="1"/>
  <c r="AA592" i="1" s="1"/>
  <c r="Z219" i="1"/>
  <c r="Z213" i="1"/>
  <c r="Z580" i="1"/>
  <c r="Z575" i="1"/>
  <c r="Y565" i="1"/>
  <c r="AA565" i="1" s="1"/>
  <c r="Y195" i="1"/>
  <c r="AA195" i="1" s="1"/>
  <c r="Y194" i="1"/>
  <c r="AA194" i="1" s="1"/>
  <c r="Y189" i="1"/>
  <c r="AA189" i="1" s="1"/>
  <c r="Y177" i="1"/>
  <c r="AA177" i="1" s="1"/>
  <c r="Y171" i="1"/>
  <c r="AA171" i="1" s="1"/>
  <c r="Y158" i="1"/>
  <c r="AA158" i="1" s="1"/>
  <c r="Z542" i="1"/>
  <c r="Y487" i="1"/>
  <c r="AA487" i="1" s="1"/>
  <c r="Z609" i="1"/>
  <c r="Y572" i="1"/>
  <c r="AA572" i="1" s="1"/>
  <c r="Y183" i="1"/>
  <c r="AA183" i="1" s="1"/>
  <c r="Y563" i="1"/>
  <c r="AA563" i="1" s="1"/>
  <c r="Y176" i="1"/>
  <c r="AA176" i="1" s="1"/>
  <c r="Y170" i="1"/>
  <c r="AA170" i="1" s="1"/>
  <c r="Y167" i="1"/>
  <c r="AA167" i="1" s="1"/>
  <c r="Y160" i="1"/>
  <c r="AA160" i="1" s="1"/>
  <c r="Z99" i="1"/>
  <c r="Y503" i="1"/>
  <c r="AA503" i="1" s="1"/>
  <c r="Y375" i="1"/>
  <c r="AA375" i="1" s="1"/>
  <c r="Z368" i="1"/>
  <c r="Z363" i="1"/>
  <c r="Y362" i="1"/>
  <c r="AA362" i="1" s="1"/>
  <c r="Z358" i="1"/>
  <c r="Y357" i="1"/>
  <c r="AA357" i="1" s="1"/>
  <c r="Y342" i="1"/>
  <c r="AA342" i="1" s="1"/>
  <c r="Y325" i="1"/>
  <c r="AA325" i="1" s="1"/>
  <c r="Z324" i="1"/>
  <c r="Y322" i="1"/>
  <c r="AA322" i="1" s="1"/>
  <c r="Z318" i="1"/>
  <c r="Y310" i="1"/>
  <c r="AA310" i="1" s="1"/>
  <c r="Y309" i="1"/>
  <c r="AA309" i="1" s="1"/>
  <c r="Z305" i="1"/>
  <c r="Y298" i="1"/>
  <c r="AA298" i="1" s="1"/>
  <c r="Y295" i="1"/>
  <c r="AA295" i="1" s="1"/>
  <c r="Y287" i="1"/>
  <c r="AA287" i="1" s="1"/>
  <c r="Y285" i="1"/>
  <c r="AA285" i="1" s="1"/>
  <c r="Y277" i="1"/>
  <c r="AA277" i="1" s="1"/>
  <c r="Z269" i="1"/>
  <c r="Y265" i="1"/>
  <c r="AA265" i="1" s="1"/>
  <c r="Z617" i="1"/>
  <c r="Y611" i="1"/>
  <c r="AA611" i="1" s="1"/>
  <c r="Y252" i="1"/>
  <c r="AA252" i="1" s="1"/>
  <c r="Z244" i="1"/>
  <c r="Y232" i="1"/>
  <c r="AA232" i="1" s="1"/>
  <c r="Z603" i="1"/>
  <c r="Y598" i="1"/>
  <c r="AA598" i="1" s="1"/>
  <c r="Y208" i="1"/>
  <c r="AA208" i="1" s="1"/>
  <c r="Y596" i="1"/>
  <c r="AA596" i="1" s="1"/>
  <c r="Y222" i="1"/>
  <c r="AA222" i="1" s="1"/>
  <c r="Y590" i="1"/>
  <c r="AA590" i="1" s="1"/>
  <c r="Y203" i="1"/>
  <c r="AA203" i="1" s="1"/>
  <c r="Y571" i="1"/>
  <c r="AA571" i="1" s="1"/>
  <c r="Y570" i="1"/>
  <c r="AA570" i="1" s="1"/>
  <c r="Y566" i="1"/>
  <c r="AA566" i="1" s="1"/>
  <c r="Y188" i="1"/>
  <c r="AA188" i="1" s="1"/>
  <c r="Y182" i="1"/>
  <c r="AA182" i="1" s="1"/>
  <c r="Y477" i="1"/>
  <c r="AA477" i="1" s="1"/>
  <c r="Y178" i="1"/>
  <c r="AA178" i="1" s="1"/>
  <c r="Y165" i="1"/>
  <c r="AA165" i="1" s="1"/>
  <c r="Y157" i="1"/>
  <c r="AA157" i="1" s="1"/>
  <c r="Y155" i="1"/>
  <c r="AA155" i="1" s="1"/>
  <c r="Z143" i="1"/>
  <c r="Y141" i="1"/>
  <c r="AA141" i="1" s="1"/>
  <c r="Y64" i="1"/>
  <c r="AA64" i="1" s="1"/>
  <c r="Y59" i="1"/>
  <c r="AA59" i="1" s="1"/>
  <c r="Y130" i="1"/>
  <c r="AA130" i="1" s="1"/>
  <c r="Z557" i="1"/>
  <c r="Z553" i="1"/>
  <c r="Z534" i="1"/>
  <c r="Z86" i="1"/>
  <c r="Z84" i="1"/>
  <c r="Y77" i="1"/>
  <c r="AA77" i="1" s="1"/>
  <c r="Z74" i="1"/>
  <c r="Z473" i="1"/>
  <c r="Y47" i="1"/>
  <c r="AA47" i="1" s="1"/>
  <c r="Y521" i="1"/>
  <c r="AA521" i="1" s="1"/>
  <c r="Z40" i="1"/>
  <c r="Y516" i="1"/>
  <c r="AA516" i="1" s="1"/>
  <c r="Z515" i="1"/>
  <c r="Z35" i="1"/>
  <c r="Y508" i="1"/>
  <c r="AA508" i="1" s="1"/>
  <c r="Y504" i="1"/>
  <c r="AA504" i="1" s="1"/>
  <c r="Z504" i="1"/>
  <c r="Z497" i="1"/>
  <c r="Z494" i="1"/>
  <c r="Y489" i="1"/>
  <c r="AA489" i="1" s="1"/>
  <c r="Y486" i="1"/>
  <c r="AA486" i="1" s="1"/>
  <c r="Z485" i="1"/>
  <c r="Y34" i="1"/>
  <c r="AA34" i="1" s="1"/>
  <c r="Z18" i="1"/>
  <c r="Z17" i="1"/>
  <c r="Z150" i="1"/>
  <c r="Y562" i="1"/>
  <c r="AA562" i="1" s="1"/>
  <c r="Z144" i="1"/>
  <c r="Y143" i="1"/>
  <c r="AA143" i="1" s="1"/>
  <c r="Y139" i="1"/>
  <c r="AA139" i="1" s="1"/>
  <c r="Y132" i="1"/>
  <c r="AA132" i="1" s="1"/>
  <c r="Z128" i="1"/>
  <c r="Y117" i="1"/>
  <c r="AA117" i="1" s="1"/>
  <c r="Z113" i="1"/>
  <c r="Y107" i="1"/>
  <c r="AA107" i="1" s="1"/>
  <c r="Z107" i="1"/>
  <c r="Y99" i="1"/>
  <c r="AA99" i="1" s="1"/>
  <c r="Y93" i="1"/>
  <c r="AA93" i="1" s="1"/>
  <c r="Y91" i="1"/>
  <c r="AA91" i="1" s="1"/>
  <c r="Z89" i="1"/>
  <c r="Y553" i="1"/>
  <c r="AA553" i="1" s="1"/>
  <c r="Z550" i="1"/>
  <c r="Z547" i="1"/>
  <c r="Y545" i="1"/>
  <c r="AA545" i="1" s="1"/>
  <c r="Y542" i="1"/>
  <c r="AA542" i="1" s="1"/>
  <c r="Z539" i="1"/>
  <c r="Y538" i="1"/>
  <c r="AA538" i="1" s="1"/>
  <c r="Y530" i="1"/>
  <c r="AA530" i="1" s="1"/>
  <c r="Y529" i="1"/>
  <c r="AA529" i="1" s="1"/>
  <c r="Y84" i="1"/>
  <c r="AA84" i="1" s="1"/>
  <c r="Z81" i="1"/>
  <c r="Y66" i="1"/>
  <c r="AA66" i="1" s="1"/>
  <c r="Z59" i="1"/>
  <c r="Z53" i="1"/>
  <c r="Z527" i="1"/>
  <c r="Y42" i="1"/>
  <c r="AA42" i="1" s="1"/>
  <c r="Z512" i="1"/>
  <c r="Z506" i="1"/>
  <c r="Z496" i="1"/>
  <c r="Z487" i="1"/>
  <c r="Z25" i="1"/>
  <c r="Y20" i="1"/>
  <c r="AA20" i="1" s="1"/>
  <c r="Y145" i="1"/>
  <c r="AA145" i="1" s="1"/>
  <c r="Z561" i="1"/>
  <c r="Z123" i="1"/>
  <c r="Z112" i="1"/>
  <c r="Z95" i="1"/>
  <c r="Z93" i="1"/>
  <c r="Z91" i="1"/>
  <c r="Z90" i="1"/>
  <c r="Z559" i="1"/>
  <c r="Y543" i="1"/>
  <c r="AA543" i="1" s="1"/>
  <c r="Y539" i="1"/>
  <c r="AA539" i="1" s="1"/>
  <c r="Z536" i="1"/>
  <c r="Z532" i="1"/>
  <c r="Z530" i="1"/>
  <c r="Z87" i="1"/>
  <c r="Z529" i="1"/>
  <c r="Y82" i="1"/>
  <c r="AA82" i="1" s="1"/>
  <c r="Z73" i="1"/>
  <c r="Y68" i="1"/>
  <c r="AA68" i="1" s="1"/>
  <c r="Y473" i="1"/>
  <c r="AA473" i="1" s="1"/>
  <c r="Y61" i="1"/>
  <c r="AA61" i="1" s="1"/>
  <c r="Y57" i="1"/>
  <c r="AA57" i="1" s="1"/>
  <c r="Z524" i="1"/>
  <c r="Y41" i="1"/>
  <c r="AA41" i="1" s="1"/>
  <c r="Z41" i="1"/>
  <c r="Z521" i="1"/>
  <c r="Z516" i="1"/>
  <c r="Y509" i="1"/>
  <c r="AA509" i="1" s="1"/>
  <c r="Y501" i="1"/>
  <c r="AA501" i="1" s="1"/>
  <c r="Y497" i="1"/>
  <c r="AA497" i="1" s="1"/>
  <c r="Y493" i="1"/>
  <c r="AA493" i="1" s="1"/>
  <c r="Z489" i="1"/>
  <c r="Z486" i="1"/>
  <c r="Y485" i="1"/>
  <c r="AA485" i="1" s="1"/>
  <c r="Z21" i="1"/>
  <c r="Y17" i="1"/>
  <c r="AA17" i="1" s="1"/>
  <c r="Y801" i="1"/>
  <c r="AA801" i="1" s="1"/>
  <c r="Z816" i="1"/>
  <c r="Y815" i="1"/>
  <c r="AA815" i="1" s="1"/>
  <c r="Y813" i="1"/>
  <c r="AA813" i="1" s="1"/>
  <c r="Y810" i="1"/>
  <c r="AA810" i="1" s="1"/>
  <c r="Y809" i="1"/>
  <c r="AA809" i="1" s="1"/>
  <c r="Y804" i="1"/>
  <c r="AA804" i="1" s="1"/>
  <c r="Z801" i="1"/>
  <c r="Z795" i="1"/>
  <c r="Z794" i="1"/>
  <c r="Z792" i="1"/>
  <c r="Y791" i="1"/>
  <c r="AA791" i="1" s="1"/>
  <c r="Y781" i="1"/>
  <c r="AA781" i="1" s="1"/>
  <c r="Y778" i="1"/>
  <c r="AA778" i="1" s="1"/>
  <c r="Y776" i="1"/>
  <c r="AA776" i="1" s="1"/>
  <c r="Z769" i="1"/>
  <c r="Z764" i="1"/>
  <c r="Z762" i="1"/>
  <c r="Z756" i="1"/>
  <c r="Z754" i="1"/>
  <c r="Z748" i="1"/>
  <c r="Z746" i="1"/>
  <c r="Z740" i="1"/>
  <c r="Z738" i="1"/>
  <c r="Z732" i="1"/>
  <c r="Z730" i="1"/>
  <c r="Z727" i="1"/>
  <c r="Z722" i="1"/>
  <c r="Y718" i="1"/>
  <c r="AA718" i="1" s="1"/>
  <c r="Z777" i="1"/>
  <c r="Z767" i="1"/>
  <c r="Y724" i="1"/>
  <c r="AA724" i="1" s="1"/>
  <c r="Y686" i="1"/>
  <c r="AA686" i="1" s="1"/>
  <c r="Y670" i="1"/>
  <c r="AA670" i="1" s="1"/>
  <c r="Y654" i="1"/>
  <c r="AA654" i="1" s="1"/>
  <c r="Z809" i="1"/>
  <c r="Z803" i="1"/>
  <c r="Y800" i="1"/>
  <c r="AA800" i="1" s="1"/>
  <c r="Y785" i="1"/>
  <c r="AA785" i="1" s="1"/>
  <c r="Y772" i="1"/>
  <c r="AA772" i="1" s="1"/>
  <c r="Z811" i="1"/>
  <c r="Z810" i="1"/>
  <c r="Z808" i="1"/>
  <c r="Y807" i="1"/>
  <c r="AA807" i="1" s="1"/>
  <c r="Y797" i="1"/>
  <c r="AA797" i="1" s="1"/>
  <c r="Y793" i="1"/>
  <c r="AA793" i="1" s="1"/>
  <c r="Z785" i="1"/>
  <c r="Z779" i="1"/>
  <c r="Z778" i="1"/>
  <c r="Z775" i="1"/>
  <c r="Y762" i="1"/>
  <c r="AA762" i="1" s="1"/>
  <c r="Y760" i="1"/>
  <c r="AA760" i="1" s="1"/>
  <c r="Y754" i="1"/>
  <c r="AA754" i="1" s="1"/>
  <c r="Y752" i="1"/>
  <c r="AA752" i="1" s="1"/>
  <c r="Y746" i="1"/>
  <c r="AA746" i="1" s="1"/>
  <c r="Y744" i="1"/>
  <c r="AA744" i="1" s="1"/>
  <c r="Y738" i="1"/>
  <c r="AA738" i="1" s="1"/>
  <c r="Y736" i="1"/>
  <c r="AA736" i="1" s="1"/>
  <c r="Y730" i="1"/>
  <c r="AA730" i="1" s="1"/>
  <c r="Y728" i="1"/>
  <c r="AA728" i="1" s="1"/>
  <c r="Y719" i="1"/>
  <c r="AA719" i="1" s="1"/>
  <c r="Z719" i="1"/>
  <c r="Z716" i="1"/>
  <c r="Z706" i="1"/>
  <c r="Y662" i="1"/>
  <c r="AA662" i="1" s="1"/>
  <c r="Z723" i="1"/>
  <c r="Z721" i="1"/>
  <c r="Z715" i="1"/>
  <c r="Z713" i="1"/>
  <c r="Z707" i="1"/>
  <c r="Z705" i="1"/>
  <c r="Z699" i="1"/>
  <c r="Z697" i="1"/>
  <c r="Z691" i="1"/>
  <c r="Z689" i="1"/>
  <c r="Z683" i="1"/>
  <c r="Z681" i="1"/>
  <c r="Z675" i="1"/>
  <c r="Z673" i="1"/>
  <c r="Z667" i="1"/>
  <c r="Z665" i="1"/>
  <c r="Z659" i="1"/>
  <c r="Z657" i="1"/>
  <c r="Z651" i="1"/>
  <c r="Z649" i="1"/>
  <c r="Z645" i="1"/>
  <c r="Z643" i="1"/>
  <c r="Z640" i="1"/>
  <c r="Z630" i="1"/>
  <c r="Y629" i="1"/>
  <c r="AA629" i="1" s="1"/>
  <c r="Z628" i="1"/>
  <c r="Z461" i="1"/>
  <c r="Z459" i="1"/>
  <c r="Z454" i="1"/>
  <c r="Y453" i="1"/>
  <c r="AA453" i="1" s="1"/>
  <c r="Z452" i="1"/>
  <c r="Y451" i="1"/>
  <c r="AA451" i="1" s="1"/>
  <c r="Z445" i="1"/>
  <c r="Z443" i="1"/>
  <c r="Z438" i="1"/>
  <c r="Y437" i="1"/>
  <c r="AA437" i="1" s="1"/>
  <c r="Z436" i="1"/>
  <c r="Y435" i="1"/>
  <c r="AA435" i="1" s="1"/>
  <c r="Z428" i="1"/>
  <c r="Z423" i="1"/>
  <c r="Y422" i="1"/>
  <c r="AA422" i="1" s="1"/>
  <c r="Z421" i="1"/>
  <c r="Y420" i="1"/>
  <c r="AA420" i="1" s="1"/>
  <c r="Z414" i="1"/>
  <c r="Z413" i="1"/>
  <c r="Z408" i="1"/>
  <c r="Y407" i="1"/>
  <c r="AA407" i="1" s="1"/>
  <c r="Z406" i="1"/>
  <c r="Y405" i="1"/>
  <c r="AA405" i="1" s="1"/>
  <c r="Z399" i="1"/>
  <c r="Z397" i="1"/>
  <c r="Z392" i="1"/>
  <c r="Y391" i="1"/>
  <c r="AA391" i="1" s="1"/>
  <c r="Z390" i="1"/>
  <c r="Z380" i="1"/>
  <c r="Z378" i="1"/>
  <c r="Z377" i="1"/>
  <c r="Y376" i="1"/>
  <c r="AA376" i="1" s="1"/>
  <c r="Z375" i="1"/>
  <c r="Y374" i="1"/>
  <c r="AA374" i="1" s="1"/>
  <c r="Z373" i="1"/>
  <c r="Y372" i="1"/>
  <c r="AA372" i="1" s="1"/>
  <c r="Z371" i="1"/>
  <c r="Y370" i="1"/>
  <c r="AA370" i="1" s="1"/>
  <c r="Z366" i="1"/>
  <c r="Y365" i="1"/>
  <c r="AA365" i="1" s="1"/>
  <c r="Y355" i="1"/>
  <c r="AA355" i="1" s="1"/>
  <c r="Z347" i="1"/>
  <c r="Y341" i="1"/>
  <c r="AA341" i="1" s="1"/>
  <c r="Z337" i="1"/>
  <c r="Y336" i="1"/>
  <c r="AA336" i="1" s="1"/>
  <c r="Z316" i="1"/>
  <c r="Y303" i="1"/>
  <c r="AA303" i="1" s="1"/>
  <c r="Y294" i="1"/>
  <c r="AA294" i="1" s="1"/>
  <c r="Y291" i="1"/>
  <c r="AA291" i="1" s="1"/>
  <c r="Z700" i="1"/>
  <c r="Z698" i="1"/>
  <c r="Z692" i="1"/>
  <c r="Z690" i="1"/>
  <c r="Z684" i="1"/>
  <c r="Z682" i="1"/>
  <c r="Z676" i="1"/>
  <c r="Z674" i="1"/>
  <c r="Z668" i="1"/>
  <c r="Z666" i="1"/>
  <c r="Z660" i="1"/>
  <c r="Z658" i="1"/>
  <c r="Z652" i="1"/>
  <c r="Z650" i="1"/>
  <c r="Z636" i="1"/>
  <c r="Y635" i="1"/>
  <c r="AA635" i="1" s="1"/>
  <c r="Y607" i="1"/>
  <c r="AA607" i="1" s="1"/>
  <c r="Z626" i="1"/>
  <c r="Y625" i="1"/>
  <c r="AA625" i="1" s="1"/>
  <c r="Z624" i="1"/>
  <c r="Y623" i="1"/>
  <c r="AA623" i="1" s="1"/>
  <c r="Z622" i="1"/>
  <c r="Y621" i="1"/>
  <c r="AA621" i="1" s="1"/>
  <c r="Z470" i="1"/>
  <c r="Y469" i="1"/>
  <c r="AA469" i="1" s="1"/>
  <c r="Z468" i="1"/>
  <c r="Y467" i="1"/>
  <c r="AA467" i="1" s="1"/>
  <c r="Z466" i="1"/>
  <c r="Y465" i="1"/>
  <c r="AA465" i="1" s="1"/>
  <c r="Z464" i="1"/>
  <c r="Y463" i="1"/>
  <c r="AA463" i="1" s="1"/>
  <c r="Z457" i="1"/>
  <c r="Z455" i="1"/>
  <c r="Z450" i="1"/>
  <c r="Y449" i="1"/>
  <c r="AA449" i="1" s="1"/>
  <c r="Z448" i="1"/>
  <c r="Y447" i="1"/>
  <c r="AA447" i="1" s="1"/>
  <c r="Z441" i="1"/>
  <c r="Z439" i="1"/>
  <c r="Z434" i="1"/>
  <c r="Z432" i="1"/>
  <c r="Z426" i="1"/>
  <c r="Z424" i="1"/>
  <c r="Z419" i="1"/>
  <c r="Z417" i="1"/>
  <c r="Z411" i="1"/>
  <c r="Z409" i="1"/>
  <c r="Z404" i="1"/>
  <c r="Z402" i="1"/>
  <c r="Z395" i="1"/>
  <c r="Z393" i="1"/>
  <c r="Z391" i="1"/>
  <c r="Z389" i="1"/>
  <c r="Z387" i="1"/>
  <c r="Z376" i="1"/>
  <c r="Z374" i="1"/>
  <c r="Z372" i="1"/>
  <c r="Z370" i="1"/>
  <c r="Y324" i="1"/>
  <c r="AA324" i="1" s="1"/>
  <c r="Z312" i="1"/>
  <c r="Z306" i="1"/>
  <c r="Y301" i="1"/>
  <c r="AA301" i="1" s="1"/>
  <c r="Y643" i="1"/>
  <c r="AA643" i="1" s="1"/>
  <c r="Y641" i="1"/>
  <c r="AA641" i="1" s="1"/>
  <c r="Y461" i="1"/>
  <c r="AA461" i="1" s="1"/>
  <c r="Y459" i="1"/>
  <c r="AA459" i="1" s="1"/>
  <c r="Y445" i="1"/>
  <c r="AA445" i="1" s="1"/>
  <c r="Y443" i="1"/>
  <c r="AA443" i="1" s="1"/>
  <c r="Y428" i="1"/>
  <c r="AA428" i="1" s="1"/>
  <c r="Y414" i="1"/>
  <c r="AA414" i="1" s="1"/>
  <c r="Y413" i="1"/>
  <c r="AA413" i="1" s="1"/>
  <c r="Y399" i="1"/>
  <c r="AA399" i="1" s="1"/>
  <c r="Y397" i="1"/>
  <c r="AA397" i="1" s="1"/>
  <c r="Y384" i="1"/>
  <c r="AA384" i="1" s="1"/>
  <c r="Y382" i="1"/>
  <c r="AA382" i="1" s="1"/>
  <c r="Y722" i="1"/>
  <c r="AA722" i="1" s="1"/>
  <c r="Y720" i="1"/>
  <c r="AA720" i="1" s="1"/>
  <c r="Y714" i="1"/>
  <c r="AA714" i="1" s="1"/>
  <c r="Y712" i="1"/>
  <c r="AA712" i="1" s="1"/>
  <c r="Y706" i="1"/>
  <c r="AA706" i="1" s="1"/>
  <c r="Y704" i="1"/>
  <c r="AA704" i="1" s="1"/>
  <c r="Y698" i="1"/>
  <c r="AA698" i="1" s="1"/>
  <c r="Y696" i="1"/>
  <c r="AA696" i="1" s="1"/>
  <c r="Y690" i="1"/>
  <c r="AA690" i="1" s="1"/>
  <c r="Y688" i="1"/>
  <c r="AA688" i="1" s="1"/>
  <c r="Y682" i="1"/>
  <c r="AA682" i="1" s="1"/>
  <c r="Y680" i="1"/>
  <c r="AA680" i="1" s="1"/>
  <c r="Y674" i="1"/>
  <c r="AA674" i="1" s="1"/>
  <c r="Y672" i="1"/>
  <c r="AA672" i="1" s="1"/>
  <c r="Y666" i="1"/>
  <c r="AA666" i="1" s="1"/>
  <c r="Y664" i="1"/>
  <c r="AA664" i="1" s="1"/>
  <c r="Y658" i="1"/>
  <c r="AA658" i="1" s="1"/>
  <c r="Y656" i="1"/>
  <c r="AA656" i="1" s="1"/>
  <c r="Y650" i="1"/>
  <c r="AA650" i="1" s="1"/>
  <c r="Z644" i="1"/>
  <c r="Z642" i="1"/>
  <c r="Z637" i="1"/>
  <c r="Z635" i="1"/>
  <c r="Z627" i="1"/>
  <c r="Z625" i="1"/>
  <c r="Z623" i="1"/>
  <c r="Z621" i="1"/>
  <c r="Z469" i="1"/>
  <c r="Z467" i="1"/>
  <c r="Z465" i="1"/>
  <c r="Z463" i="1"/>
  <c r="Z458" i="1"/>
  <c r="Y457" i="1"/>
  <c r="AA457" i="1" s="1"/>
  <c r="Z456" i="1"/>
  <c r="Y455" i="1"/>
  <c r="AA455" i="1" s="1"/>
  <c r="Z449" i="1"/>
  <c r="Z447" i="1"/>
  <c r="Z442" i="1"/>
  <c r="Y441" i="1"/>
  <c r="AA441" i="1" s="1"/>
  <c r="Z440" i="1"/>
  <c r="Y439" i="1"/>
  <c r="AA439" i="1" s="1"/>
  <c r="Z433" i="1"/>
  <c r="Z431" i="1"/>
  <c r="Y430" i="1"/>
  <c r="AA430" i="1" s="1"/>
  <c r="Y429" i="1"/>
  <c r="AA429" i="1" s="1"/>
  <c r="Z427" i="1"/>
  <c r="Y426" i="1"/>
  <c r="AA426" i="1" s="1"/>
  <c r="Z425" i="1"/>
  <c r="Y424" i="1"/>
  <c r="AA424" i="1" s="1"/>
  <c r="Z418" i="1"/>
  <c r="Z416" i="1"/>
  <c r="Y415" i="1"/>
  <c r="AA415" i="1" s="1"/>
  <c r="Y620" i="1"/>
  <c r="AA620" i="1" s="1"/>
  <c r="Z412" i="1"/>
  <c r="Y411" i="1"/>
  <c r="AA411" i="1" s="1"/>
  <c r="Z410" i="1"/>
  <c r="Y409" i="1"/>
  <c r="AA409" i="1" s="1"/>
  <c r="Z403" i="1"/>
  <c r="Z401" i="1"/>
  <c r="Y400" i="1"/>
  <c r="AA400" i="1" s="1"/>
  <c r="Y398" i="1"/>
  <c r="AA398" i="1" s="1"/>
  <c r="Z396" i="1"/>
  <c r="Y395" i="1"/>
  <c r="AA395" i="1" s="1"/>
  <c r="Z394" i="1"/>
  <c r="Y393" i="1"/>
  <c r="AA393" i="1" s="1"/>
  <c r="Y385" i="1"/>
  <c r="AA385" i="1" s="1"/>
  <c r="Z384" i="1"/>
  <c r="Y383" i="1"/>
  <c r="AA383" i="1" s="1"/>
  <c r="Z382" i="1"/>
  <c r="Z381" i="1"/>
  <c r="Y380" i="1"/>
  <c r="AA380" i="1" s="1"/>
  <c r="Z379" i="1"/>
  <c r="Y378" i="1"/>
  <c r="AA378" i="1" s="1"/>
  <c r="Y363" i="1"/>
  <c r="AA363" i="1" s="1"/>
  <c r="Y356" i="1"/>
  <c r="AA356" i="1" s="1"/>
  <c r="Z353" i="1"/>
  <c r="Y349" i="1"/>
  <c r="AA349" i="1" s="1"/>
  <c r="Z345" i="1"/>
  <c r="Y344" i="1"/>
  <c r="AA344" i="1" s="1"/>
  <c r="Y334" i="1"/>
  <c r="AA334" i="1" s="1"/>
  <c r="Z321" i="1"/>
  <c r="Y314" i="1"/>
  <c r="AA314" i="1" s="1"/>
  <c r="Y286" i="1"/>
  <c r="AA286" i="1" s="1"/>
  <c r="Z284" i="1"/>
  <c r="Y278" i="1"/>
  <c r="AA278" i="1" s="1"/>
  <c r="Z272" i="1"/>
  <c r="Z270" i="1"/>
  <c r="Y267" i="1"/>
  <c r="AA267" i="1" s="1"/>
  <c r="Z369" i="1"/>
  <c r="Y368" i="1"/>
  <c r="AA368" i="1" s="1"/>
  <c r="Z367" i="1"/>
  <c r="Y366" i="1"/>
  <c r="AA366" i="1" s="1"/>
  <c r="Z356" i="1"/>
  <c r="Z354" i="1"/>
  <c r="Y353" i="1"/>
  <c r="AA353" i="1" s="1"/>
  <c r="Z352" i="1"/>
  <c r="Y351" i="1"/>
  <c r="AA351" i="1" s="1"/>
  <c r="Z343" i="1"/>
  <c r="Z341" i="1"/>
  <c r="Z340" i="1"/>
  <c r="Y339" i="1"/>
  <c r="AA339" i="1" s="1"/>
  <c r="Z338" i="1"/>
  <c r="Y337" i="1"/>
  <c r="AA337" i="1" s="1"/>
  <c r="Y333" i="1"/>
  <c r="AA333" i="1" s="1"/>
  <c r="Z325" i="1"/>
  <c r="Z314" i="1"/>
  <c r="Z313" i="1"/>
  <c r="Z311" i="1"/>
  <c r="Y308" i="1"/>
  <c r="AA308" i="1" s="1"/>
  <c r="Z302" i="1"/>
  <c r="Z295" i="1"/>
  <c r="Y292" i="1"/>
  <c r="AA292" i="1" s="1"/>
  <c r="Y290" i="1"/>
  <c r="AA290" i="1" s="1"/>
  <c r="Z287" i="1"/>
  <c r="Z281" i="1"/>
  <c r="Y279" i="1"/>
  <c r="AA279" i="1" s="1"/>
  <c r="Z275" i="1"/>
  <c r="Z273" i="1"/>
  <c r="Y272" i="1"/>
  <c r="AA272" i="1" s="1"/>
  <c r="Y619" i="1"/>
  <c r="AA619" i="1" s="1"/>
  <c r="Y260" i="1"/>
  <c r="AA260" i="1" s="1"/>
  <c r="Z257" i="1"/>
  <c r="Z616" i="1"/>
  <c r="Z614" i="1"/>
  <c r="Z254" i="1"/>
  <c r="Z612" i="1"/>
  <c r="Y253" i="1"/>
  <c r="AA253" i="1" s="1"/>
  <c r="Z252" i="1"/>
  <c r="Y250" i="1"/>
  <c r="AA250" i="1" s="1"/>
  <c r="Y235" i="1"/>
  <c r="AA235" i="1" s="1"/>
  <c r="Y595" i="1"/>
  <c r="AA595" i="1" s="1"/>
  <c r="Y594" i="1"/>
  <c r="AA594" i="1" s="1"/>
  <c r="Y589" i="1"/>
  <c r="AA589" i="1" s="1"/>
  <c r="Y221" i="1"/>
  <c r="AA221" i="1" s="1"/>
  <c r="Z208" i="1"/>
  <c r="Z364" i="1"/>
  <c r="Z362" i="1"/>
  <c r="Z361" i="1"/>
  <c r="Y360" i="1"/>
  <c r="AA360" i="1" s="1"/>
  <c r="Z359" i="1"/>
  <c r="Y358" i="1"/>
  <c r="AA358" i="1" s="1"/>
  <c r="Z349" i="1"/>
  <c r="Z348" i="1"/>
  <c r="Y347" i="1"/>
  <c r="AA347" i="1" s="1"/>
  <c r="Z346" i="1"/>
  <c r="Y345" i="1"/>
  <c r="AA345" i="1" s="1"/>
  <c r="Z335" i="1"/>
  <c r="Z334" i="1"/>
  <c r="Z333" i="1"/>
  <c r="Z331" i="1"/>
  <c r="Y328" i="1"/>
  <c r="AA328" i="1" s="1"/>
  <c r="Y321" i="1"/>
  <c r="AA321" i="1" s="1"/>
  <c r="Y316" i="1"/>
  <c r="AA316" i="1" s="1"/>
  <c r="Y307" i="1"/>
  <c r="AA307" i="1" s="1"/>
  <c r="Y302" i="1"/>
  <c r="AA302" i="1" s="1"/>
  <c r="Z298" i="1"/>
  <c r="Z297" i="1"/>
  <c r="Z296" i="1"/>
  <c r="Z291" i="1"/>
  <c r="Z290" i="1"/>
  <c r="Z288" i="1"/>
  <c r="Z279" i="1"/>
  <c r="Y275" i="1"/>
  <c r="AA275" i="1" s="1"/>
  <c r="Z268" i="1"/>
  <c r="Y263" i="1"/>
  <c r="AA263" i="1" s="1"/>
  <c r="Z618" i="1"/>
  <c r="Z608" i="1"/>
  <c r="Y246" i="1"/>
  <c r="AA246" i="1" s="1"/>
  <c r="Y220" i="1"/>
  <c r="AA220" i="1" s="1"/>
  <c r="Z126" i="1"/>
  <c r="Z597" i="1"/>
  <c r="Z596" i="1"/>
  <c r="Z594" i="1"/>
  <c r="Z221" i="1"/>
  <c r="Z216" i="1"/>
  <c r="Z215" i="1"/>
  <c r="Z584" i="1"/>
  <c r="Z582" i="1"/>
  <c r="Z576" i="1"/>
  <c r="Z573" i="1"/>
  <c r="Z475" i="1"/>
  <c r="Y205" i="1"/>
  <c r="AA205" i="1" s="1"/>
  <c r="Y568" i="1"/>
  <c r="AA568" i="1" s="1"/>
  <c r="Y198" i="1"/>
  <c r="AA198" i="1" s="1"/>
  <c r="Y192" i="1"/>
  <c r="AA192" i="1" s="1"/>
  <c r="Y179" i="1"/>
  <c r="AA179" i="1" s="1"/>
  <c r="Y173" i="1"/>
  <c r="AA173" i="1" s="1"/>
  <c r="Y153" i="1"/>
  <c r="AA153" i="1" s="1"/>
  <c r="Z151" i="1"/>
  <c r="Y147" i="1"/>
  <c r="AA147" i="1" s="1"/>
  <c r="Z140" i="1"/>
  <c r="Z598" i="1"/>
  <c r="Z209" i="1"/>
  <c r="Z67" i="1"/>
  <c r="Z593" i="1"/>
  <c r="Z149" i="1"/>
  <c r="Z562" i="1"/>
  <c r="Z148" i="1"/>
  <c r="Z147" i="1"/>
  <c r="Y137" i="1"/>
  <c r="AA137" i="1" s="1"/>
  <c r="Y121" i="1"/>
  <c r="AA121" i="1" s="1"/>
  <c r="Y110" i="1"/>
  <c r="AA110" i="1" s="1"/>
  <c r="Y103" i="1"/>
  <c r="AA103" i="1" s="1"/>
  <c r="Y215" i="1"/>
  <c r="AA215" i="1" s="1"/>
  <c r="Y586" i="1"/>
  <c r="AA586" i="1" s="1"/>
  <c r="Y582" i="1"/>
  <c r="AA582" i="1" s="1"/>
  <c r="Y581" i="1"/>
  <c r="AA581" i="1" s="1"/>
  <c r="Y576" i="1"/>
  <c r="AA576" i="1" s="1"/>
  <c r="Y573" i="1"/>
  <c r="AA573" i="1" s="1"/>
  <c r="Z260" i="1"/>
  <c r="Y259" i="1"/>
  <c r="AA259" i="1" s="1"/>
  <c r="Y617" i="1"/>
  <c r="AA617" i="1" s="1"/>
  <c r="Y256" i="1"/>
  <c r="AA256" i="1" s="1"/>
  <c r="Z611" i="1"/>
  <c r="Z610" i="1"/>
  <c r="Y606" i="1"/>
  <c r="AA606" i="1" s="1"/>
  <c r="Z246" i="1"/>
  <c r="Y244" i="1"/>
  <c r="AA244" i="1" s="1"/>
  <c r="Z243" i="1"/>
  <c r="Y230" i="1"/>
  <c r="AA230" i="1" s="1"/>
  <c r="Y228" i="1"/>
  <c r="AA228" i="1" s="1"/>
  <c r="Z226" i="1"/>
  <c r="Z574" i="1"/>
  <c r="Z595" i="1"/>
  <c r="Y593" i="1"/>
  <c r="AA593" i="1" s="1"/>
  <c r="Z590" i="1"/>
  <c r="Z588" i="1"/>
  <c r="Z214" i="1"/>
  <c r="Z211" i="1"/>
  <c r="Y550" i="1"/>
  <c r="AA550" i="1" s="1"/>
  <c r="Y134" i="1"/>
  <c r="AA134" i="1" s="1"/>
  <c r="Z122" i="1"/>
  <c r="Z116" i="1"/>
  <c r="Y115" i="1"/>
  <c r="AA115" i="1" s="1"/>
  <c r="Z111" i="1"/>
  <c r="Z109" i="1"/>
  <c r="Z106" i="1"/>
  <c r="Z105" i="1"/>
  <c r="Y555" i="1"/>
  <c r="AA555" i="1" s="1"/>
  <c r="Z551" i="1"/>
  <c r="Z548" i="1"/>
  <c r="Z545" i="1"/>
  <c r="Z88" i="1"/>
  <c r="Z85" i="1"/>
  <c r="Y81" i="1"/>
  <c r="AA81" i="1" s="1"/>
  <c r="Z75" i="1"/>
  <c r="Y71" i="1"/>
  <c r="AA71" i="1" s="1"/>
  <c r="Y282" i="1"/>
  <c r="AA282" i="1" s="1"/>
  <c r="Y38" i="1"/>
  <c r="AA38" i="1" s="1"/>
  <c r="Z117" i="1"/>
  <c r="Z115" i="1"/>
  <c r="Z558" i="1"/>
  <c r="Z555" i="1"/>
  <c r="Z552" i="1"/>
  <c r="Z535" i="1"/>
  <c r="Y546" i="1"/>
  <c r="AA546" i="1" s="1"/>
  <c r="Y540" i="1"/>
  <c r="AA540" i="1" s="1"/>
  <c r="Y86" i="1"/>
  <c r="AA86" i="1" s="1"/>
  <c r="Y62" i="1"/>
  <c r="AA62" i="1" s="1"/>
  <c r="Y49" i="1"/>
  <c r="AA49" i="1" s="1"/>
  <c r="Y46" i="1"/>
  <c r="AA46" i="1" s="1"/>
  <c r="Y124" i="1"/>
  <c r="AA124" i="1" s="1"/>
  <c r="Z124" i="1"/>
  <c r="Y120" i="1"/>
  <c r="AA120" i="1" s="1"/>
  <c r="Z120" i="1"/>
  <c r="Y113" i="1"/>
  <c r="AA113" i="1" s="1"/>
  <c r="Y109" i="1"/>
  <c r="AA109" i="1" s="1"/>
  <c r="Z104" i="1"/>
  <c r="Z101" i="1"/>
  <c r="Y98" i="1"/>
  <c r="AA98" i="1" s="1"/>
  <c r="Z98" i="1"/>
  <c r="Z97" i="1"/>
  <c r="Y554" i="1"/>
  <c r="AA554" i="1" s="1"/>
  <c r="Y548" i="1"/>
  <c r="AA548" i="1" s="1"/>
  <c r="Z544" i="1"/>
  <c r="Y541" i="1"/>
  <c r="AA541" i="1" s="1"/>
  <c r="Z541" i="1"/>
  <c r="Z540" i="1"/>
  <c r="Y536" i="1"/>
  <c r="AA536" i="1" s="1"/>
  <c r="Y532" i="1"/>
  <c r="AA532" i="1" s="1"/>
  <c r="Y528" i="1"/>
  <c r="AA528" i="1" s="1"/>
  <c r="Z528" i="1"/>
  <c r="Y85" i="1"/>
  <c r="AA85" i="1" s="1"/>
  <c r="Z82" i="1"/>
  <c r="Z79" i="1"/>
  <c r="Z76" i="1"/>
  <c r="Y74" i="1"/>
  <c r="AA74" i="1" s="1"/>
  <c r="Z65" i="1"/>
  <c r="Z63" i="1"/>
  <c r="Y60" i="1"/>
  <c r="AA60" i="1" s="1"/>
  <c r="Z60" i="1"/>
  <c r="Z57" i="1"/>
  <c r="Z50" i="1"/>
  <c r="Z45" i="1"/>
  <c r="Z526" i="1"/>
  <c r="Y524" i="1"/>
  <c r="AA524" i="1" s="1"/>
  <c r="Y523" i="1"/>
  <c r="AA523" i="1" s="1"/>
  <c r="Z522" i="1"/>
  <c r="Y495" i="1"/>
  <c r="AA495" i="1" s="1"/>
  <c r="Z481" i="1"/>
  <c r="Y30" i="1"/>
  <c r="AA30" i="1" s="1"/>
  <c r="Z478" i="1"/>
  <c r="Z24" i="1"/>
  <c r="Z71" i="1"/>
  <c r="Y70" i="1"/>
  <c r="AA70" i="1" s="1"/>
  <c r="Z472" i="1"/>
  <c r="Y63" i="1"/>
  <c r="AA63" i="1" s="1"/>
  <c r="Z61" i="1"/>
  <c r="Y55" i="1"/>
  <c r="AA55" i="1" s="1"/>
  <c r="Y51" i="1"/>
  <c r="AA51" i="1" s="1"/>
  <c r="Z48" i="1"/>
  <c r="Z47" i="1"/>
  <c r="Z46" i="1"/>
  <c r="Y525" i="1"/>
  <c r="AA525" i="1" s="1"/>
  <c r="Z42" i="1"/>
  <c r="Z523" i="1"/>
  <c r="Y520" i="1"/>
  <c r="AA520" i="1" s="1"/>
  <c r="Z519" i="1"/>
  <c r="Y517" i="1"/>
  <c r="AA517" i="1" s="1"/>
  <c r="Z39" i="1"/>
  <c r="Z38" i="1"/>
  <c r="Y511" i="1"/>
  <c r="AA511" i="1" s="1"/>
  <c r="Z501" i="1"/>
  <c r="Z499" i="1"/>
  <c r="Y492" i="1"/>
  <c r="AA492" i="1" s="1"/>
  <c r="Z491" i="1"/>
  <c r="Z490" i="1"/>
  <c r="Z30" i="1"/>
  <c r="Z479" i="1"/>
  <c r="Y26" i="1"/>
  <c r="AA26" i="1" s="1"/>
  <c r="Z26" i="1"/>
  <c r="Z19" i="1"/>
  <c r="Y510" i="1"/>
  <c r="AA510" i="1" s="1"/>
  <c r="Z62" i="1"/>
  <c r="Z474" i="1"/>
  <c r="Z52" i="1"/>
  <c r="Z282" i="1"/>
  <c r="Y527" i="1"/>
  <c r="AA527" i="1" s="1"/>
  <c r="Y526" i="1"/>
  <c r="AA526" i="1" s="1"/>
  <c r="Z44" i="1"/>
  <c r="Y515" i="1"/>
  <c r="AA515" i="1" s="1"/>
  <c r="Z37" i="1"/>
  <c r="Y512" i="1"/>
  <c r="AA512" i="1" s="1"/>
  <c r="Z36" i="1"/>
  <c r="Z510" i="1"/>
  <c r="Y506" i="1"/>
  <c r="AA506" i="1" s="1"/>
  <c r="Z500" i="1"/>
  <c r="Y499" i="1"/>
  <c r="AA499" i="1" s="1"/>
  <c r="Z498" i="1"/>
  <c r="Z493" i="1"/>
  <c r="Z492" i="1"/>
  <c r="Z34" i="1"/>
  <c r="Z29" i="1"/>
  <c r="Z480" i="1"/>
  <c r="Z15" i="1"/>
  <c r="Y14" i="1"/>
  <c r="AA14" i="1" s="1"/>
  <c r="Y481" i="1"/>
  <c r="AA481" i="1" s="1"/>
  <c r="Y483" i="1"/>
  <c r="AA483" i="1" s="1"/>
  <c r="Y32" i="1"/>
  <c r="AA32" i="1" s="1"/>
  <c r="Y480" i="1"/>
  <c r="AA480" i="1" s="1"/>
  <c r="Y479" i="1"/>
  <c r="AA479" i="1" s="1"/>
  <c r="Y478" i="1"/>
  <c r="AA478" i="1" s="1"/>
  <c r="Z28" i="1"/>
  <c r="Z482" i="1"/>
  <c r="Z33" i="1"/>
  <c r="Z31" i="1"/>
  <c r="Z27" i="1"/>
  <c r="Y25" i="1"/>
  <c r="AA25" i="1" s="1"/>
  <c r="Y24" i="1"/>
  <c r="AA24" i="1" s="1"/>
  <c r="Y23" i="1"/>
  <c r="AA23" i="1" s="1"/>
  <c r="Y22" i="1"/>
  <c r="AA22" i="1" s="1"/>
  <c r="Z23" i="1"/>
  <c r="Y16" i="1"/>
  <c r="AA16" i="1" s="1"/>
  <c r="Y812" i="1"/>
  <c r="AA812" i="1" s="1"/>
  <c r="Y786" i="1"/>
  <c r="AA786" i="1" s="1"/>
  <c r="Y794" i="1"/>
  <c r="AA794" i="1" s="1"/>
  <c r="Y780" i="1"/>
  <c r="AA780" i="1" s="1"/>
  <c r="Y788" i="1"/>
  <c r="AA788" i="1" s="1"/>
  <c r="Y802" i="1"/>
  <c r="AA802" i="1" s="1"/>
  <c r="Y796" i="1"/>
  <c r="AA796" i="1" s="1"/>
  <c r="Z814" i="1"/>
  <c r="Z806" i="1"/>
  <c r="Z798" i="1"/>
  <c r="Z790" i="1"/>
  <c r="Z782" i="1"/>
  <c r="Z774" i="1"/>
  <c r="Y771" i="1"/>
  <c r="AA771" i="1" s="1"/>
  <c r="Z766" i="1"/>
  <c r="Y763" i="1"/>
  <c r="AA763" i="1" s="1"/>
  <c r="Z758" i="1"/>
  <c r="Y755" i="1"/>
  <c r="AA755" i="1" s="1"/>
  <c r="Z750" i="1"/>
  <c r="Y747" i="1"/>
  <c r="AA747" i="1" s="1"/>
  <c r="Z742" i="1"/>
  <c r="Y739" i="1"/>
  <c r="AA739" i="1" s="1"/>
  <c r="Z734" i="1"/>
  <c r="Y731" i="1"/>
  <c r="AA731" i="1" s="1"/>
  <c r="Z726" i="1"/>
  <c r="Y723" i="1"/>
  <c r="AA723" i="1" s="1"/>
  <c r="Z718" i="1"/>
  <c r="Y715" i="1"/>
  <c r="AA715" i="1" s="1"/>
  <c r="Z710" i="1"/>
  <c r="Y707" i="1"/>
  <c r="AA707" i="1" s="1"/>
  <c r="Z702" i="1"/>
  <c r="Y699" i="1"/>
  <c r="AA699" i="1" s="1"/>
  <c r="Z694" i="1"/>
  <c r="Y691" i="1"/>
  <c r="AA691" i="1" s="1"/>
  <c r="Z686" i="1"/>
  <c r="Y683" i="1"/>
  <c r="AA683" i="1" s="1"/>
  <c r="Z678" i="1"/>
  <c r="Y675" i="1"/>
  <c r="AA675" i="1" s="1"/>
  <c r="Z670" i="1"/>
  <c r="Y667" i="1"/>
  <c r="AA667" i="1" s="1"/>
  <c r="Z662" i="1"/>
  <c r="Y659" i="1"/>
  <c r="AA659" i="1" s="1"/>
  <c r="Z654" i="1"/>
  <c r="Y651" i="1"/>
  <c r="AA651" i="1" s="1"/>
  <c r="Z647" i="1"/>
  <c r="Y644" i="1"/>
  <c r="AA644" i="1" s="1"/>
  <c r="Z639" i="1"/>
  <c r="Y636" i="1"/>
  <c r="AA636" i="1" s="1"/>
  <c r="Z633" i="1"/>
  <c r="Y315" i="1"/>
  <c r="AA315" i="1" s="1"/>
  <c r="Y313" i="1"/>
  <c r="AA313" i="1" s="1"/>
  <c r="Y289" i="1"/>
  <c r="AA289" i="1" s="1"/>
  <c r="Z289" i="1"/>
  <c r="Y283" i="1"/>
  <c r="AA283" i="1" s="1"/>
  <c r="Y236" i="1"/>
  <c r="AA236" i="1" s="1"/>
  <c r="Y226" i="1"/>
  <c r="AA226" i="1" s="1"/>
  <c r="Y67" i="1"/>
  <c r="AA67" i="1" s="1"/>
  <c r="Z812" i="1"/>
  <c r="Z804" i="1"/>
  <c r="Z796" i="1"/>
  <c r="Z788" i="1"/>
  <c r="Z780" i="1"/>
  <c r="Z776" i="1"/>
  <c r="Y773" i="1"/>
  <c r="AA773" i="1" s="1"/>
  <c r="Z768" i="1"/>
  <c r="Y765" i="1"/>
  <c r="AA765" i="1" s="1"/>
  <c r="Z760" i="1"/>
  <c r="Y757" i="1"/>
  <c r="AA757" i="1" s="1"/>
  <c r="Z752" i="1"/>
  <c r="Y749" i="1"/>
  <c r="AA749" i="1" s="1"/>
  <c r="Z744" i="1"/>
  <c r="Y741" i="1"/>
  <c r="AA741" i="1" s="1"/>
  <c r="Z736" i="1"/>
  <c r="Y733" i="1"/>
  <c r="AA733" i="1" s="1"/>
  <c r="Z728" i="1"/>
  <c r="Y725" i="1"/>
  <c r="AA725" i="1" s="1"/>
  <c r="Z720" i="1"/>
  <c r="Y717" i="1"/>
  <c r="AA717" i="1" s="1"/>
  <c r="Z712" i="1"/>
  <c r="Y709" i="1"/>
  <c r="AA709" i="1" s="1"/>
  <c r="Z704" i="1"/>
  <c r="Y701" i="1"/>
  <c r="AA701" i="1" s="1"/>
  <c r="Z696" i="1"/>
  <c r="Y693" i="1"/>
  <c r="AA693" i="1" s="1"/>
  <c r="Z688" i="1"/>
  <c r="Y685" i="1"/>
  <c r="AA685" i="1" s="1"/>
  <c r="Z680" i="1"/>
  <c r="Y677" i="1"/>
  <c r="AA677" i="1" s="1"/>
  <c r="Z672" i="1"/>
  <c r="Y669" i="1"/>
  <c r="AA669" i="1" s="1"/>
  <c r="Z664" i="1"/>
  <c r="Y661" i="1"/>
  <c r="AA661" i="1" s="1"/>
  <c r="Z656" i="1"/>
  <c r="Y653" i="1"/>
  <c r="AA653" i="1" s="1"/>
  <c r="Y646" i="1"/>
  <c r="AA646" i="1" s="1"/>
  <c r="Z641" i="1"/>
  <c r="Y638" i="1"/>
  <c r="AA638" i="1" s="1"/>
  <c r="Z607" i="1"/>
  <c r="Y632" i="1"/>
  <c r="AA632" i="1" s="1"/>
  <c r="Y628" i="1"/>
  <c r="AA628" i="1" s="1"/>
  <c r="Y624" i="1"/>
  <c r="AA624" i="1" s="1"/>
  <c r="Y470" i="1"/>
  <c r="AA470" i="1" s="1"/>
  <c r="Y466" i="1"/>
  <c r="AA466" i="1" s="1"/>
  <c r="Y648" i="1"/>
  <c r="AA648" i="1" s="1"/>
  <c r="Y332" i="1"/>
  <c r="AA332" i="1" s="1"/>
  <c r="Z332" i="1"/>
  <c r="Y327" i="1"/>
  <c r="AA327" i="1" s="1"/>
  <c r="Y326" i="1"/>
  <c r="AA326" i="1" s="1"/>
  <c r="Y304" i="1"/>
  <c r="AA304" i="1" s="1"/>
  <c r="Z304" i="1"/>
  <c r="Y299" i="1"/>
  <c r="AA299" i="1" s="1"/>
  <c r="Y297" i="1"/>
  <c r="AA297" i="1" s="1"/>
  <c r="Y274" i="1"/>
  <c r="AA274" i="1" s="1"/>
  <c r="Z274" i="1"/>
  <c r="Y271" i="1"/>
  <c r="AA271" i="1" s="1"/>
  <c r="Y269" i="1"/>
  <c r="AA269" i="1" s="1"/>
  <c r="Y262" i="1"/>
  <c r="AA262" i="1" s="1"/>
  <c r="Y257" i="1"/>
  <c r="AA257" i="1" s="1"/>
  <c r="Y254" i="1"/>
  <c r="AA254" i="1" s="1"/>
  <c r="Y609" i="1"/>
  <c r="AA609" i="1" s="1"/>
  <c r="Z329" i="1"/>
  <c r="Z322" i="1"/>
  <c r="Z317" i="1"/>
  <c r="Z309" i="1"/>
  <c r="Z301" i="1"/>
  <c r="Z294" i="1"/>
  <c r="Z286" i="1"/>
  <c r="Z264" i="1"/>
  <c r="Y261" i="1"/>
  <c r="AA261" i="1" s="1"/>
  <c r="Z258" i="1"/>
  <c r="Y616" i="1"/>
  <c r="AA616" i="1" s="1"/>
  <c r="Z255" i="1"/>
  <c r="Y612" i="1"/>
  <c r="AA612" i="1" s="1"/>
  <c r="Z251" i="1"/>
  <c r="Y247" i="1"/>
  <c r="AA247" i="1" s="1"/>
  <c r="Z245" i="1"/>
  <c r="Y242" i="1"/>
  <c r="AA242" i="1" s="1"/>
  <c r="Z327" i="1"/>
  <c r="Z320" i="1"/>
  <c r="Z315" i="1"/>
  <c r="Z307" i="1"/>
  <c r="Z299" i="1"/>
  <c r="Z292" i="1"/>
  <c r="Z276" i="1"/>
  <c r="Z271" i="1"/>
  <c r="Y618" i="1"/>
  <c r="AA618" i="1" s="1"/>
  <c r="Z256" i="1"/>
  <c r="Y613" i="1"/>
  <c r="AA613" i="1" s="1"/>
  <c r="Z253" i="1"/>
  <c r="Y610" i="1"/>
  <c r="AA610" i="1" s="1"/>
  <c r="Z606" i="1"/>
  <c r="Y249" i="1"/>
  <c r="AA249" i="1" s="1"/>
  <c r="Y243" i="1"/>
  <c r="AA243" i="1" s="1"/>
  <c r="Y239" i="1"/>
  <c r="AA239" i="1" s="1"/>
  <c r="Y227" i="1"/>
  <c r="AA227" i="1" s="1"/>
  <c r="Z225" i="1"/>
  <c r="Y599" i="1"/>
  <c r="AA599" i="1" s="1"/>
  <c r="Z599" i="1"/>
  <c r="Y11" i="1"/>
  <c r="AA11" i="1" s="1"/>
  <c r="Z587" i="1"/>
  <c r="Z583" i="1"/>
  <c r="Z577" i="1"/>
  <c r="Y264" i="1"/>
  <c r="AA264" i="1" s="1"/>
  <c r="Y258" i="1"/>
  <c r="AA258" i="1" s="1"/>
  <c r="Y255" i="1"/>
  <c r="AA255" i="1" s="1"/>
  <c r="Y251" i="1"/>
  <c r="AA251" i="1" s="1"/>
  <c r="Y245" i="1"/>
  <c r="AA245" i="1" s="1"/>
  <c r="Z222" i="1"/>
  <c r="Z218" i="1"/>
  <c r="Y587" i="1"/>
  <c r="AA587" i="1" s="1"/>
  <c r="Z585" i="1"/>
  <c r="Y583" i="1"/>
  <c r="AA583" i="1" s="1"/>
  <c r="Z579" i="1"/>
  <c r="Y577" i="1"/>
  <c r="AA577" i="1" s="1"/>
  <c r="Z210" i="1"/>
  <c r="Y204" i="1"/>
  <c r="AA204" i="1" s="1"/>
  <c r="Y567" i="1"/>
  <c r="AA567" i="1" s="1"/>
  <c r="Y191" i="1"/>
  <c r="AA191" i="1" s="1"/>
  <c r="Y185" i="1"/>
  <c r="AA185" i="1" s="1"/>
  <c r="Y564" i="1"/>
  <c r="AA564" i="1" s="1"/>
  <c r="Y172" i="1"/>
  <c r="AA172" i="1" s="1"/>
  <c r="Y168" i="1"/>
  <c r="AA168" i="1" s="1"/>
  <c r="Y154" i="1"/>
  <c r="AA154" i="1" s="1"/>
  <c r="Z145" i="1"/>
  <c r="Y142" i="1"/>
  <c r="AA142" i="1" s="1"/>
  <c r="Z142" i="1"/>
  <c r="Z135" i="1"/>
  <c r="Y12" i="1"/>
  <c r="AA12" i="1" s="1"/>
  <c r="Z12" i="1"/>
  <c r="Z181" i="1"/>
  <c r="Z484" i="1"/>
  <c r="Z591" i="1"/>
  <c r="Z589" i="1"/>
  <c r="Z220" i="1"/>
  <c r="Y217" i="1"/>
  <c r="AA217" i="1" s="1"/>
  <c r="Z586" i="1"/>
  <c r="Y212" i="1"/>
  <c r="AA212" i="1" s="1"/>
  <c r="Z581" i="1"/>
  <c r="Y578" i="1"/>
  <c r="AA578" i="1" s="1"/>
  <c r="Y476" i="1"/>
  <c r="AA476" i="1" s="1"/>
  <c r="Y206" i="1"/>
  <c r="AA206" i="1" s="1"/>
  <c r="Y569" i="1"/>
  <c r="AA569" i="1" s="1"/>
  <c r="Y199" i="1"/>
  <c r="AA199" i="1" s="1"/>
  <c r="Y193" i="1"/>
  <c r="AA193" i="1" s="1"/>
  <c r="Y186" i="1"/>
  <c r="AA186" i="1" s="1"/>
  <c r="Y180" i="1"/>
  <c r="AA180" i="1" s="1"/>
  <c r="Y174" i="1"/>
  <c r="AA174" i="1" s="1"/>
  <c r="Y161" i="1"/>
  <c r="AA161" i="1" s="1"/>
  <c r="Y149" i="1"/>
  <c r="AA149" i="1" s="1"/>
  <c r="Y122" i="1"/>
  <c r="AA122" i="1" s="1"/>
  <c r="Y72" i="1"/>
  <c r="AA72" i="1" s="1"/>
  <c r="Z72" i="1"/>
  <c r="Y162" i="1"/>
  <c r="AA162" i="1" s="1"/>
  <c r="Y150" i="1"/>
  <c r="AA150" i="1" s="1"/>
  <c r="Y144" i="1"/>
  <c r="AA144" i="1" s="1"/>
  <c r="Z139" i="1"/>
  <c r="Y560" i="1"/>
  <c r="AA560" i="1" s="1"/>
  <c r="Z132" i="1"/>
  <c r="Y128" i="1"/>
  <c r="AA128" i="1" s="1"/>
  <c r="Y123" i="1"/>
  <c r="AA123" i="1" s="1"/>
  <c r="Z119" i="1"/>
  <c r="Y116" i="1"/>
  <c r="AA116" i="1" s="1"/>
  <c r="Y102" i="1"/>
  <c r="AA102" i="1" s="1"/>
  <c r="Z102" i="1"/>
  <c r="Y94" i="1"/>
  <c r="AA94" i="1" s="1"/>
  <c r="Z94" i="1"/>
  <c r="Y556" i="1"/>
  <c r="AA556" i="1" s="1"/>
  <c r="Z556" i="1"/>
  <c r="Y549" i="1"/>
  <c r="AA549" i="1" s="1"/>
  <c r="Z549" i="1"/>
  <c r="Y164" i="1"/>
  <c r="AA164" i="1" s="1"/>
  <c r="Y156" i="1"/>
  <c r="AA156" i="1" s="1"/>
  <c r="Y152" i="1"/>
  <c r="AA152" i="1" s="1"/>
  <c r="Y146" i="1"/>
  <c r="AA146" i="1" s="1"/>
  <c r="Z141" i="1"/>
  <c r="Y561" i="1"/>
  <c r="AA561" i="1" s="1"/>
  <c r="Z137" i="1"/>
  <c r="Z134" i="1"/>
  <c r="Y131" i="1"/>
  <c r="AA131" i="1" s="1"/>
  <c r="Y129" i="1"/>
  <c r="AA129" i="1" s="1"/>
  <c r="Y125" i="1"/>
  <c r="AA125" i="1" s="1"/>
  <c r="Z121" i="1"/>
  <c r="Y118" i="1"/>
  <c r="AA118" i="1" s="1"/>
  <c r="Y105" i="1"/>
  <c r="AA105" i="1" s="1"/>
  <c r="Y97" i="1"/>
  <c r="AA97" i="1" s="1"/>
  <c r="Y559" i="1"/>
  <c r="AA559" i="1" s="1"/>
  <c r="Y552" i="1"/>
  <c r="AA552" i="1" s="1"/>
  <c r="Y88" i="1"/>
  <c r="AA88" i="1" s="1"/>
  <c r="Y76" i="1"/>
  <c r="AA76" i="1" s="1"/>
  <c r="Y39" i="1"/>
  <c r="AA39" i="1" s="1"/>
  <c r="Y537" i="1"/>
  <c r="AA537" i="1" s="1"/>
  <c r="Z537" i="1"/>
  <c r="Y535" i="1"/>
  <c r="AA535" i="1" s="1"/>
  <c r="Y83" i="1"/>
  <c r="AA83" i="1" s="1"/>
  <c r="Z83" i="1"/>
  <c r="Y69" i="1"/>
  <c r="AA69" i="1" s="1"/>
  <c r="Z69" i="1"/>
  <c r="Y472" i="1"/>
  <c r="AA472" i="1" s="1"/>
  <c r="Y58" i="1"/>
  <c r="AA58" i="1" s="1"/>
  <c r="Z58" i="1"/>
  <c r="Y474" i="1"/>
  <c r="AA474" i="1" s="1"/>
  <c r="Y114" i="1"/>
  <c r="AA114" i="1" s="1"/>
  <c r="Y111" i="1"/>
  <c r="AA111" i="1" s="1"/>
  <c r="Y108" i="1"/>
  <c r="AA108" i="1" s="1"/>
  <c r="Y104" i="1"/>
  <c r="AA104" i="1" s="1"/>
  <c r="Y100" i="1"/>
  <c r="AA100" i="1" s="1"/>
  <c r="Y96" i="1"/>
  <c r="AA96" i="1" s="1"/>
  <c r="Y92" i="1"/>
  <c r="AA92" i="1" s="1"/>
  <c r="Y558" i="1"/>
  <c r="AA558" i="1" s="1"/>
  <c r="Y89" i="1"/>
  <c r="AA89" i="1" s="1"/>
  <c r="Y551" i="1"/>
  <c r="AA551" i="1" s="1"/>
  <c r="Y547" i="1"/>
  <c r="AA547" i="1" s="1"/>
  <c r="Y544" i="1"/>
  <c r="AA544" i="1" s="1"/>
  <c r="Y533" i="1"/>
  <c r="AA533" i="1" s="1"/>
  <c r="Z533" i="1"/>
  <c r="Y531" i="1"/>
  <c r="AA531" i="1" s="1"/>
  <c r="Y80" i="1"/>
  <c r="AA80" i="1" s="1"/>
  <c r="Z80" i="1"/>
  <c r="Y78" i="1"/>
  <c r="AA78" i="1" s="1"/>
  <c r="Y65" i="1"/>
  <c r="AA65" i="1" s="1"/>
  <c r="Y54" i="1"/>
  <c r="AA54" i="1" s="1"/>
  <c r="Z54" i="1"/>
  <c r="Y52" i="1"/>
  <c r="AA52" i="1" s="1"/>
  <c r="Y505" i="1"/>
  <c r="AA505" i="1" s="1"/>
  <c r="Y519" i="1"/>
  <c r="AA519" i="1" s="1"/>
  <c r="Z518" i="1"/>
  <c r="Y37" i="1"/>
  <c r="AA37" i="1" s="1"/>
  <c r="Z513" i="1"/>
  <c r="Z509" i="1"/>
  <c r="Y15" i="1"/>
  <c r="AA15" i="1" s="1"/>
  <c r="Y44" i="1"/>
  <c r="AA44" i="1" s="1"/>
  <c r="Y43" i="1"/>
  <c r="AA43" i="1" s="1"/>
  <c r="Y522" i="1"/>
  <c r="AA522" i="1" s="1"/>
  <c r="Y518" i="1"/>
  <c r="AA518" i="1" s="1"/>
  <c r="Y513" i="1"/>
  <c r="AA513" i="1" s="1"/>
  <c r="Z507" i="1"/>
  <c r="Z503" i="1"/>
  <c r="Y500" i="1"/>
  <c r="AA500" i="1" s="1"/>
  <c r="Y496" i="1"/>
  <c r="AA496" i="1" s="1"/>
  <c r="Y491" i="1"/>
  <c r="AA491" i="1" s="1"/>
  <c r="Y488" i="1"/>
  <c r="AA488" i="1" s="1"/>
  <c r="Y482" i="1"/>
  <c r="AA482" i="1" s="1"/>
  <c r="Y33" i="1"/>
  <c r="AA33" i="1" s="1"/>
  <c r="Y29" i="1"/>
  <c r="AA29" i="1" s="1"/>
  <c r="Y27" i="1"/>
  <c r="AA27" i="1" s="1"/>
  <c r="Y19" i="1"/>
  <c r="AA19" i="1" s="1"/>
  <c r="Z505" i="1"/>
  <c r="Y502" i="1"/>
  <c r="AA502" i="1" s="1"/>
  <c r="Y28" i="1"/>
  <c r="AA28" i="1" s="1"/>
  <c r="Y21" i="1"/>
  <c r="AA21" i="1" s="1"/>
  <c r="U854" i="1" l="1"/>
  <c r="X854" i="1"/>
  <c r="X13" i="1"/>
  <c r="W817" i="1"/>
  <c r="X817" i="1" s="1"/>
  <c r="W818" i="1"/>
  <c r="X818" i="1" s="1"/>
  <c r="W819" i="1"/>
  <c r="X819" i="1" s="1"/>
  <c r="W820" i="1"/>
  <c r="X820" i="1" s="1"/>
  <c r="W821" i="1"/>
  <c r="X821" i="1" s="1"/>
  <c r="W822" i="1"/>
  <c r="X822" i="1" s="1"/>
  <c r="W823" i="1"/>
  <c r="X823" i="1" s="1"/>
  <c r="W824" i="1"/>
  <c r="X824" i="1" s="1"/>
  <c r="W825" i="1"/>
  <c r="X825" i="1" s="1"/>
  <c r="W826" i="1"/>
  <c r="X826" i="1" s="1"/>
  <c r="W827" i="1"/>
  <c r="X827" i="1" s="1"/>
  <c r="W828" i="1"/>
  <c r="X828" i="1" s="1"/>
  <c r="W829" i="1"/>
  <c r="X829" i="1" s="1"/>
  <c r="W830" i="1"/>
  <c r="X830" i="1" s="1"/>
  <c r="W831" i="1"/>
  <c r="X831" i="1" s="1"/>
  <c r="W832" i="1"/>
  <c r="X832" i="1" s="1"/>
  <c r="W833" i="1"/>
  <c r="X833" i="1" s="1"/>
  <c r="W834" i="1"/>
  <c r="X834" i="1" s="1"/>
  <c r="W835" i="1"/>
  <c r="X835" i="1" s="1"/>
  <c r="W836" i="1"/>
  <c r="X836" i="1" s="1"/>
  <c r="W837" i="1"/>
  <c r="X837" i="1" s="1"/>
  <c r="W838" i="1"/>
  <c r="X838" i="1" s="1"/>
  <c r="W839" i="1"/>
  <c r="X839" i="1" s="1"/>
  <c r="W840" i="1"/>
  <c r="X840" i="1" s="1"/>
  <c r="W841" i="1"/>
  <c r="X841" i="1" s="1"/>
  <c r="W842" i="1"/>
  <c r="X842" i="1" s="1"/>
  <c r="W843" i="1"/>
  <c r="X843" i="1" s="1"/>
  <c r="W844" i="1"/>
  <c r="X844" i="1" s="1"/>
  <c r="W845" i="1"/>
  <c r="X845" i="1" s="1"/>
  <c r="W846" i="1"/>
  <c r="X846" i="1" s="1"/>
  <c r="W847" i="1"/>
  <c r="X847" i="1" s="1"/>
  <c r="W848" i="1"/>
  <c r="X848" i="1" s="1"/>
  <c r="W849" i="1"/>
  <c r="X849" i="1" s="1"/>
  <c r="W850" i="1"/>
  <c r="X850" i="1" s="1"/>
  <c r="W851" i="1"/>
  <c r="X851" i="1" s="1"/>
  <c r="W852" i="1"/>
  <c r="X852" i="1" s="1"/>
  <c r="W853" i="1"/>
  <c r="X853" i="1" s="1"/>
  <c r="U13" i="1"/>
  <c r="U817" i="1"/>
  <c r="U818" i="1"/>
  <c r="U819" i="1"/>
  <c r="U820" i="1"/>
  <c r="U821" i="1"/>
  <c r="U822" i="1"/>
  <c r="U823" i="1"/>
  <c r="U824" i="1"/>
  <c r="U825" i="1"/>
  <c r="U826" i="1"/>
  <c r="U827" i="1"/>
  <c r="U828" i="1"/>
  <c r="U829" i="1"/>
  <c r="U830" i="1"/>
  <c r="U831" i="1"/>
  <c r="U832" i="1"/>
  <c r="U833" i="1"/>
  <c r="U834" i="1"/>
  <c r="U835" i="1"/>
  <c r="U836" i="1"/>
  <c r="U837" i="1"/>
  <c r="U838" i="1"/>
  <c r="U839" i="1"/>
  <c r="U840" i="1"/>
  <c r="U841" i="1"/>
  <c r="U842" i="1"/>
  <c r="U843" i="1"/>
  <c r="U844" i="1"/>
  <c r="U845" i="1"/>
  <c r="U846" i="1"/>
  <c r="U847" i="1"/>
  <c r="U848" i="1"/>
  <c r="U849" i="1"/>
  <c r="U850" i="1"/>
  <c r="U851" i="1"/>
  <c r="U852" i="1"/>
  <c r="U853" i="1"/>
  <c r="D37" i="6"/>
  <c r="G86" i="2"/>
  <c r="G76" i="2"/>
  <c r="G70" i="2"/>
  <c r="G51" i="2"/>
  <c r="G45" i="2"/>
  <c r="G32" i="2"/>
  <c r="Z854" i="1" l="1"/>
  <c r="Y825" i="1"/>
  <c r="AA825" i="1" s="1"/>
  <c r="Y853" i="1"/>
  <c r="AA853" i="1" s="1"/>
  <c r="Y849" i="1"/>
  <c r="AA849" i="1" s="1"/>
  <c r="Y845" i="1"/>
  <c r="AA845" i="1" s="1"/>
  <c r="Y841" i="1"/>
  <c r="AA841" i="1" s="1"/>
  <c r="Y837" i="1"/>
  <c r="AA837" i="1" s="1"/>
  <c r="Y833" i="1"/>
  <c r="AA833" i="1" s="1"/>
  <c r="Y817" i="1"/>
  <c r="AA817" i="1" s="1"/>
  <c r="Z836" i="1"/>
  <c r="Z820" i="1"/>
  <c r="Y851" i="1"/>
  <c r="AA851" i="1" s="1"/>
  <c r="Y847" i="1"/>
  <c r="AA847" i="1" s="1"/>
  <c r="Z852" i="1"/>
  <c r="Z848" i="1"/>
  <c r="Z840" i="1"/>
  <c r="Z850" i="1"/>
  <c r="Z834" i="1"/>
  <c r="Y848" i="1"/>
  <c r="AA848" i="1" s="1"/>
  <c r="Y13" i="1"/>
  <c r="AA13" i="1" s="1"/>
  <c r="Z837" i="1"/>
  <c r="Y835" i="1"/>
  <c r="AA835" i="1" s="1"/>
  <c r="Y831" i="1"/>
  <c r="AA831" i="1" s="1"/>
  <c r="Y827" i="1"/>
  <c r="AA827" i="1" s="1"/>
  <c r="Y819" i="1"/>
  <c r="AA819" i="1" s="1"/>
  <c r="Y842" i="1"/>
  <c r="AA842" i="1" s="1"/>
  <c r="Y838" i="1"/>
  <c r="AA838" i="1" s="1"/>
  <c r="Y826" i="1"/>
  <c r="AA826" i="1" s="1"/>
  <c r="Y822" i="1"/>
  <c r="AA822" i="1" s="1"/>
  <c r="Z830" i="1"/>
  <c r="Z826" i="1"/>
  <c r="Z822" i="1"/>
  <c r="Z818" i="1"/>
  <c r="Z853" i="1"/>
  <c r="Z845" i="1"/>
  <c r="Z841" i="1"/>
  <c r="Z831" i="1"/>
  <c r="Z823" i="1"/>
  <c r="Y829" i="1"/>
  <c r="AA829" i="1" s="1"/>
  <c r="Z821" i="1"/>
  <c r="Z843" i="1"/>
  <c r="Z819" i="1"/>
  <c r="Y821" i="1"/>
  <c r="AA821" i="1" s="1"/>
  <c r="Y844" i="1"/>
  <c r="AA844" i="1" s="1"/>
  <c r="Z847" i="1"/>
  <c r="Z829" i="1"/>
  <c r="Z825" i="1"/>
  <c r="Z839" i="1"/>
  <c r="Z835" i="1"/>
  <c r="Z846" i="1"/>
  <c r="Z842" i="1"/>
  <c r="Z838" i="1"/>
  <c r="Z832" i="1"/>
  <c r="Z828" i="1"/>
  <c r="Z824" i="1"/>
  <c r="Z827" i="1"/>
  <c r="Y850" i="1"/>
  <c r="AA850" i="1" s="1"/>
  <c r="Y818" i="1"/>
  <c r="AA818" i="1" s="1"/>
  <c r="Z849" i="1"/>
  <c r="Z833" i="1"/>
  <c r="Z817" i="1"/>
  <c r="Y852" i="1"/>
  <c r="AA852" i="1" s="1"/>
  <c r="Y830" i="1"/>
  <c r="AA830" i="1" s="1"/>
  <c r="Z851" i="1"/>
  <c r="Z844" i="1"/>
  <c r="Y846" i="1"/>
  <c r="AA846" i="1" s="1"/>
  <c r="Y843" i="1"/>
  <c r="AA843" i="1" s="1"/>
  <c r="Y828" i="1"/>
  <c r="AA828" i="1" s="1"/>
  <c r="Y854" i="1"/>
  <c r="AA854" i="1" s="1"/>
  <c r="Y834" i="1"/>
  <c r="AA834" i="1" s="1"/>
  <c r="Y840" i="1"/>
  <c r="AA840" i="1" s="1"/>
  <c r="Z13" i="1"/>
  <c r="Y839" i="1"/>
  <c r="AA839" i="1" s="1"/>
  <c r="Y836" i="1"/>
  <c r="AA836" i="1" s="1"/>
  <c r="Y823" i="1"/>
  <c r="AA823" i="1" s="1"/>
  <c r="Y820" i="1"/>
  <c r="AA820" i="1" s="1"/>
  <c r="Y832" i="1"/>
  <c r="AA832" i="1" s="1"/>
  <c r="Y824" i="1"/>
  <c r="AA824" i="1" s="1"/>
  <c r="P6" i="1"/>
  <c r="S6" i="1" l="1"/>
</calcChain>
</file>

<file path=xl/sharedStrings.xml><?xml version="1.0" encoding="utf-8"?>
<sst xmlns="http://schemas.openxmlformats.org/spreadsheetml/2006/main" count="8416" uniqueCount="948">
  <si>
    <t>Dependencia</t>
  </si>
  <si>
    <t>Código UNSPSC (cada código separado por ;)</t>
  </si>
  <si>
    <t>Meta Proyecto de Inversión</t>
  </si>
  <si>
    <t>Subdirección de Gestión Corporativa</t>
  </si>
  <si>
    <t>O232020200883990_Otros servicios profesionales, técnicos y empresariales n.c.p.</t>
  </si>
  <si>
    <t>1-Implementar 1 plan de ajuste y sostenibilidad del MIPG en la UAECOB</t>
  </si>
  <si>
    <t>224-Implementar al 100% un programa de formación, modernización y sostenibilidad de la Unidad Administrativa Especial Cuerpo Oficial de Bomberos - UAECOB, para la respuesta efectiva en la atención de emergencias y desastres</t>
  </si>
  <si>
    <t>O232020200882199_Otros servicios jurídicos n.c.p.</t>
  </si>
  <si>
    <t>O23202020088715999_Servicio de mantenimiento y reparación de otros equipos n.c.p.</t>
  </si>
  <si>
    <t>5-Implementar 100% de un programa de mantenimiento a las estaciones de bomberos de Bogotá</t>
  </si>
  <si>
    <t>O23201010030208_Otra maquinaria para usos especiales y sus partes y piezas</t>
  </si>
  <si>
    <t>O2320202005040554590_Otros servicios especializados de la construcción</t>
  </si>
  <si>
    <t>O232020200885330_Servicios de limpieza general</t>
  </si>
  <si>
    <t>O232020200885250_Servicios de protección (guardas de
seguridad)</t>
  </si>
  <si>
    <t>4-Adecuar seis (6) estaciones de Bomberos</t>
  </si>
  <si>
    <t>226-Reforzar, Adecuar y Ampliar  6 estaciones de Bomberos</t>
  </si>
  <si>
    <t>516-Gestionar el 100% de un (1) plan de adecuación y sostenibilidad de los sistemas de gestión de la Unidad Administrativa Especial Cuerpo Oficial de Bomberos</t>
  </si>
  <si>
    <t>3-Poner 3 espacios nuevos en funcionamiento para la gestión integral de riesgos, incendios, incidentes con materiales peligrosos y rescates en todas sus modalidades</t>
  </si>
  <si>
    <t>225-Poner en funcionamiento tres (3) nuevos espacios para la gestión integral de riesgos, incendios, incidentes con materiales peligrosos y rescates en todas sus modalidades.</t>
  </si>
  <si>
    <t>Subdirección Logística</t>
  </si>
  <si>
    <t>O23202020088714199_Servicio de mantenimiento y reparación de vehículos automotores n.c.p.</t>
  </si>
  <si>
    <t>9-Ejecutar el 100% del programa de mantenimiento de vehículos y equipo menor de la UAECOB</t>
  </si>
  <si>
    <t>O2320201003053543003_Aditivos para gasolina, aceites minerales y combustible en general</t>
  </si>
  <si>
    <t>8-Implementar 100% de un programa de suministros y consumibles para la atención de emergencias en la UAECOB</t>
  </si>
  <si>
    <t>O232020200663393_Otros servicios de comidas contratadas</t>
  </si>
  <si>
    <t>O232020200883590_Otros servicios veterinarios</t>
  </si>
  <si>
    <t>O2320201003083899997_Artículos n.c.p. para protección</t>
  </si>
  <si>
    <t>TOTAL</t>
  </si>
  <si>
    <t>Oficina Jurídica</t>
  </si>
  <si>
    <t>Subdirección de Gestión del Riesgo</t>
  </si>
  <si>
    <t>1-Implementar 100 % del plan de gestión de riesgo para los procesos de conocimiento y reducción en incendios, incidentes con materiales peligrosos y escenarios de riesgos</t>
  </si>
  <si>
    <t>223-Implementar al 100% un (1) programa de conocimiento y reducción en la gestión de  riesgo de incendios, incidentes con materiales peligrosos y escenarios de riesgos.</t>
  </si>
  <si>
    <t xml:space="preserve">Oficina de Control Interno </t>
  </si>
  <si>
    <t>Subdirección de Gestión Humana</t>
  </si>
  <si>
    <t>2-Implementar 100% del programa de capacitación, formación y entrenamiento al personal uniformado de la Unidad Administrativa Cuerpo Oficial de Bomberos de Bogotá</t>
  </si>
  <si>
    <t>222-Implementar al 100% un (1) programa de capacitación, formación y entrenamiento al personal en el marco de la Academia Bomberil de Bogotá</t>
  </si>
  <si>
    <t>Oficina Asesora de Planeación</t>
  </si>
  <si>
    <t>O232020200883159_Otros servicios de alojamiento y suministro de infraestructura en tecnología de la información (TI)</t>
  </si>
  <si>
    <t>2-Implementar 100 % de la arquitectura TI conforme a las necesidades de la UAECOB</t>
  </si>
  <si>
    <t>517-Implementar al 100% una estrategia de fortalecimiento de los sistemas de información para optimizar la gestión del Cuerpo Oficial de Bomberos</t>
  </si>
  <si>
    <t>O232020200883132_Servicios de soporte en tecnologías de la información (TI)</t>
  </si>
  <si>
    <t>1-Implementar 100 %  del modelo de seguridad y privacidad de la información en la UAECOB alineado a la Política de Gobierno Digital.</t>
  </si>
  <si>
    <t>O232020200668014_Servicios de gestión documental</t>
  </si>
  <si>
    <t>O21202020080282199_Otros servicios jurídicos n.c.p.</t>
  </si>
  <si>
    <t>Dirección-Comunicaciones y Prensa</t>
  </si>
  <si>
    <t>Dirección</t>
  </si>
  <si>
    <t>Oficina de Control Disciplinario Interno</t>
  </si>
  <si>
    <t>Subdirección Operativa</t>
  </si>
  <si>
    <t>6-Implementar 100% de un programa de renovación de equipo menor, herramientas, accesorios y elementos de protección personal en la UAECOB</t>
  </si>
  <si>
    <t xml:space="preserve">Proyecto </t>
  </si>
  <si>
    <t>Presupuesto 2024</t>
  </si>
  <si>
    <t>Total</t>
  </si>
  <si>
    <t>Proyecto</t>
  </si>
  <si>
    <t>Totales</t>
  </si>
  <si>
    <t>Total Dependencia</t>
  </si>
  <si>
    <t>Meta Producto</t>
  </si>
  <si>
    <t>Meta Proyecto</t>
  </si>
  <si>
    <t>Valor estimado</t>
  </si>
  <si>
    <t>PRESUPUESTO POR CONCEPTO DE GASTO INVERSION 2024 - UAECOB</t>
  </si>
  <si>
    <t>PRESUPUESTO GENERAL INVERSION 2024 - UAECOB</t>
  </si>
  <si>
    <t>PRESUPUESTO POR DEPENDENCIA INVERSION 2024 - UAECOB</t>
  </si>
  <si>
    <t>Concepto de Gasto</t>
  </si>
  <si>
    <t>PRESUPUESTO POR META INVERSION 2024 - UAECOB</t>
  </si>
  <si>
    <t>Proyecto 7658</t>
  </si>
  <si>
    <t>Proyecto 7655</t>
  </si>
  <si>
    <t>Proyecto 7637</t>
  </si>
  <si>
    <t>UNIDAD ADMINISTRATIVA ESPECIAL CUERPO OFICIAL DE BOMBEROS DE BOGOTÁ D.C.</t>
  </si>
  <si>
    <t>VIGENCIA:</t>
  </si>
  <si>
    <t>Id</t>
  </si>
  <si>
    <t>Objeto</t>
  </si>
  <si>
    <t>Valor Programado</t>
  </si>
  <si>
    <t>Fuente de Recursos</t>
  </si>
  <si>
    <t>Mes inicio de ejecución</t>
  </si>
  <si>
    <t>plazo ejec Meses</t>
  </si>
  <si>
    <t xml:space="preserve">Dependencia </t>
  </si>
  <si>
    <t>Responsable</t>
  </si>
  <si>
    <t>Modalidad de Selección</t>
  </si>
  <si>
    <t>Si Secop / No Secop</t>
  </si>
  <si>
    <t xml:space="preserve">fecha: </t>
  </si>
  <si>
    <t>Producto PMR</t>
  </si>
  <si>
    <t>Descripción Producto PMR</t>
  </si>
  <si>
    <t>Producto MGA</t>
  </si>
  <si>
    <t>Tipo de Contratación</t>
  </si>
  <si>
    <t>modalidad de selección</t>
  </si>
  <si>
    <t>POSPRE</t>
  </si>
  <si>
    <t>01 - licitación pública</t>
  </si>
  <si>
    <t>01 - orden de compra</t>
  </si>
  <si>
    <t>O23201010030208 Otra maquinaria para usos especiales y sus partes y piezas</t>
  </si>
  <si>
    <t>METAS PROYECTO FORTALECIMIENTO</t>
  </si>
  <si>
    <t>METAS PROYECTO MISIONAL</t>
  </si>
  <si>
    <t>02 - selec. abrev. menor cuantía</t>
  </si>
  <si>
    <t>02 - contratos interadministrativos</t>
  </si>
  <si>
    <t>O2320201003053543003 Aditivos para gasolina, aceites minerales y combustible en general</t>
  </si>
  <si>
    <t>1-Implementar el 100% de las actividades de seguimiento y control de los requisitos y directrices de las políticas del Modelo integrado de Planeación y Gestión - MIPG</t>
  </si>
  <si>
    <t>1-Implementación 6 estrategias de reducción del riesgo de incendios,  incidentes con materiales peligrosos y rescate en todas sus modalidades en la ciudad de Bogotá</t>
  </si>
  <si>
    <t>03 - selec. abrev. subasta inversa</t>
  </si>
  <si>
    <t>03 - contrato de prestacion de servicios</t>
  </si>
  <si>
    <t>O2320201003083899997 Artículos n.c.p. para protección</t>
  </si>
  <si>
    <t>2-Formular y ejecutar el 100% de las actividades asociadas al modelo de relacionamiento con la ciudadanía (servicio a la ciudadanía, transparencia acceso a la información y lucha contra la corrupción, Rendición de cuentas y racionalización de trámites); participación y  colaboración ciudadana y, medidas de integridad y anticorrupción.</t>
  </si>
  <si>
    <t>2-Desarrollar un programa de renovación de equipos, herramientas, accesorios y elementos de protección personal en la UAECOB.</t>
  </si>
  <si>
    <t>04 - contratación mínima cuantía</t>
  </si>
  <si>
    <t>04 - contrato de consultoria</t>
  </si>
  <si>
    <t>O2320202005040554590 Otros servicios especializados de la construcción</t>
  </si>
  <si>
    <t>3-Implementar el 100% de los sistemas y modelos de gestión que defina la UAECOB en el marco del MIPG</t>
  </si>
  <si>
    <t>3-Desarrollar un programa de renovación de vehículos de la Unidad Administrativa Cuerpo Oficial de Bomberos de Bogotá.</t>
  </si>
  <si>
    <t>05 - contrato de obra</t>
  </si>
  <si>
    <t>4-Administrar, soportar y mantener el 100% del servicio de Herramientas de Colaboración y sistemas de información.</t>
  </si>
  <si>
    <t xml:space="preserve">4-Desarrollar 3 estrategias para el fortalecimiento de la logistica en la atención de emergencias. </t>
  </si>
  <si>
    <t>06 - concurso de méritos abierto</t>
  </si>
  <si>
    <t>06 - contrato de compraventa</t>
  </si>
  <si>
    <t>O232020200663393 Otros servicios de comidas contratadas</t>
  </si>
  <si>
    <t>5-Desarrollar el 100% de las acciones asociadas al fortalecimiento de la infraestructura tecnológica y de comunicaciones de la UAECOB</t>
  </si>
  <si>
    <t>5-Realizar 3 Estrategias de Investigación, desarrollo e innovación en gestión del riesgo</t>
  </si>
  <si>
    <t>09 - contratación directa</t>
  </si>
  <si>
    <t>07 - contrato de arrendamiento</t>
  </si>
  <si>
    <t>O232020200668014 Servicios de gestión documental</t>
  </si>
  <si>
    <t>6-Formular e Implementar 1 Plan Estratégico de Tecnologías de la Información y Transformación Digital de la UAECOB.</t>
  </si>
  <si>
    <t>6-Implementar un sistema de monitoreo y seguimiento a incidentes y emergencias para Bogotá, incluyendo cerros orientales</t>
  </si>
  <si>
    <t>10 - contratación directa menor cuantía</t>
  </si>
  <si>
    <t>08 - contrato de suministro</t>
  </si>
  <si>
    <t>O232020200882199 Otros servicios jurídicos n.c.p.</t>
  </si>
  <si>
    <t>7-Actualizar e implementar el 100% del Plan Anual de Seguridad y Privacidad de la Información.</t>
  </si>
  <si>
    <t>7-Adecuar 4 Sedes de la UAECOB</t>
  </si>
  <si>
    <t>17 - acuerdo marco de precios</t>
  </si>
  <si>
    <t>09 - convenio interadministrativo</t>
  </si>
  <si>
    <t>O232020200883132 Servicios de soporte en tecnologías de la información (TI)</t>
  </si>
  <si>
    <t>8-Implementar el 100% del programa de mantenimiento a las sedes de Bomberos de Bogotá</t>
  </si>
  <si>
    <t>8-Construir 1 sede de bomberos de la UAECOB</t>
  </si>
  <si>
    <t>91 - n/a acto administrativo (resolución, decreto, acuerdo, etc.)</t>
  </si>
  <si>
    <t>10 - licitacion publica</t>
  </si>
  <si>
    <t>O232020200883159 Otros servicios de alojamiento y suministro de infraestructura en tecnología de la información (TI)</t>
  </si>
  <si>
    <t>9-Fortalecer el 100% de la gestión administrativa de las áreas de apoyo al cumplimiento de la misionalidad de la UAECOB</t>
  </si>
  <si>
    <t>9-Implementar el 100% del programa de capacitación, formación y entrenamiento al personal uniformado de la Unidad Administrativa Cuerpo Oficial de Bomberos de Bogotá.</t>
  </si>
  <si>
    <t>11 - orden de prestacion de servicios</t>
  </si>
  <si>
    <t>O232020200883590 Otros servicios veterinarios</t>
  </si>
  <si>
    <t>10-Formular e Implementar una estrategia de comunicaciones en lo relacionado con la divulgación de estrategias, programas, proyectos y servicios a los grupos de interés, de la UAECOB</t>
  </si>
  <si>
    <t>10-Realizar 2 documentos de lineamientos técnicos para la construcción de estaciones de bomberos</t>
  </si>
  <si>
    <t>12 - resolucion</t>
  </si>
  <si>
    <t>O232020200883990 Otros servicios profesionales, técnicos y empresariales n.c.p.</t>
  </si>
  <si>
    <t>13 - orden de servicio</t>
  </si>
  <si>
    <t>14 - contrato de interventoria</t>
  </si>
  <si>
    <t>O232020200885250 Servicios de protección (guardas de seguridad)</t>
  </si>
  <si>
    <t>15 - contrato de seguros</t>
  </si>
  <si>
    <t>O232020200885330 Servicios de limpieza general</t>
  </si>
  <si>
    <t>16 - contrato de suministro de servicios</t>
  </si>
  <si>
    <t>O23202020088714199 Servicio de mantenimiento y reparación de vehículos automotores n.c.p.</t>
  </si>
  <si>
    <t>17 - contrato de mantenimiento</t>
  </si>
  <si>
    <t>O23202020088715999 Servicio de mantenimiento y reparación de otros equipos n.c.p.</t>
  </si>
  <si>
    <t>18 - contrato de obra publica</t>
  </si>
  <si>
    <t>19 - contrato de renovacion de licencias</t>
  </si>
  <si>
    <t>20 -contrato de servicios de consultoria</t>
  </si>
  <si>
    <t>21 - contrato de consultoria y obra</t>
  </si>
  <si>
    <t>22 - contrato de adquisicion de bienes</t>
  </si>
  <si>
    <t>23 - contrato de alquiler</t>
  </si>
  <si>
    <t>24 - contrato de servicio</t>
  </si>
  <si>
    <t>25 - contrato de prestacion de servicios profesionales</t>
  </si>
  <si>
    <t>26 - contrato de prestacion de servicios de apoyo a la gestion</t>
  </si>
  <si>
    <t>27 - contrato de prestacion de servicios de mantenimiento</t>
  </si>
  <si>
    <t>28 - contrato de ciencia y tecnologia</t>
  </si>
  <si>
    <t>Fortalecimiento institucional de la UAECOB para un gobierno confiable Bogotá D.C.</t>
  </si>
  <si>
    <t>Modernización de las capacidades del Cuerpo Oficial de Bomberos Bogotá D.C.</t>
  </si>
  <si>
    <t>Dirección comunicaciones y Prensa</t>
  </si>
  <si>
    <t>Dirección Tic</t>
  </si>
  <si>
    <t>Oficina de Control Interno</t>
  </si>
  <si>
    <t>Oficina Juridica</t>
  </si>
  <si>
    <t>Sub. Gestión Humana</t>
  </si>
  <si>
    <t>Sub. Gestión Corporativa</t>
  </si>
  <si>
    <t>Sub. Gestión Riesgos</t>
  </si>
  <si>
    <t>Sub. Logística</t>
  </si>
  <si>
    <t>Sub. Operativa</t>
  </si>
  <si>
    <t>O2320201003023262003 Catálogos, folletos y otras impresiones publicitarias</t>
  </si>
  <si>
    <t>fuente</t>
  </si>
  <si>
    <t>1-100-F001 VA-Recursos distrito</t>
  </si>
  <si>
    <t>1-601-F001 PAS-Otros distrito</t>
  </si>
  <si>
    <t>BPIN (AÑO+COD_PROYECTO)</t>
  </si>
  <si>
    <t>04</t>
  </si>
  <si>
    <t>Servicio de atención a incidentes y emergencias.</t>
  </si>
  <si>
    <t>05</t>
  </si>
  <si>
    <t>Servicio de capacitaciones en gestión del riesgo de incendios  a la ciudadania.</t>
  </si>
  <si>
    <t>11</t>
  </si>
  <si>
    <t>Infraestructura Tecnológica   (Sistemas de Información y Tecnologia)</t>
  </si>
  <si>
    <t>06</t>
  </si>
  <si>
    <t>Servicio de inspecciones técnicas realizadas</t>
  </si>
  <si>
    <t>07</t>
  </si>
  <si>
    <t>Servicio de formación en gestión del riesgo de incendios para el personal UAECOB</t>
  </si>
  <si>
    <t>08</t>
  </si>
  <si>
    <t>Infraestructura física, mantenimiento y dotación (Sedes construidas, mantenidas reforzadas)</t>
  </si>
  <si>
    <t>09</t>
  </si>
  <si>
    <t>Servicio de mantenimiento, dotación (HEA´s y equipo menor) y adquisición de vehiculos   especializados para la atención de emergencias.</t>
  </si>
  <si>
    <t>10</t>
  </si>
  <si>
    <t>Servicio de dotación y equipamento para el personal operativo</t>
  </si>
  <si>
    <t>12</t>
  </si>
  <si>
    <t>Servicio de apoyo   logístico  en eventos operativos y/o emergencias.</t>
  </si>
  <si>
    <t>13</t>
  </si>
  <si>
    <t>Servicios para la planeación y sistemas de gestión y comunicación estratégica</t>
  </si>
  <si>
    <t>Bogotá camina segura</t>
  </si>
  <si>
    <t>Sector_Programa MGA</t>
  </si>
  <si>
    <t>Descripción</t>
  </si>
  <si>
    <t>O230117</t>
  </si>
  <si>
    <t>4503</t>
  </si>
  <si>
    <t>4599</t>
  </si>
  <si>
    <t>Gobierno Territorial_ Gestión del riesgo de desastres y emergencias</t>
  </si>
  <si>
    <t>Gobierno Territorial_ Fortalecimiento a la gestión y dirección de la administración pública territorial</t>
  </si>
  <si>
    <t>Nombre del Proyecto BPIN</t>
  </si>
  <si>
    <t xml:space="preserve">Si Secop </t>
  </si>
  <si>
    <t>No Secop</t>
  </si>
  <si>
    <t>Código de proyecto de inversión, asociado a productos PMR y MGA</t>
  </si>
  <si>
    <t>código PEP</t>
  </si>
  <si>
    <t>8126-Fortalecimiento institucional de la UAECOB para un gobierno confiable Bogotá D.C.</t>
  </si>
  <si>
    <t>8173-Modernización de las capacidades del Cuerpo Oficial de Bomberos Bogotá D.C.</t>
  </si>
  <si>
    <t>Proyecto y nombre</t>
  </si>
  <si>
    <t>8126 1-Implementar el 100% de las actividades de seguimiento y control de los requisitos y directrices de las políticas del Modelo integrado de Planeación y Gestión - MIPG</t>
  </si>
  <si>
    <t>8126 2-Formular y ejecutar el 100% de las actividades asociadas al modelo de relacionamiento con la ciudadanía (servicio a la ciudadanía, transparencia acceso a la información y lucha contra la corrupción, Rendición de cuentas y racionalización de trámites); participación y  colaboración ciudadana y, medidas de integridad y anticorrupción.</t>
  </si>
  <si>
    <t>8126 3-Implementar el 100% de los sistemas y modelos de gestión que defina la UAECOB en el marco del MIPG</t>
  </si>
  <si>
    <t>8126 4-Administrar, soportar y mantener el 100% del servicio de Herramientas de Colaboración y sistemas de información.</t>
  </si>
  <si>
    <t>8126 5-Desarrollar el 100% de las acciones asociadas al fortalecimiento de la infraestructura tecnológica y de comunicaciones de la UAECOB</t>
  </si>
  <si>
    <t>8126 6-Formular e Implementar 1 Plan Estratégico de Tecnologías de la Información y Transformación Digital de la UAECOB.</t>
  </si>
  <si>
    <t>8126 7-Actualizar e implementar el 100% del Plan Anual de Seguridad y Privacidad de la Información.</t>
  </si>
  <si>
    <t>8126 8-Implementar el 100% del programa de mantenimiento a las sedes de Bomberos de Bogotá</t>
  </si>
  <si>
    <t>8126 9-Fortalecer el 100% de la gestión administrativa de las áreas de apoyo al cumplimiento de la misionalidad de la UAECOB</t>
  </si>
  <si>
    <t>8126 10-Formular e Implementar una estrategia de comunicaciones en lo relacionado con la divulgación de estrategias, programas, proyectos y servicios a los grupos de interés, de la UAECOB</t>
  </si>
  <si>
    <t>8173 1-Implementación 6 estrategias de reducción del riesgo de incendios,  incidentes con materiales peligrosos y rescate en todas sus modalidades en la ciudad de Bogotá</t>
  </si>
  <si>
    <t>8173 2-Desarrollar un programa de renovación de equipos, herramientas, accesorios y elementos de protección personal en la UAECOB.</t>
  </si>
  <si>
    <t>8173 3-Desarrollar un programa de renovación de vehículos de la Unidad Administrativa Cuerpo Oficial de Bomberos de Bogotá.</t>
  </si>
  <si>
    <t xml:space="preserve">8173 4-Desarrollar 3 estrategias para el fortalecimiento de la logistica en la atención de emergencias. </t>
  </si>
  <si>
    <t>8173 5-Realizar 3 Estrategias de Investigación, desarrollo e innovación en gestión del riesgo</t>
  </si>
  <si>
    <t>8173 6-Implementar un sistema de monitoreo y seguimiento a incidentes y emergencias para Bogotá, incluyendo cerros orientales</t>
  </si>
  <si>
    <t>8173 7-Adecuar 4 Sedes de la UAECOB</t>
  </si>
  <si>
    <t>8173 8-Construir 1 sede de bomberos de la UAECOB</t>
  </si>
  <si>
    <t>8173 9-Implementar el 100% del programa de capacitación, formación y entrenamiento al personal uniformado de la Unidad Administrativa Cuerpo Oficial de Bomberos de Bogotá.</t>
  </si>
  <si>
    <t>8173 10-Realizar 2 documentos de lineamientos técnicos para la construcción de estaciones de bomberos</t>
  </si>
  <si>
    <t>codigo PEP</t>
  </si>
  <si>
    <t>004</t>
  </si>
  <si>
    <t>002</t>
  </si>
  <si>
    <t>035</t>
  </si>
  <si>
    <t>018</t>
  </si>
  <si>
    <t>014</t>
  </si>
  <si>
    <t>015</t>
  </si>
  <si>
    <t>016</t>
  </si>
  <si>
    <t>007</t>
  </si>
  <si>
    <t>031</t>
  </si>
  <si>
    <t>023</t>
  </si>
  <si>
    <t>019</t>
  </si>
  <si>
    <t>Producto MGA2</t>
  </si>
  <si>
    <t>Descripción Producto MGA</t>
  </si>
  <si>
    <t>Servicio de atención a emergencias y desastres</t>
  </si>
  <si>
    <t>Servicio de educación informal</t>
  </si>
  <si>
    <t>Servicio prevención y control de incendios</t>
  </si>
  <si>
    <t>"Servicio de monitoreo y seguimiento para la gestión del riesgo"</t>
  </si>
  <si>
    <t>Estaciones de bomberos adecuadas</t>
  </si>
  <si>
    <t>Estaciones de bomberos construidas</t>
  </si>
  <si>
    <t>Sedes mantenidas</t>
  </si>
  <si>
    <t>Servicios tecnológicos</t>
  </si>
  <si>
    <t>Servicio de asistencia técnica</t>
  </si>
  <si>
    <t>Servicio de Implementación Sistemas de Gestión</t>
  </si>
  <si>
    <t>Documentos de planeación</t>
  </si>
  <si>
    <t>Documentos de lineamientos técnicos</t>
  </si>
  <si>
    <t>descripcion Producto MGA</t>
  </si>
  <si>
    <t>PM/0131/0104/45030040255</t>
  </si>
  <si>
    <t>PM/0131/0105/45030020255</t>
  </si>
  <si>
    <t>PM/0131/0105/45030350255</t>
  </si>
  <si>
    <t>PM/0131/0111/45030180255</t>
  </si>
  <si>
    <t>PM/0131/0106/45030350255</t>
  </si>
  <si>
    <t>PM/0131/0107/45030020255</t>
  </si>
  <si>
    <t>PM/0131/0108/45030140255</t>
  </si>
  <si>
    <t>PM/0131/0108/45030150255</t>
  </si>
  <si>
    <t>PM/0131/0108/45990160207</t>
  </si>
  <si>
    <t>PM/0131/0109/45030040255</t>
  </si>
  <si>
    <t>PM/0131/0110/45030040255</t>
  </si>
  <si>
    <t>PM/0131/0111/45990070207</t>
  </si>
  <si>
    <t>PM/0131/0112/45030040255</t>
  </si>
  <si>
    <t>PM/0131/0113/45990310207</t>
  </si>
  <si>
    <t>PM/0131/0113/45990230207</t>
  </si>
  <si>
    <t>PM/0131/0113/45990190207</t>
  </si>
  <si>
    <t>PM/0131/0108/45030310255</t>
  </si>
  <si>
    <t>concatenarMGA</t>
  </si>
  <si>
    <t>PMR MGA</t>
  </si>
  <si>
    <t>04-Servicio de atención a incidentes y emergencias. 004_Servicio de atención a emergencias y desastres</t>
  </si>
  <si>
    <t>05-Servicio de capacitaciones en gestión del riesgo de incendios  a la ciudadania. 002_Servicio de educación informal</t>
  </si>
  <si>
    <t>05-Servicio de capacitaciones en gestión del riesgo de incendios  a la ciudadania. 035_Servicio prevención y control de incendios</t>
  </si>
  <si>
    <t>11-Infraestructura Tecnológica   (Sistemas de Información y Tecnologia) 018_"Servicio de monitoreo y seguimiento para la gestión del riesgo"</t>
  </si>
  <si>
    <t>06-Servicio de inspecciones técnicas realizadas 035_Servicio prevención y control de incendios</t>
  </si>
  <si>
    <t>07-Servicio de formación en gestión del riesgo de incendios para el personal UAECOB 002_Servicio de educación informal</t>
  </si>
  <si>
    <t>08-Infraestructura física, mantenimiento y dotación (Sedes construidas, mantenidas reforzadas) 014_Estaciones de bomberos adecuadas</t>
  </si>
  <si>
    <t>08-Infraestructura física, mantenimiento y dotación (Sedes construidas, mantenidas reforzadas) 015_Estaciones de bomberos construidas</t>
  </si>
  <si>
    <t>08-Infraestructura física, mantenimiento y dotación (Sedes construidas, mantenidas reforzadas) 016_Sedes mantenidas</t>
  </si>
  <si>
    <t>09-Servicio de mantenimiento, dotación (HEA´s y equipo menor) y adquisición de vehiculos   especializados para la atención de emergencias. 004_Servicio de atención a emergencias y desastres</t>
  </si>
  <si>
    <t>10-Servicio de dotación y equipamento para el personal operativo 004_Servicio de atención a emergencias y desastres</t>
  </si>
  <si>
    <t>11-Infraestructura Tecnológica   (Sistemas de Información y Tecnologia) 007_Servicios tecnológicos</t>
  </si>
  <si>
    <t>12-Servicio de apoyo   logístico  en eventos operativos y/o emergencias. 004_Servicio de atención a emergencias y desastres</t>
  </si>
  <si>
    <t>13-Servicios para la planeación y sistemas de gestión y comunicación estratégica 031_Servicio de asistencia técnica</t>
  </si>
  <si>
    <t>13-Servicios para la planeación y sistemas de gestión y comunicación estratégica 023_Servicio de Implementación Sistemas de Gestión</t>
  </si>
  <si>
    <t>13-Servicios para la planeación y sistemas de gestión y comunicación estratégica 019_Documentos de planeación</t>
  </si>
  <si>
    <t>PEP</t>
  </si>
  <si>
    <t>031_</t>
  </si>
  <si>
    <t>08-Infraestructura física, mantenimiento y dotación (Sedes construidas, mantenidas reforzadas) 031__Documentos de lineamientos técnicos</t>
  </si>
  <si>
    <t xml:space="preserve">Proyecto y nombre </t>
  </si>
  <si>
    <t>PM MGA conca</t>
  </si>
  <si>
    <t>PMR conca</t>
  </si>
  <si>
    <t>PRESUPUESTO ASIGNADO INVERSION PROY 8126</t>
  </si>
  <si>
    <t>PRESUPUESTO ASIGNADO INVERSION PROY 8173</t>
  </si>
  <si>
    <t>TOTAL PRESUPUESTO ASIGNADO INVERSION</t>
  </si>
  <si>
    <t>PRESUPUESTO FUNCIONAMIENTO PAA</t>
  </si>
  <si>
    <t>TOTAL PRESUPUESTO PAA</t>
  </si>
  <si>
    <t>-</t>
  </si>
  <si>
    <t>DEPENDENCIA</t>
  </si>
  <si>
    <t>TOTAL META</t>
  </si>
  <si>
    <t>pospre</t>
  </si>
  <si>
    <t>OAP</t>
  </si>
  <si>
    <t>O23011745992024020713031</t>
  </si>
  <si>
    <t>O23011745992024020713023</t>
  </si>
  <si>
    <t>Dirección TIC</t>
  </si>
  <si>
    <t>O23011745992024020711007</t>
  </si>
  <si>
    <t>O232020200883132 Servicios de soporte en tecnologías de la información (TI) (273.960.117) ORACLE 
O232020200883990 Otros servicios profesionales, técnicos y empresariales n.c.p. AUTERIDAD (208.000.000)</t>
  </si>
  <si>
    <t>O232020200883132 Servicios de soporte en tecnologías de la información (TI) (200.000.000) VIDEOBIND
O232020200883159_Otros servicios de alojamiento y suministro de infraestructura en tecnología de la información (TI) (726.338.572) ANTIVIRUS</t>
  </si>
  <si>
    <t>SGC</t>
  </si>
  <si>
    <t>O23011745992024020708016</t>
  </si>
  <si>
    <t>O2320202005040554590 Otros servicios especializados de la construcción (1.182.712.750)
O23202020088715999 Servicio de mantenimiento y reparación de otros equipos n.c.p. LAVADORAS (52.000.000)
O232020200883990 Otros servicios profesionales, técnicos y empresariales n.c.p. TRAMPA (5.000.000)</t>
  </si>
  <si>
    <t xml:space="preserve">Dirección </t>
  </si>
  <si>
    <t>OCDI</t>
  </si>
  <si>
    <t>OCI</t>
  </si>
  <si>
    <t>OJ</t>
  </si>
  <si>
    <t>O23011745992024020713019</t>
  </si>
  <si>
    <t/>
  </si>
  <si>
    <t>SGR</t>
  </si>
  <si>
    <t>O23011745032024025505002</t>
  </si>
  <si>
    <t>O23011745032024025505035</t>
  </si>
  <si>
    <t>O232020200883990 Otros servicios profesionales, técnicos y empresariales n.c.p. POLVORA</t>
  </si>
  <si>
    <t>O23011745032024025506035</t>
  </si>
  <si>
    <t>SO</t>
  </si>
  <si>
    <t>O23011745032024025504004</t>
  </si>
  <si>
    <t>O23011745032024025510004</t>
  </si>
  <si>
    <t>O23201010030208 Otra maquinaria para usos especiales y sus partes y piezas ELEMENTOS - ELECTRICO</t>
  </si>
  <si>
    <t>O23011745032024025509004</t>
  </si>
  <si>
    <t>SL</t>
  </si>
  <si>
    <t>O23011745032024025512004</t>
  </si>
  <si>
    <t>O23011745032024025511018</t>
  </si>
  <si>
    <t>O23011745032024025508014</t>
  </si>
  <si>
    <t>O2320202005040554590 Otros servicios especializados de la construcción INTERV KENNEDY</t>
  </si>
  <si>
    <t>O23011745032024025508015</t>
  </si>
  <si>
    <t>SGH</t>
  </si>
  <si>
    <t>O23011745032024025507002</t>
  </si>
  <si>
    <t>O232020200883990 Otros servicios profesionales, técnicos y empresariales n.c.p. BUCEO -  AUSTERIDAD (1.545.072.622)</t>
  </si>
  <si>
    <t>O23011745032024025508031</t>
  </si>
  <si>
    <t>TOTAL PROYECTO</t>
  </si>
  <si>
    <t>TOTAL PROYECTOS INVERSIÓN</t>
  </si>
  <si>
    <t>131- Funcionamiento</t>
  </si>
  <si>
    <t>No aplica</t>
  </si>
  <si>
    <t>No Aplica</t>
  </si>
  <si>
    <t>NA</t>
  </si>
  <si>
    <t>Jaime Hernando Arias Patiño</t>
  </si>
  <si>
    <t>Prestar los servicios profesionales  como abogado en la Oficina de Control Interno para el desarrollo del Plan Anual de Auditorías.</t>
  </si>
  <si>
    <t>Prestar los servicios profesionales como contador publico en la Oficina de Control Interno para el desarrollo del Plan Anual de Auditorías.</t>
  </si>
  <si>
    <t>Prestar los servicios profesionales  en la Oficina de Control Interno para el desarrollo del Plan Anual de Auditorías.</t>
  </si>
  <si>
    <t>Prestar servicios de apoyo a la gestión como técnico   en la Oficina de Control Interno para ejecutar procesos y procedimientos administrativos y asistenciales teniendo en cuenta el Plan Anual de Auditorías.</t>
  </si>
  <si>
    <t>Paula Ximena Henao Escobar</t>
  </si>
  <si>
    <t>Prestar servicios profesionales a la Dirección General en actividades de articulación interinstitucional entre las diferentes dependencias, entidades del sector, y demás que estén relacionadas con la misionalidad de la UAECOB.</t>
  </si>
  <si>
    <t>Prestación de servicios profesionales jurídicos en virtud de las funciones asignadas a la Dirección General de la UAECOB, para apoyar los procesos contractuales y actividades administrativas requeridas.</t>
  </si>
  <si>
    <t>Prestar servicios profesionales en la Dirección General, para apoyar actividades administrativas, presupuestales y financieras, así como hacer seguimiento y control a los compromisos generados por las dependencias de la UAECOB, en especial los relacionadas con peticiones, quejas y reclamos allegados por entes externos e internos.</t>
  </si>
  <si>
    <t>Prestar servicios de apoyo a la gestión en la UAECOB, en asuntos administrativos y asistenciales requeridos, especificamente en el seguimiento de la información.</t>
  </si>
  <si>
    <t>Prestar servicios profesionales especializados en la Dirección General de la UAECOB en la organización y liderazgo de los asuntos relacionados con comunicaciones de conformidad a la misionalidad de la entidad.</t>
  </si>
  <si>
    <t>Prestación de servicios profesionales para apoyar a la Dirección en la elaboración, diseño y diagramación de piezas requeridas para los planes, programas, proyectos y procedimientos</t>
  </si>
  <si>
    <t>Prestar servicios profesionales para apoyar el desarrollo de estrategias de la dirección general, en asuntos relacionados con comunicaciones y prensa, encaminadas al posicionamiento, imagen y divulgación corporativa de la entidad y dirigidas a sus públicos internos</t>
  </si>
  <si>
    <t>Prestación de servicios profesionales en asuntos de comunicaciones y prensa para apoyar la divulgación y socialización de la información relacionada con la misionalidad de la UAECOB de manera interna y externa</t>
  </si>
  <si>
    <t>Prestación de servicios profesionales en la Dirección en comunicaciones y prensa, para apoyar la difusión de la información al público interno y externo de la UAECOB.</t>
  </si>
  <si>
    <t>"Prestar servicios profesionales en la Dirección General para  el manejo de redes sociales de la entidad y apoyo periodistico requerido en el marco de la estrategia de comunicaciones y prensa de la UEACOB".</t>
  </si>
  <si>
    <t>Prestar servicios de apoyo para la gestión en asuntos de comunicaciones y prensa en la Dirección General, y demás acciones encaminadas al cumplimiento de las estrategias comunicacionales de la UAECOB</t>
  </si>
  <si>
    <t>Prestar apoyo técnico en la Dirección, en asuntos de comunicaciones y prensa, para la producción, diseño y edición de material audiovisual de la UAECOB.</t>
  </si>
  <si>
    <t>mas plazo ejec Días (si aplica)</t>
  </si>
  <si>
    <t>Contratar los servicios de recolección, manipulación, almacenamiento temporal, transporte y disposición final (destrucción o devolución) de pólvora, fuegos artificiales, globos y demás artículos pirotécnicos incautados por las autoridades competentes en el Distrito Capital"_SGR.</t>
  </si>
  <si>
    <t>Prestar servicios profesionales en los procesos de formacion y capacitacion de la subdirección de gestión del riesgo._SGR</t>
  </si>
  <si>
    <t>Adquisición de insumos y materias primas para la producción de impresos de artes gráficas_ SGR.</t>
  </si>
  <si>
    <t>“Adquisición de elementos de apoyo didáctico y pedagógico para actividades, programas y campañas requeridas en la Subdirección de Gestión del Riesgo_SGR”</t>
  </si>
  <si>
    <t>Prestar sus servicios de apoyo tecnico para realizar las inspecciones relacionadas con la emision de conceptos a cargo de la Subdirección de Gestión del Riesgo._SGR</t>
  </si>
  <si>
    <t>Prestar sus servicios profesionales en las actividades relacionadas con la emision de conceptos a cargo de la Subdirección de Gestión del Riesgo._SGR</t>
  </si>
  <si>
    <t>Prestar servicios de apoyo a la gestion en las actividades de monitoreo del riesgo para la Subdirección de Gestión del Riesgo._SGR</t>
  </si>
  <si>
    <t>78121600
78131800
92111600
72141500</t>
  </si>
  <si>
    <t>Prestar servicios profesionales para la gestión de la SGR, en su compomente técnico, administrativo y análisis financiero._SGR.</t>
  </si>
  <si>
    <t>Prestar servicios profesionales para la gestión de la SGR, estructurando el seguimiento de los procesos contractuales y demás aspectos jurídicos._SGR</t>
  </si>
  <si>
    <t>Manuel Eduardo Castillo Guzman</t>
  </si>
  <si>
    <t>Prestación de servicios profesionales en el desarrollo de las actividades encaminadas al diseño de piezas comunicativas que se requiera en la implementación de las políticas del Modelo Integrado de Planeación y Gestión  MIPG que lidera la Oficina Asesora de Planeación.</t>
  </si>
  <si>
    <t>Prestación de servicios de apoyo en el desarrollo de las actividades encaminadas al control de la documentación de acuerdo a los lineamientos de las políticas de planeación institucional y gestión documental en el marco del Modelo Integrado de Planeación y Gestión MIPG.</t>
  </si>
  <si>
    <t>Prestación de servicios profesionales en el desarrollo de las actividades relacionadas con la formulación, actualización y seguimiento de los proyectos de inversión asignados, en las herramientas dispuestas por la entidad, en el marco de la política de la Gestión presupuestal y eficiencia del gasto público del Modelo Integrado de Planeación y Gestión  MIPG.</t>
  </si>
  <si>
    <t>Prestación de servicios profesionales en el desarrollo de las actividades que se designen encaminadas a la implementación de las políticas de planeación estratégica y Gestión del conocimiento y la innovación del Modelo Integrado de Planeación y Gestión MIPG que lidera la Oficina Asesora de Planeación.</t>
  </si>
  <si>
    <t>Prestación de servicios profesionales en el desarrollo de las actividades relacionadas con la formulación, actualización y seguimiento de los proyectos de inversión y metas institucionales y sectoriales asignadas, en el marco de la política de la Gestión presupuestal y eficiencia del gasto público del Modelo Integrado de Planeación y Gestión  MIPG.</t>
  </si>
  <si>
    <t>Prestación de servicios profesionales en la Oficina Asesora de planeación, para el desarrollo de las actividades relacionadas con la formulación, actualización y seguimiento técnico y financiero de los proyectos de inversión de la UAECOB, en el marco de la política de la Gestión presupuestal y eficiencia del gasto público del Modelo Integrado de Planeación y Gestión  MIPG.</t>
  </si>
  <si>
    <t>Prestación de servicios profesionales en el apoyo jurídico, relacionado a la gestión contractual y administrativa de la Oficina Asesora de Planeación de acuerdo con los lineamientos internos en el marco del Modelo Integrado de Planeación y Gestión  MIPG.</t>
  </si>
  <si>
    <t>Prestación de servicios profesionales dentro del marco de las políticas de gestión, así como la implementación y seguimiento del Modelo Integrado de Gestión - MIPG, fortaleciendo las acciones en la UAECOB para la mejora continua.</t>
  </si>
  <si>
    <t>42141501;42141502;42141503;42142101;42142103;42142105;42142108;42172010;42172013;42172016;42172201;42281502;42291902</t>
  </si>
  <si>
    <t>90101800;90101600;50192700;50112000;50202311;50201709;50161509;50192110;93131602</t>
  </si>
  <si>
    <t>Adquisición de elementos de protección personal (E.P.P.) para la atención de emergencias de la UAE Cuerpo Oficial de Bomberos de Bogotá</t>
  </si>
  <si>
    <t>Prestar los servicios profesionales para realizar el acompañamiento administrativo y financiero en temas de liquidación y cierre de expedientes, como demás actuaciones administrativas requeridas de los procesos contractuales</t>
  </si>
  <si>
    <t>Monica Perez Barragan</t>
  </si>
  <si>
    <t>SGH - Garantizar los recursos para viáticos y tiquetes del personal</t>
  </si>
  <si>
    <t>SGH - Garantizar los Recursos para movilización del Personal para emergencias</t>
  </si>
  <si>
    <t>SGH - Prestar servicios profesionales para apoyar el programa de vigilancia epidemiológico al riesgo psicosocial y actividades de seguridad y salud en el trabajo en la Subdirección de Gestión Humana.</t>
  </si>
  <si>
    <t>SGH - Prestar sus servicios profesionales en los procesos de la Subdirección de Gestión Humana de la UAE Cuerpo Oficial de Bomberos.</t>
  </si>
  <si>
    <t>SGH - Prestar servicios profesionales para apoyar el programa de desórdenes musculo esqueléticos de la UAE Cuerpo Oficial de Bomberos de Bogotá.</t>
  </si>
  <si>
    <t>SGH - Prestar servicios de apoyo en el sistema de gestión de seguridad y salud en el trabajo en la Subdirección de Gestión Humana de la UAE Cuerpo Oficial de Bomberos.</t>
  </si>
  <si>
    <t>SGH - Prestar sus servicios profesionales en la Subdirección de Gestión Humana en temas de desarrollo organizacional.</t>
  </si>
  <si>
    <t>SGH - Prestar sus servicios profesionales en la gestión contractual y presupuestal de la Subdirección de Gestión Humana de la UAE Cuerpo Oficial de Bomberos.</t>
  </si>
  <si>
    <t>SGH - Prestar servicios profesionales en la Subdirección de Gestión Humana de la UAE Cuerpo Oficial de Bomberos en temas de liquidación de demandas y conciliaciones.</t>
  </si>
  <si>
    <t>SGH - Prestar servicios profesionales para apoyar el seguimiento del sistema de gestión de seguridad y salud en el trabajo en la Subdirección de Gestión Humana.</t>
  </si>
  <si>
    <t>SGH - Ejecutar actividades de apoyo a la gestión en  la Subdirección de Gestión Humana de la UAE Cuerpo Oficial de Bomberos de Bogotá D.C. en lo relacionado con los procesos de actualización, custodia y manejo del archivo de gestión de la Subdirección.</t>
  </si>
  <si>
    <t xml:space="preserve">SGH - Prestar Servicios de apoyo  a los procesos de archivo en  Subdirección de Gestión Humana de la UAE Cuerpo Oficial de Bomberos de Bogotá D.C. </t>
  </si>
  <si>
    <t>SGH - Prestar sus servicios profesionales en el proceso de liquidación de demandas y conciliaciones administrativas para la Subdirección de Gestión Humana de la UAE Cuerpo Oficial de Bomberos.</t>
  </si>
  <si>
    <t>SGH - Prestar sus servicios profesionales en comunicación interna y externa para la Subdirección de Gestión Humana de la UAE Cuerpo Oficial de Bomberos de Bogotá</t>
  </si>
  <si>
    <t>SGH - Prestar servicios de apoyo a la gestión en cumplimiento de los planes institucionales de la Subdirección de Gestión Humana específicamente para desarrollo organizacional.</t>
  </si>
  <si>
    <t>SGH-  Prestar servicios profesionales en la Subdirección de Gestión Humana de la UAE Cuerpo Oficial de Bomberos de Bogotá en las áreas de calidad de vida y desarrollo organizacional</t>
  </si>
  <si>
    <t>N/A</t>
  </si>
  <si>
    <t>N/A-N/A N/A_N/A</t>
  </si>
  <si>
    <t>Contratar el servicio de soporte del software Veeam Backup para la U.A.E. Cuerpo oficial de Bomberos de Bogotá - TIC</t>
  </si>
  <si>
    <t>Contratar la renovación , servicio de actualización y soporte de licenciamiento Oracle para Base de Datos,  y Web Logic para la U.A.E. Cuerpo Oficial de Bomberos de Bogotá - TIC</t>
  </si>
  <si>
    <t>Prestar servicios profesionales para administrar, gestionar y mantener las bases de datos de la UAE Cuerpo Oficial de Bomberos Bogotá. -TIC</t>
  </si>
  <si>
    <t>Prestar servicios profesionales  como administrador y gestor de la infraestructura de las comunicaciones y red regulada  de la UAE Cuerpo Oficial de Bomberos Bogotá-TIC</t>
  </si>
  <si>
    <t>Prestar los servicios profesionales jurídicos para apoyar las actividades propias de la gestión contractual que adelanta la UAE Cuerpo Oficial de Bomberos</t>
  </si>
  <si>
    <t>Prestar servicios profesionales para administrar y gestionar los servicios tecnológicos relacionados con la herramienta de mesa de ayuda, directorio activo y herramientas colaborativas de microsoft que le sean asignados por la UAE Cuerpo Oficial de Bomberos de Bogotá - TIC.</t>
  </si>
  <si>
    <t>Prestar Servicios profesionales para administrar y  gestionar los servicios y actividades de TI  derivados de la mesa de ayuda  e infraestructura tecnológica y de comunicaciones, utilizados por UAE Cuerpo Oficial de Bomberos Bogotá de acuerdo con los niveles de servicios de los diferentes procesos-TIC.</t>
  </si>
  <si>
    <t>43233000;81112200</t>
  </si>
  <si>
    <t>81112204;81112501</t>
  </si>
  <si>
    <t>32131023;39121011;43232300</t>
  </si>
  <si>
    <t>72151607;72103302</t>
  </si>
  <si>
    <t>83121700;83111600;43221700</t>
  </si>
  <si>
    <t>Programado</t>
  </si>
  <si>
    <t>DISTRIBUCIÓN PPTAL PROYECTADA PAA VR 0</t>
  </si>
  <si>
    <t xml:space="preserve">proyecto </t>
  </si>
  <si>
    <t>Diferencia</t>
  </si>
  <si>
    <t>Realizar los exámenes Médicos Ocupacionales para el personal de la UAECOB</t>
  </si>
  <si>
    <t>85121503;85121603;85121604;85121608;85121610;85121611;85121612;85121702;85122201</t>
  </si>
  <si>
    <t>46181900;46181901</t>
  </si>
  <si>
    <t>Prestación de servicios profesionales en el desarrollo de las actividades relacionadas con la formulación, actualización y seguimiento de los proyectos de inversión asignados, así como la consolidación y reporte de los indiocadores PMR, en las herramientas dispuestas por la entidad, en el marco de la política de la Gestión presupuestal y eficiencia del gasto público del Modelo Integrado de Planeación y Gestión  MIPG.</t>
  </si>
  <si>
    <t>ARMONIZACION</t>
  </si>
  <si>
    <t>O23202020088714199 Servicio de mantenimiento y reparación de vehículos automotores n.c.p. MTTO VEHICULOS (3.850.000.000)
O23201010030208 Otra maquinaria para usos especiales y sus partes y piezas (600.000.000) FOX - ALINEACIÓN Y BALAN</t>
  </si>
  <si>
    <t xml:space="preserve">10121801;10121802;10121602 </t>
  </si>
  <si>
    <t>23191200; 23153100; 23271800; 26121600; 27131600; 26101700; 31162800; 31163000; 31163100; 31171500; 31171700; 31191500; 31201600; 40141700; 31121700; 26111700</t>
  </si>
  <si>
    <t>72101500;72154200</t>
  </si>
  <si>
    <t xml:space="preserve">31261500; 31161500; 31161600; 31162300; 31162800; 31171500; 31171700; 39121600; 27121600 </t>
  </si>
  <si>
    <t>70122002; 70122005; 70122006; 70122007; 70122008; 70122009; 70122010</t>
  </si>
  <si>
    <t>SGH - Prestar servicios profesionales en la Subdirección de Gestión Humana en la estrategia de fortalecimiento institucional, realizando documentos de necesidades de diagnóstico organizacional de la Unidad Administrativa Especial Cuerpo Oficial de Bomberos de Bogotá.</t>
  </si>
  <si>
    <t>SGH - Prestar servicios profesionales en la Subdirección de Gestión Humana en los diferentes procesos y procedimientos propios del área de nómina de la Unidad Administrativa del Cuerpo oficial de Bomberos.</t>
  </si>
  <si>
    <t>Brindar apoyo técnico en materia de fortalecimiento institucional a la  Unidad Administrativa Especial Cuerpo Oficial Bomberos Bogotá en el análisis del MOP y mapa de procesos institucional y la propuesta de nuevo MOP y mapa de procesos como insumo para futuros procesos de medición de cargas laborales.</t>
  </si>
  <si>
    <t>SGH - Prestar servicios profesionales en la Subdirección de Gestión Humana de la UAE Cuerpo Oficial de Bomberos en temas de Administración de Personal.</t>
  </si>
  <si>
    <t>Prestar servicios profesionales para acompañar a la Dirección General en materia de fortalecimiento institucional, construcción de generalidades, identificación de características institucionales y análisis de factores externos que sustentarán el diagnóstico institucional en el marco de fortalecimiento de capacidades.</t>
  </si>
  <si>
    <t>Prestar servicios profesionales especializados a la Dirección General de la UAECOB en la construcción ,acompañamiento, seguimiento y fortalecimiento de las estrategias de comunicación que adelante la entidad dentro del Distrito Capital</t>
  </si>
  <si>
    <t xml:space="preserve">SGH - Prestar servicios profesionales juridicos para desarrollar actividades en la Subdireccion de Gestion Humana y el area de academia. </t>
  </si>
  <si>
    <t>SGH- Prestar servicios profesionales en la Subdirección de Gestión Humana de la UAE Cuerpo Oficial de Bomberos Bogotá D.C. en lo relacionado con la consolidación y análisis de base de datos y constitución del presupuesto</t>
  </si>
  <si>
    <t>SGH - Prestar servicios profesionales para apoyar el programa de vigilancia epidemiológico al riesgo psicosocial y actividades de seguridad y salud en el trabajo en la Subdirección de Gestión Humana</t>
  </si>
  <si>
    <t>SGH - Prestar servicios profesionales para desarrollar actividades jurídicas relacionadas con los procesos de seguridad social y las diferentes situaciones administrativas de la Subdirección de Gestión Humana de la UAE Cuerpo oficial de Bomberos.</t>
  </si>
  <si>
    <t>Prestación de servicios profesionales en asuntos de comunicaciones y prensa para apoyar las labores de reportería, periodismo y de divulgación de información y campañas, de acuerdo con la misionalidad de la UAECOB</t>
  </si>
  <si>
    <t>Prestación de servicios profesionales en asuntos de comunicaciones y prensa para apoyar las labores periodísticas y de divulgación de información, de acuerdo con la misionalidad de la UAECOB.</t>
  </si>
  <si>
    <t>Prestación de servicios profesionales en asuntos de comunicaciones y prensa para apoyar la creación y divulgación audiovisual relacionada con la misionalidad de la UAECOB.</t>
  </si>
  <si>
    <t>Prestación de servicios como conductor en los diferentes recorridos de carácter operativo que se requieran en la Dirección General.</t>
  </si>
  <si>
    <t>Prestación de servicios profesionales en asuntos de comunicaciones y prensa para revisar los procesos de comunicación de entidad con el fin de evaluar su eficacia interna y externa y detectar ineficiencias en los canales de comunicación</t>
  </si>
  <si>
    <t>Prestación de servicios profesionales en asuntos de comunicaciones y prensa para apoyar las labores de divulgación de la información en las redes sociales, pagina web e intranet, de acuerdo con la misionalidad de la UAECOB.</t>
  </si>
  <si>
    <t xml:space="preserve">                       </t>
  </si>
  <si>
    <t>90101600;90111600;90141700;90151700</t>
  </si>
  <si>
    <t>O21202020080787130 Servicios de mantenimiento y reparación de computa</t>
  </si>
  <si>
    <t>O21202020080484290 Otros servicios de telecomunicaciones vía Internet</t>
  </si>
  <si>
    <t>O21202020080383141 Servicios de diseño y desarrollo de aplicaciones en tecnologías de la información (TI)</t>
  </si>
  <si>
    <t>60121104
60121708
44111515
24121503
24112404</t>
  </si>
  <si>
    <t>60141000
60141100
60141200
60141400
73101500
73151500</t>
  </si>
  <si>
    <t>Prestar servicios asistenciales en el desarrollo de actividades relacionadas con la gestión administrativa en la Oficina Asesora de Planeación de la Unidad Administrativa Especial Cuerpo Oficial de Bomberos de Bogotá.</t>
  </si>
  <si>
    <t>Etiquetas de fila</t>
  </si>
  <si>
    <t>Total general</t>
  </si>
  <si>
    <t>Suma de Valor Programado</t>
  </si>
  <si>
    <t xml:space="preserve">SGH – Prestar servicios profesionales en las diferentes actividades del  sistema de gestión de seguridad y salud en el trabajo y en vigilancia epidemiológica de la Subdirección de Gestión Humana. </t>
  </si>
  <si>
    <t>SGH- Prestación de servicios profesionales para apoyar a la Subdirección Gestión Humana, en el diligenciamiento, validación , consolidación y seguimiento a la información relacionada con la información laboral del personal de planta y de las herramientas de gestión de los procedimientos a cargo de esta subdirección, así como la gestión , control trámite y seguimiento de solicitudes de acuerdo con las competencias de la subdirección.</t>
  </si>
  <si>
    <t>1</t>
  </si>
  <si>
    <t>SGH - Prestar servicios profesionales en el desarrollo de actividades relacionadas con la actualizacion de registro laborales del personal de la entidad, asi como apoyar en las actividades a cargo de desarrollo organizacional de la subdireccion de gestion humana.</t>
  </si>
  <si>
    <t>O2120202008078714199 Servicio de mantenimiento y reparación de vehículos automotores n.c.p.</t>
  </si>
  <si>
    <t>O21202020080383990 Otros servicios profesionales, técnicos y empresariales n.c.p.</t>
  </si>
  <si>
    <t>SGH - Apoyo en la proyección y elaboración de actas técnicas de los diferentes comités y comisiones de personal, en los cuales la subdirección de gestión humana tenga participación o ejerza la secretaria técnica”</t>
  </si>
  <si>
    <t>SGH - Prestar servicios profesionales para apoyar el programa de riesgo psicosocial y diferentes  actividades de seguridad y salud en el trabajo en la Subdirección de Gestión Humana</t>
  </si>
  <si>
    <t>PLAN ANUAL DE ADQUISICIONES 2025</t>
  </si>
  <si>
    <t>Prestar los servicios profesionales especializados de asesoría y control, en el desarrollo de las funciones de la Oficina  Jurídica para la elaboración y revisión de Estudios de Mercado, Análisis del sector y estructuración del presupuesto de los procesos de selección.</t>
  </si>
  <si>
    <t>Prestar servicios profesionales para apoyar en la estructuración de las acciones de mejora, seguimiento  a la gestión contractual de la Entidad y demás procedimientos, en el marco de las funciones de la Oficina Jurídica</t>
  </si>
  <si>
    <t>Prestar servicios profesionales para apoyar en la estructuración de las acciones de mejora, elaboración de informes y soporte de las funciones administrativas y de mejora</t>
  </si>
  <si>
    <t>Prestar los servicios profesionales jurídicos especializados en el desarrollo de las funciones de la Oficina Jurídica prestando asesoría jurídica especializada en Defensa Judicial</t>
  </si>
  <si>
    <t>Prestar los servicios profesionales especializados para la representación judicial  de la Entidad y la prevención del daño antijurídico.</t>
  </si>
  <si>
    <t>Prestar los servicios de apoyo para las gestiones documentales y administrativas requerida por la Oficina  Jurídica.</t>
  </si>
  <si>
    <t>Prestar servicios profesionales jurídicos para apoyar las actividades de defensa Judicial y de procesos penales que adelante la UAE Cuerpo Oficial de Bomberos de Bogotá</t>
  </si>
  <si>
    <t>Prestar servicios profesionales para realizar la gestión de tramites y actividades que se requieran en los diferentes procesos disciplinarios propios de la etapa de juzgamiento de la Oficina Jurídica en la UAECOB</t>
  </si>
  <si>
    <t>Prestar los servicios profesionales para apoyar la depuración de la cartera de cobro coactivo, así como actividades propias de la defensa judicial de la Entidad y demas actiuaciones relacionadas que requiera la Oficina Jurídica</t>
  </si>
  <si>
    <t>Prestación de servicios profesionales jurídicos para orientar y apoyar el trámite y la gestión de los procesos disciplinarios que se adelanten en la Oficina Jurídica de la Unidad Administrativa Especial Cuerpo Oficial de Bomberos Bogotá</t>
  </si>
  <si>
    <t>1-100-I087 VA-Sobretasa Bomberil</t>
  </si>
  <si>
    <t>Yenire Yohansy Lozano Ascanio</t>
  </si>
  <si>
    <t>Prestar servicios profesionales jurídicos especializados en la Oficina de Control Disciplinario Interno de la entidad para orientar y apoyar la gestión de los procesos disciplinarios en etapa de instrucción.</t>
  </si>
  <si>
    <t>Prestar los servicios profesionales jurídicos especializados en la Oficina de Control Disciplinario Interno de la entidad relacionados con los procesos disciplinarios que se deban tramitar en esa dependencia en etapa de instrucción.</t>
  </si>
  <si>
    <t>Prestar servicios profesionales jurídicos en la Oficina de Control Disciplinario Interno de la entidad para apoyar la gestión de los procesos contractuales, administrativos, y las actuaciones disciplinarias que deban susrtirse en etapa de instrucción.</t>
  </si>
  <si>
    <t>Prestar servicios profesionales jurídicos para apoyar la instrucción y demás actuaciones que deban surtirse en los procesos disciplinarios adelantados por la Oficina de Control Disciplinario Interno.</t>
  </si>
  <si>
    <t>Prestar servicios de apoyo técnico para la gestión administrativa de las actuaciones disciplinarias adelantadas en etapa de instrucción por la Oficina de Control Disciplinario Interno.</t>
  </si>
  <si>
    <t>Prestación de servicios de apoyo técnico a la gestión a la Oficina de Control Disciplinario Interno de la UAECOB para el cumplimiento de las funciones asignadas a esta dependencia, especialmente en las que requieran tareas de carácter administrativo</t>
  </si>
  <si>
    <t>Prestar servicios profesionales para generar acciones enfocadas en la prevención de faltas disciplinarias en la Oficina de Control Disciplinario Interno</t>
  </si>
  <si>
    <t>Prestación de servicios de apoyo a la gestión como conductor para atender los diferentes requerimientos e incidentes en la Oficina Asesora de Planeación</t>
  </si>
  <si>
    <t>Prestación de servicios profesionales para el desarrollo de actividades orientadas al sostenimiento y seguimiento de los componentes del Programa de Transparencia y Ética Pública, así como de las políticas públicas establecidas, en cumplimiento de los lineamientos del Modelo Integrado de Planeación y Gestión (MIPG), liderado por la Oficina Asesora de Planeación.</t>
  </si>
  <si>
    <t xml:space="preserve">Prestación de servicios profesionales para el desarrollo de las actividades asignadas, orientadas a la implementación del Sistema de Gestión de la Calidad y de las políticas establecidas en el marco del Modelo Integrado de Planeación y Gestión (MIPG), liderado por la Oficina Asesora de Planeación.
</t>
  </si>
  <si>
    <t>Prestar servicios de apoyo a la gestión para la ejecución de actividades asistenciales, administrativas y de gestión documental en la Oficina Asesora de Planeación.</t>
  </si>
  <si>
    <t>Prestación de servicios profesionales para la implementación de la metodología de la administración de los riesgos institucionales, asi como las actividades que se designen encaminadas a la implementación de las políticas del Modelo Integrado de Planeación y Gestión  MIPG.</t>
  </si>
  <si>
    <t>Prestación de servicios profesionales para desarrollar actividades asignadas, orientadas a implementar las políticas de Planeación Institucional, así como al seguimiento y evaluación del desempeño institucional dentro del marco del Modelo Integrado de Planeación y Gestión</t>
  </si>
  <si>
    <t>Prestación de servicios profesionales en el desarrollo de las actividades que se designen para el seguimiento del plan de mejoramiento de la Oficina Asesora de Planeación, así como la implementación de las políticas del Modelo Integrado de Planeación y Gestión MIPG.</t>
  </si>
  <si>
    <t>Prestar servicios profesionales para coordinar y ejercer seguimiento a la Implementación del Sistema de Gestión de la Calidad así como a las políticas que componen el modelo de gestión -MIPG que se definan por la Oficina Asesora de Planeación.</t>
  </si>
  <si>
    <t>Prestación de servicios profesionales para el desarrollo de actividades orientadas a implementar las políticas establecidas en el marco del Modelo Integrado de Planeación y Gestión (MIPG), liderado por la Oficina Asesora de Planeación.</t>
  </si>
  <si>
    <t>Prestación de servicios profesionales para el desarrollo de actividades designadas en el marco del Modelo Integrado de Planeación y Gestión (MIPG), orientadas a brindar soporte en el área que lo requiera.</t>
  </si>
  <si>
    <t>26 - contrato de prestacion de servicios profesionales</t>
  </si>
  <si>
    <t>Contratar la prestación de servicios de auditoria bajo los requisitos de las normas internacionales del Sistema de Gestión de la Calidad e ISO 9001 y el Sistema de Seguridad de la Información ISO 27001</t>
  </si>
  <si>
    <t>Prestación de servicios profesionales para acompañar a la Dirección en la estructuración de fichas técnicas y en la identificación de necesidades técnicas que requiere suplir la UAE Cuerpo Oficial de Bomberos de Bogotá</t>
  </si>
  <si>
    <t>Prestar servicios profesionales especializados en el desarrollo de las actividades y de los diferentes procesos que tiene a su cargo y bajo su seguimiento la Dirección General de la UAE Cuerpo Oficial de Bomberos de Bogotá.</t>
  </si>
  <si>
    <t>Prestar servicios profesionales jurídicos en el desarrollo de las actividades y de los diferentes procesos de la Dirección General de la UAE Cuerpo Oficial de Bomberos de Bogotá</t>
  </si>
  <si>
    <t>Prestar servicios profesionales para acompañar a la Dirección General en materia de modernización, gestión del conocimiento e innovación, estándares nacionales e internacionales y en mejora continua a la Unidad Administrativa Especial Cuerpo Oficial Bomberos Bogotá</t>
  </si>
  <si>
    <t>Prestar servicios profesionales especializados en la Dirección General de la UAECOB en la organización de los temas relacionados con las comunicaciones estratégicas.</t>
  </si>
  <si>
    <t>Jose Andres Ponce Caicedo</t>
  </si>
  <si>
    <t>SGH - Prestar servicios de apoyo a la gestión en la Subdirección de Gestión Humana en las diferentes actividades logísticas relacionadas con  el proceso de Academia.</t>
  </si>
  <si>
    <t xml:space="preserve">SGH - Prestar servicios en la subdireccion de gestion humana </t>
  </si>
  <si>
    <t>SGH - Prestar los servicios de capacitación, formación y entrenamiento en cursos especializado para Bomberos necesarios para el desarrollo de estos procesos para el personal operativo y administrativo de la Academia UAECOB en el marco del PIC</t>
  </si>
  <si>
    <t>86101600, 86101700, 86101800, 86111600, 86141500,  86121800, 80111500,86131800</t>
  </si>
  <si>
    <t xml:space="preserve">SGH - Prestar los servicios de capacitación, formación y entrenamiento en cursos especializado para Bomberos  en OPERADORES DE GRUAS, necesario para el desarrollo de estos procesos para el personal operativo y administrativo de la Academia UAECOB </t>
  </si>
  <si>
    <t>86101600, 86101700, 86101800, 86111600, 86141500,  86121800, 80111500</t>
  </si>
  <si>
    <t xml:space="preserve">SGH - Prestar los servicios de capacitación, formación y entrenamiento en cursos especializado para Bomberos en BUZO DE SEGURIDAD PUBLICA, necesario para el desarrollo de estos procesos para el personal operativo y administrativo  de la Academia UAECOB </t>
  </si>
  <si>
    <t>SGH - Adquisición de elementos, herramientas y accesorios necesario para el desarrollo de entrenamiento rescate con cuerdas, rescate vehicular y rescate urbano   de la Academia UAECOB</t>
  </si>
  <si>
    <t>23101512, 23241629, 27111508
27111559, 46161707, 46191605,46191609, 27111604, 46191603, 30191501, 46191614, 27111702
46191620, 46201002, 41114408
46191510, 46191511, 42171610, 46161715, 42171612, 27112813, 27112120, 30102409, 26121634
41113630, 25173107, 25173108
52161518, 46181504, 46181537, 41114501, 46161714</t>
  </si>
  <si>
    <t>SGH - Adquisición de elementos, herramientas y accesorios necesario para el desarrollo de entrenamiento APH - DORSOS Y MANIQUIES de la Academia UAECOB</t>
  </si>
  <si>
    <t>SGH - Adquisición de elementos, herramientas y accesorios para  EQUIPAMIENTO DE MAQUINAS E INCENDIOS necesario para el desarrollo de entrenamiento de la Academia UAECOB</t>
  </si>
  <si>
    <t>SGH - Adquisicion y adecuacion de escenarios necesario para el desarrollo de entrenamiento USAR de la Academia UAECOB</t>
  </si>
  <si>
    <t>72121100, 24101600, 30131500, 31371300, 30101500, 30101700, 30103600, 95121633, 30103619, 73121600, 73121500, 30101704, 30101504</t>
  </si>
  <si>
    <t>SGH - Realizar el estudio de cargas de trabajo de los servidores públicos Administrativos y Operativos de la UAE Cuerpo Oficial de Bomberos de Bogotá, que contenga las necesidades de ajuste o de incremento de planta conforme con los lineamientos del Departamento Administrativo de la Función Pública.</t>
  </si>
  <si>
    <t>80101500;80111500;86132000;93151500</t>
  </si>
  <si>
    <t>INCENTIVOS</t>
  </si>
  <si>
    <t>Contratar la Prestación de Servicios para desarrollar el Plan de Bienestar de la UAE Cuerpo Oficial de Bomberos para la Vigencia 2024.</t>
  </si>
  <si>
    <t>Contratar elementos de protección personal de acuerdo con las diferentes visitas de las estaciones según el sistema de gestión de salud ocupacional</t>
  </si>
  <si>
    <t>Suministro de llantas y  prestación del servicio de instalación, alineación, balanceo y conexos a los vehículos del parque automotor de la U.A.E. Cuerpo Oficial de Bomberos de Bogotá - SBLG</t>
  </si>
  <si>
    <t>Prestar el servicio de mantenimiento preventivo y correctivo, incluyendo el suministro de repuestos, insumos y mano de obra especializada para las motobombas forestales FOX, propiedad de la Unidad Administrativa Especial Cuerpo Oficial de Bomberos de Bogotá D.C. (UAECOB). - SBLG</t>
  </si>
  <si>
    <t>Prestar el servicio de mantenimiento preventivo y correctivo, de latonería y pintura, incluyendo el suministro de repuestos, insumos y mano de obra especializada para los vehículos pertenecientes al parque automotor de la UAE Cuerpo Oficial de Bomberos de Bogotá DC lote I y II - SBLG</t>
  </si>
  <si>
    <t>Proveer el suministro de elementos de bioseguridad e insumos médicos básicos y otros para la atención de emergencias. - SBLG</t>
  </si>
  <si>
    <t>Suministro de alimentación,  hidratación  y raciones para el cuerpo operativo en la atención de emergencias, entrenamientos, capacitaciones y actividades de prevención- - SBLG</t>
  </si>
  <si>
    <t>Suministrar combustible para los vehículos, y equipos especializados de la U.A.E. Cuerpo Oficial de Bomberos Bogotá dentro y fuera del perímetro del distrito capital de la  - SBLG</t>
  </si>
  <si>
    <t>Contratar el suministro de alimentación para los caninos del cuerpo oficial y animales rescatados por la U.A.E. del Cuerpo Oficial de Bomberos de Bogotá – . - SBLG</t>
  </si>
  <si>
    <t>Suministrar los repuestos, accesorios e insumos de los equipos de rescate vehicular liviano y pesado marca LUKAS-  - SBLG</t>
  </si>
  <si>
    <t>Prestar el servicio de mantenimiento preventivo y correctivo, incluido el suministro de repuestos e insumos y mano de obra especializada para los equipos detectores de atmosfera y respiración autónoma marca Dräger, propiedad de la U.A.E. Cuerpo Oficial de Bomberos de Bogotá -  - SBLG</t>
  </si>
  <si>
    <t>Suministrar repuestos, accesorios e insumos para los equipos menores  y transversales de propiedad de la UAECOB. - SBLG</t>
  </si>
  <si>
    <t>Prestación de servicios médicos veterinarios, con suministro de medicamentos e insumos veterinarios y otros, para los caninos de la U.A.E. Cuerpo Oficial de Bomberos de Bogotá -  - SBLG</t>
  </si>
  <si>
    <t>Adquisición de concentrado de espuma, mantenimiento y recarga de extintores, cilindros y tanques de las maquinas extintoras de la UAECOB.   LOTE I Y LOTE II - SBLG</t>
  </si>
  <si>
    <t>Prestación del servicio de mantenimiento preventivo y correctivo de los equipos de respiración autónoma interspiro propiedad de la UAECOB, incluido el suministro de repuestos, insumos y mano de obra especializada  - SBLG</t>
  </si>
  <si>
    <t>Prestar el servicio de mantenimiento preventivo y correctivo de los Equipos de Rescate Vehicular HOLMATRO propiedad de la UAECOB, incluido el suministro de repuestos, insumos y mano de obra especializada -  - SBLG</t>
  </si>
  <si>
    <t>72101509;46191600</t>
  </si>
  <si>
    <t>Prestar el servicio de mantenimiento preventivo y correctivo de los compresores BAUER propiedad de la U.A.E. Cuerpo Oficial de Bomberos de Bogotá, incluido el suministro de repuestos, insumos y mano de obra especializada.  - SBLG</t>
  </si>
  <si>
    <t>40151601;40151802</t>
  </si>
  <si>
    <t>Prestar el servicio de mantenimiento preventivo y correctivo de los Equipos acuaticos propiedad de la U.A.E. Cuerpo Oficial de Bomberos de Bogotá, incluido el suministro de repuestos, insumos y mano de obra especializada.  - SBLG</t>
  </si>
  <si>
    <t>Mantenimiento y actulizacion de elementos para la atencion de emergencias, rescate y salvamento  acuatico  (Trajes de buceo) - SBLG</t>
  </si>
  <si>
    <t>Prestar servicios profesionales en temas transversales de los procesos de planeación, logísticos, administrativos y financieros que se deriven de las competencias a cargo de la Subdirección Logística - .  - SBLG</t>
  </si>
  <si>
    <t>Prestar servicios profesionales en la seguimiento,verificación y control administrativo financiero de los procesos contractuales en la etapa de ejecución a cargo de la Subdirección Logistica – . - SBLG</t>
  </si>
  <si>
    <t>Prestación de servicios profesionales para realizar el seguimiento y monitoreo a los diferentes procesos y procedimientos del equipo menor a cargo de la Subdirección Logística -  - SBLG</t>
  </si>
  <si>
    <t>Prestar servicios profesionales para el trámite, revisión y validación de los documentos previos para pago que se generen con ocasión de la ejecución de los contratos a cargo de la subdirección logística. - SBLG</t>
  </si>
  <si>
    <t>William Tovar Segura</t>
  </si>
  <si>
    <t>5 - contratación mínima cuantía</t>
  </si>
  <si>
    <t>6 - contratación mínima cuantía</t>
  </si>
  <si>
    <t>Prestar servicios profesionales a la Subdirección de Gestión del Riesgo coordinando las actividades del proceso de Conocimiento del Riesgo._SGR</t>
  </si>
  <si>
    <t>Prestar servicios profesionales a la Subdirección de Gestión del Riesgo para la definicion de lineamientos de infraestructura de la UAECOB_SGR.</t>
  </si>
  <si>
    <t>9 - contratación directa</t>
  </si>
  <si>
    <t>Prestar servicios profesionales a la Subdirección de Gestión del Riesgo para la coordinación y establecimiento de los planes intersectoriales en materia de prevención y atención de incendios e incidentes con materiales peligrosos._SGR</t>
  </si>
  <si>
    <t>Prestar servicios profesionales para la estructuracion y seguimiento de los procesos contractuales y demas aspectos juridicos de la Subdirección de Gestión del riesgo._SGR</t>
  </si>
  <si>
    <t>Prestar servicios profesionales para las actividades de la Subdireccion de Gestion del Riesgo relacionadas con la gestion de los aspectos tecnologicos e informaticos._SGR</t>
  </si>
  <si>
    <t>Prestar servicios profesionales para el desarrollo de actividades de planeación y gestión para la Subdirección de Gestión del Riesgo._SGR</t>
  </si>
  <si>
    <t>Prestar servicios de apoyo a la gestión como conductor en la Subdirección de Gestión del Riesgo._SGR</t>
  </si>
  <si>
    <t xml:space="preserve">Prestar servicios de apoyo administrativos apoyando a la Subdirección de Gestión del Riesgo con lo relacionado al seguimiento y control de sus solicitudes y peticiones._SGR </t>
  </si>
  <si>
    <t>Prestar  servicios profesionales en las actividades de proyeccion e innovacion para la Subdirección de Gestión del Riesgo._SGR</t>
  </si>
  <si>
    <t>Prestar servicios profesionales en las actividades de identificacion de escenarios a cargo de la Subdirección de Gestión del Riesgo._SGR</t>
  </si>
  <si>
    <t>Prestar servicios profesionales en las actividades de monitoreo del riesgo para la Subdirección de Gestión del Riesgo._SGR</t>
  </si>
  <si>
    <t>Prestar servicios profesionales en las actividades de Programas y Campañas de Prevención para la Subdirección de Gestión del Riesgo._SGR</t>
  </si>
  <si>
    <t>Prestar servicios de apoyo en las actividades de Programas y Campañas de Prevención para la Subdirección de Gestión del Riesgo._SGR</t>
  </si>
  <si>
    <t>Prestación de servicios como operador logístico, relacionados con la organización, administración, ejecución y demás acciones logísticas con el fin de promover temáticas que fortalezcan la misionalidad de la entidad a través de la protección de la vida, el medio ambiente y el patrimonio_SGR</t>
  </si>
  <si>
    <t>80141900
90111500
90111600
80141600
80161502</t>
  </si>
  <si>
    <t>Adquisición de elementos de identificación institucional para el programa de Bomberitos_SGR.</t>
  </si>
  <si>
    <t>Prestar sus servicios profesionales en los procesos de formacion y capacitacion de la Subdirección de Gestión del Riesgo para las acciones derivadas de la plataforma virtual._SGR</t>
  </si>
  <si>
    <t>Mauricio Ayála Vásquez</t>
  </si>
  <si>
    <t>prestación de servicios como apoyo para gestionar y ejecutar las actividades que dan soporte al proceso de comunicaciones en emergencias, del centro de coordinación y comunicaciones (c.c.c.) a cargo de la subdirección operativa. s.o.</t>
  </si>
  <si>
    <t>prestación de servicios para dar el apoyo y realizar  la gestión administrativa requerida  en la estación de bomberos asignada y a cargo de la subdirección operativa  s.o.</t>
  </si>
  <si>
    <t>prestación de servicios profesionales para atender las actividades y condiciones básicas de bienestar tanto de los animales recuperados y rescatados y de los caninos del programa brae a cargo de la subdirección operativa s.o.</t>
  </si>
  <si>
    <t>prestación de servicios de apoyo para desarrollar y mantener las condiciones básicas de bienestar de los caninos y de  animales rescatados o recuperados que atiende el grupo brae
 a cargo de la subdirección operativa  s.o.</t>
  </si>
  <si>
    <t>prestación de servicios de apoyo para ejecutar las actividades administrativas, de gestión , trámite, seguimiento y verificación de solicitudes recibidas en el canal de comunicación de gestión operativa. - s.o.</t>
  </si>
  <si>
    <t>prestación de servicios de apoyo para transportar los recursos para el cumplimiento de las funciones y  brindar la atención en los diferentes requerimientos y gestiones a cargo de la dependencia.</t>
  </si>
  <si>
    <t>prestación de servicios profesionales  para generar información de valor e instrumentos de seguimiento y control a partir de los datos asociados a la ejecución  de los procesos, planes y proyectos adelantados en la dependencia. s.o.</t>
  </si>
  <si>
    <t>prestación de servicios profesionales para realizar  la consolidación, seguimiento, control y  reporte de los planes, proyectos y programas de inversión e indicadores a cargo de la subdirección operativa s.o.</t>
  </si>
  <si>
    <t>prestación de servicios profesionales para  el fortalecimiento de los procesos de comunicaciones y análisis de información en articulación con otras dependencias de la entidad, s.o.</t>
  </si>
  <si>
    <t>prestación de servicios profesionales para  la consolidación, seguimiento y reporte de las actividades del plan de mejoramiento, normograma y mapa de riesgos relacionados con los procesos y procedimientos misionales de la dependencia. s.o.</t>
  </si>
  <si>
    <t>prestación de servicios profesionales con plena autonomía técnica y administrativa  para el diseño, implementación, reporte y monitoreo de los diferentes procesos, procedimientos y funciones a cargo de la dependencia. - s.o.</t>
  </si>
  <si>
    <t>prestación de servicios profesionales para realizar  el diligenciamiento y seguimiento de las solicitudes en las herramientas de gestión de los procedimientos a cargo de la  subdirección operativa -s.o.</t>
  </si>
  <si>
    <t>prestación de servicios profesionales para realizar la planeación, trámite y seguimiento de los aspectos presupuestales, financieros y contractuales a cargo de la dependencia - s.o.</t>
  </si>
  <si>
    <t>prestación de servicios profesionales para ejecutar los  aspectos jurídicos de  la subdirección operativa, frente a la estructuración, sustanciación, revisión y trámite de los actos administrativos y los documentos que deba emitir para la dependencia - s.o.</t>
  </si>
  <si>
    <t>prestación de servicios profesionales para  estructurar, definir y verificar en los  aspectos técnicos de los diferentes procesos de contratación de bienes y servicios de la subdirección operativa en las etapas precontractual, contractual y postcontractual-s.o.</t>
  </si>
  <si>
    <t>prestación de servicios profesionales para ejecutar el componente de información geográfica, georreferenciación y generación de alertas mediante las herramientas, sistemas de información y recursos disponibles y a cargo de la subdirección operativa-s.o.</t>
  </si>
  <si>
    <t>prestación de servicios profesionales para la a estructuración, revisión, seguimiento y verificación de los procesos contractuales en las diferentes etapas y brindar el acompañamiento jurídico en el desarrollo de las actividades inherentes a los procesos y procedimientos que son competencia de la dependencia. - s.o.</t>
  </si>
  <si>
    <t>prestación de servicios profesionales para la elaboración, diagramación, orto tipografía y estilos de textos e informes referentes a los diferentes procesos a cargo de la subdirección operativa - s.o.</t>
  </si>
  <si>
    <t>prestación de servicios profesionales para la sustanciación, revisión y trámite de solicitudes dirigidas a autoridades administrativas, respuestas a pqrs, derechos de petición,  requerimientos que efectúen los entes de control, así como brindar acompañamiento juridico en la estructuración de los procesos y procedimientos que sea requerido por la dependencia s.o.</t>
  </si>
  <si>
    <t>prestación de  servicios profesionales para proyectar las solicitudes dirigidas a autoridades administrativas, respuestas a pqr s, derechos de petición, requerimientos efectuados por  los entes de control y autoridades administrativas o que lleguen por los diferentes canales de atención de la entidad, en el marco de los procesos y procedimientos a cargo de la dependencia-s.o.</t>
  </si>
  <si>
    <t>prestación de servicios profesionales para ejecutar las actividades misionales en la elaboración, diseño y diagramación de piezas requeridas para los planes, programas, proyectos y procedimientos- s.o.</t>
  </si>
  <si>
    <t>prestación de servicios profesionales para ejecutar las actividades relacionadas con el sistema de gestión de calidad, el sistema ambiental y el sistema de control interno-s.o.</t>
  </si>
  <si>
    <t>prestación de servicios profesionales para ejecutar las actividades de carácter administrativo y de apoyo de los procesos y procedimientos a cargo de la subdirección operativa-s.o.</t>
  </si>
  <si>
    <t>prestación de servicios profesionales con plena autonomía técnica y administrativa en el seguimiento, verificación y alimentación de los sistemas de información y demás requerimientos de acuerdo con las funciones de la dependencia-s.o.</t>
  </si>
  <si>
    <t>prestación de servicios profesionales para  la estructuación de fichas técnicas e identificación de necesidades técnicas requeridas por la entidad con base en la atención de emergencias y requerimientos internos y externos - s.o.</t>
  </si>
  <si>
    <t>prestación de servicios profesionales para la elaboración de informes o documentos técnicos, infografías, reportes y consolidación de indicadores relacionados con los procesos, procedimientos y contratos a cargo de la dependencia-s.o.</t>
  </si>
  <si>
    <t>prestación de servicios profesionales para llevar a cabo  el análisis de información,  elaboración de informes de gestión, documentos técnicos, reportes y demás productos relacionados con la atención de emergencias, gestión del conocimiento y procesos a cargo de la dependencia.</t>
  </si>
  <si>
    <t>prestación de servicios profesionales para gestionar y ejecutar la  estrategia de preparativos de la uae cuerpo oficial de bomberos de bogotá s.o.</t>
  </si>
  <si>
    <t>prestación de servicios profesionales en consolidación y reporte de la información técnica de la estrategia de preparativos de la uae cuerpo oficial de bomberos de bogotá s.o.</t>
  </si>
  <si>
    <t>Adquisición de equipos, herramientas y accesorios (E.H.A.) para la atención de emergencias de la UAE Cuerpo Oficial de Bomberos de Bogotá</t>
  </si>
  <si>
    <t>Adquisición de vehículos operativos o especilizados para la atención de emergencias de la UAE  Cuerpo Oficial de Bomberos de Bogotá</t>
  </si>
  <si>
    <t>Adquisición de tecnologia  especilizada para la atención de emergencias de la UAE  Cuerpo Oficial de Bomberos de Bogotá</t>
  </si>
  <si>
    <t>8128 5-Desarrollar el 100% de las acciones asociadas al fortalecimiento de la infraestructura tecnológica y de comunicaciones de la UAECOB</t>
  </si>
  <si>
    <t>8127 4-Administrar, soportar y mantener el 100% del servicio de Herramientas de Colaboración y sistemas de información.</t>
  </si>
  <si>
    <t>8128 4-Administrar, soportar y mantener el 100% del servicio de Herramientas de Colaboración y sistemas de información.</t>
  </si>
  <si>
    <t>8129 4-Administrar, soportar y mantener el 100% del servicio de Herramientas de Colaboración y sistemas de información.</t>
  </si>
  <si>
    <t>43221700;43191500</t>
  </si>
  <si>
    <t>Contratar la prestación del servicio de monitoreo, control y seguimiento satelital a los vehículos de propiedad de la U.A.E. Cuerpo Oficial de Bomberos de Bogotá - TIC</t>
  </si>
  <si>
    <t>Contratar el servicio de soporte del sistema misional FUOCO para la U.A.E. Cuerpo Oficial de Bomberos de Bogotá de acuerdo a lo contemplado en el anexo técnico.-TIC-</t>
  </si>
  <si>
    <t>81112200;81112201</t>
  </si>
  <si>
    <t>Contratar la renovación del licenciamiento y soporte de las plataformas de seguridad perimetral Fortinet, firewalls y WAF del edificio comando y estaciones para la U.A.E. Cuerpo Oficial de Bomberos de Bogotá - TIC</t>
  </si>
  <si>
    <t>43233200;43222500</t>
  </si>
  <si>
    <t>Adicionar el contrato cuyo objeto es "Contratar la renovación y soporte de licenciamiento del antivirus de la U.A.E. Cuerpo Oficial de Bomberos de Bogotá - TIC"</t>
  </si>
  <si>
    <t>Contratar la adquisición, renovación y  suscripciones de licencia Microsoft para la U.A.E. Cuerpo Oficial de Bomberos de Bogotá - TIC</t>
  </si>
  <si>
    <t>43231512;81112501</t>
  </si>
  <si>
    <t>Contratar el alquiler de equipos tecnológicos, periféricos y servicios complementarios para la U.A.E. Cuerpo Oficial de Bomberos de Bogotá. - TIC</t>
  </si>
  <si>
    <t>Contratar el servicio de soporte y mantenimiento del sistema de gestión documental  para la U.A.E. Cuerpo Oficial de Bomberos de Bogotá- TIC</t>
  </si>
  <si>
    <t>Contratar el servicio de nube publica para la U.A.E Cuerpo Oficial de Bomberos de Bogotá - TIC</t>
  </si>
  <si>
    <t>Adicionar el contrato cuyo objeto es "Contratar el servicio de mantenimiento para el sistema de atención de turnos de la U.A.E. Cuerpo Oficial de Bomberos de Bogotá - TIC"</t>
  </si>
  <si>
    <t>Contratar el servicio de mantenimiento preventivo y correctivo de los radios portátiles y móviles marca motorola propiedad de la U.A.E. Cuerpo Oficial de Bomberos de Bogotá - TIC</t>
  </si>
  <si>
    <t>Adicionar el contrato cuyo objeto es "Contratar el servicio de actualización y soporte de licenciamiento ArcGIS para la U.A.E. Cuerpo Oficial de Bomberos de Bogotá.- TIC"</t>
  </si>
  <si>
    <t>Contratar la adquisición de usuarios de ArcGis para la U.A.E. Cuerpo Oficial de Bomberos de Bogotá. - TIC</t>
  </si>
  <si>
    <t>Adquisición de software para análisis de vulnerabilidades para la UAE Cuerpo Oficial de Bomberos de Bogotá</t>
  </si>
  <si>
    <t>43233203, 43233205</t>
  </si>
  <si>
    <t>43212105, 43212110,43212115</t>
  </si>
  <si>
    <t>81111508;81111809;81161501;43231500;43231513</t>
  </si>
  <si>
    <t>Realizar la adquisición de un software para la capacitación a la comunidad sobre la prevención de emergencias</t>
  </si>
  <si>
    <t>Adquisición de sistema de monitoreo para la prevención y alertas tempranas en lo que corresponde a los incidentes forestales en los cerros</t>
  </si>
  <si>
    <t>Fatima Veronica Quintero Nuñez</t>
  </si>
  <si>
    <t>Contratar la prestación del servicio de aseo y cafetería incluido insumos para la UAE Cuerpo Oficial de Bomberos -SGC</t>
  </si>
  <si>
    <t>44121700;44121800;44121900;44122000</t>
  </si>
  <si>
    <t>Prestación de servicios de apoyo a la gestión en la ejecución de los planes y programas de servicio al ciudadano a cargo de la Subdirección de Gestión Corporativa.-SGC</t>
  </si>
  <si>
    <t>Prestación de servicios profesionales para articular la gestión en la ejecución de los planes y programas de servicio al ciudadano a cargo de la Subdirección de Gestión Corporativa.-SGC</t>
  </si>
  <si>
    <t>Prestación de servicios profesionales en la Subdirección de Gestión Corporativa adelantando las actividades necesarias para la ejecución del programa y los procesos de seguros de la Entidad-SGC</t>
  </si>
  <si>
    <t>Prestación de servicios de apoyo en la gestión de seguros de la Subdirección de Gestión Corporativa. –SGC</t>
  </si>
  <si>
    <t>Prestación de servicios profesionales para apoyar a la Subdirección de Gestión Corporativa aplicando los procesos y procedimientos de seguros e inventarios -SGC</t>
  </si>
  <si>
    <t>Prestación de servicios de apoyo a la gestión de seguros de la Subdirección de Gestión Corporativa. –SGC</t>
  </si>
  <si>
    <t>Prestar los servicios como conductor de la Subdirección de Gestión Corporativa -SGC</t>
  </si>
  <si>
    <t>Prestación de servicios de apoyo a la gestión del proceso de inventarios de la Subdirección de Gestión Corporativa.-SGC</t>
  </si>
  <si>
    <t>Prestación de servicios de apoyo a la gestión en la Subdirección de Gestión Corporativa, en las actividades asociadas a los procesos y procedimientos del almacén de la Entidad.- SGC</t>
  </si>
  <si>
    <t>Prestar servicios profesionales en la Subdirección de Gestión Corporativa en el marco de las actividades administrativas de la Dependencia.-SGC</t>
  </si>
  <si>
    <t>Prestación de servicios profesionales, en temas jurídicos de la gestión administrativa a cargo de la Subdirección de Gestión Corporativa.- SGC</t>
  </si>
  <si>
    <t>Prestación de servicios profesionales para adelantar actividades técnicas y trámites administrativos del Área de Infraestructura de la Subdirección de Gestión Corporativa-SGC</t>
  </si>
  <si>
    <t>Prestación de Servicios Profesionales para la formulación, seguimiento y ejecución de procesos presupuestales y financieros a cargo de la Subdirección de Gestión Corporativa -SGC</t>
  </si>
  <si>
    <t>Prestación de servicios profesionales para atender las necesidades de mantenimiento de las instalaciones y las actividades técnicas y administrativas de competencia del Área de Infraestructura de la Subdirección de Gestión Corporativa-SGC</t>
  </si>
  <si>
    <t>Prestación de servicios profesionales especializados para atender las necesidades de mantenimiento de las instalaciones y las actividades técnicas de competencia del Área de Infraestructura de la Subdirección de Gestión Corporativa-SGC</t>
  </si>
  <si>
    <t>Prestación de servicios profesionales en la proyección y el seguimiento financiero a los proyectos de la Subdirección de Gestión Corporativa-SGC</t>
  </si>
  <si>
    <t>Prestación de servicios profesionales especializados para apoyar las actividades técnicas y gestión predial del Área de Infraestructura de la Subdirección de Gestión Corporativa-SGC</t>
  </si>
  <si>
    <t>Prestar servicios profesionales con el fin de atender los trámites ambientales y los demás que requiera el área de Infraestructura de la Subdirección de Gestión Corporativa. SGC</t>
  </si>
  <si>
    <t>Prestación de servicios de apoyo a la gestión, en la Subdirección de Gestión Corporativa en temas de infraestructura para el sostenimiento y mejoramiento de los equipamientos de la Unidad Administrativa Especial Cuerpo Oficial de Bomberos de Bogotá-SGC</t>
  </si>
  <si>
    <t>Prestar los servicios profesionales en los trámites técnicos y administrativos para la adquisición de los bienes y servicios del Área de Infraestructura de la Subdirección de Gestión Corporativa-SGC</t>
  </si>
  <si>
    <t>Prestar el servicio de vigilancia y seguridad privada en la modalidad de vigilancia fija, según especificaciones técnicas, en las instalaciones donde la UAE Especial Cuerpo Oficial de Bomberos requiera-SGC</t>
  </si>
  <si>
    <t>Prestación de servicios de apoyo a la gestión del área Financiera de la Subdirección de Gestión Corporativa.-SGC</t>
  </si>
  <si>
    <t>Prestar servicios profesionales en la Subdirección de Gestión Corporativa en lo relacionado con los procesos de inventarios, almacén y bajas-SGC</t>
  </si>
  <si>
    <t>Prestación de servicios profesionales para el seguimiento, ejecución de los procesos de gestión de pagos que se desarrollan en el área Financiera de la UAE Cuerpo Oficial de Bomberos asignados. -SGC</t>
  </si>
  <si>
    <t>Prestar servicios profesionales para desarrollar e implementar sistemas de información, brindar soporte, mantenimiento y generar interoperabilidad con BOGDATA, en la Subdirección de Gestión Corporativa -SGC</t>
  </si>
  <si>
    <t>Prestación de servicios profesionales para la ejecución de los procesos contables que se desarrollan en el Área Financiera de la UAE Cuerpo Oficial de Bomberos asignados. -SGC</t>
  </si>
  <si>
    <t>Prestación de servicios de apoyo a la gestión documental de la Subdirección de Gestión Corporativa de la Unidad.-SGC.</t>
  </si>
  <si>
    <t>Prestación de servicios profesionales en el acompañamiento y asistencia al proceso de gestión documental de la UAE Cuerpo oficial de Bomberos, así como en el apoyo a la supervisión de los contratos que le sean asignados. -SGC</t>
  </si>
  <si>
    <t>Prestación de servicios de apoyo a la gestión documental de la Subdirección de Gestión Corporativa de la Unidad.-SGC</t>
  </si>
  <si>
    <t>Prestación de servicios de apoyo a la gestión documental de la Subdirección de Gestión Corporativa de la Unidad-SGC</t>
  </si>
  <si>
    <t>Prestar los servicios profesionales para la gestión administrativa y operativa de la Subdirección de Gestión Corporativa en el proceso de adquisición de bienes y servicios - SGC</t>
  </si>
  <si>
    <t>Prestación de Servicios Profesionales en temas financieros, administrativas y misionales para apoyar los proyectos de infraestructura de la Subdirección de Gestión Corporativa.- SGC</t>
  </si>
  <si>
    <t>Prestación de servicios profesionales con el fin de gestionar trámites de carácter técnico, administrativo y operativamente en el desarrollo de los proyectos de inversión  de la entidad-SGC</t>
  </si>
  <si>
    <t>Mantenimiento preventivo y correctivo, que incluye el suministro de insumos y repuestos de las plantas eléctricas ubicadas en los diferentes edificios de la Unidad Administrativa Especial del Cuerpo Oficial de Bomberos Bogotá D.C -SGC</t>
  </si>
  <si>
    <t>Mantenimiento preventivo y correctivo, que incluye el suministro de insumos y repuestos de las lavadoras y secadoras industriales ubicadas en las estaciones de bomberos de la UAE Cuerpo Oficial de Bomberos de Bogotá-SGC</t>
  </si>
  <si>
    <t>Mantenimiento preventivo y correctivo de los equipos gasodomésticos y solares, adecuación de las redes de gas natural y repuestos para las Estaciones de Bomberos de UAE Cuerpo Oficial de Bomberos SGC</t>
  </si>
  <si>
    <t>Realizar el mantenimiento preventivo, correctivo y suministro de repuestos para los equipos de gimnasio instalados en las diferentes instalaciones a cargo de la UAE Cuerpo Oficial de Bomberos. -SGC</t>
  </si>
  <si>
    <t>Mantenimiento correctivo y/o preventivo, suministros y repuestos de los equipos hidroneumáticos, motobombas eléctricas, bombas sumergibles, tableros de control y fuerza y demás equipos de bombeo instalados en las estaciones de bomberos de la UAE Cuerpo oficial de Bomberos -SGC</t>
  </si>
  <si>
    <t>Mantenimiento preventivo y correctivo de la red contraincendios  y sistemas de detención de alarmas contra incendios de las estaciones de bomberos de la UAE- Cuerpo Oficial de Bomberos Bogota SGC</t>
  </si>
  <si>
    <t>Mantenimiento preventivo y correctivo, que incluye el suministro de insumos y repuestos de los electrodomésticos de las instalaciones a cargo de la UAE Cuerpo Oficial de Bomberos Bogotá-SGC</t>
  </si>
  <si>
    <t>Suministro de materiales, equipos y herramientas para el mejoramiento integral de las instalaciones de la UAE Cuerpo Oficial de Bomberos -SGC</t>
  </si>
  <si>
    <t>Interventoría técnica, administrativa, financiera, contable, jurídica y ambiental  para la realizacion del mantenimiento predictivo, preventivo, correctivo, mejoras y dotación a las instalaciones de las dependencias de la Unidad Administrativa Especial Cuerpo Oficial de Bomberos de Bogotá D.C. - SGC</t>
  </si>
  <si>
    <t>80101600;81101500;72101500;72121400</t>
  </si>
  <si>
    <t>Suministro e instalación de las lavadoras y secadoras industriales  para las instalaciones de la UAE Cuerpo Oficial de Bomberos de Bogotá-SGC</t>
  </si>
  <si>
    <t>47111500; 47111700</t>
  </si>
  <si>
    <t>Suministro e instalación de equipos gasodomésticos y solares para las instalaciones de la UAE Cuerpo Oficial de Bomberos SGC</t>
  </si>
  <si>
    <t>48101500; 52141500; 40101800</t>
  </si>
  <si>
    <t>Suministro e instalación de equipos de gimnasio para las diferentes instalaciones a cargo de la UAE Cuerpo Oficial de Bomberos. -SGC</t>
  </si>
  <si>
    <t>Elaboración de estudios y diseños técnicos para la construcción de la estación de bomberos  B-18 de la UAE Cuerpo Oficial de Bomberos de Bogotá – SGC</t>
  </si>
  <si>
    <t>81101500;80101600</t>
  </si>
  <si>
    <t>Interventoría técnica, administrativa, financiera, contable, jurídica y ambiental para la elaboración de estudios y diseños técnicos para la construcción de la estación de bomberos B-18 de la UAE Cuerpo Oficial de Bomberos de Bogotá – SGC</t>
  </si>
  <si>
    <t>Elaboración de estudios y diseños técnicos para la construcción de la estación de bomberos de Puente Aranda B-4 de la UAE Cuerpo Oficial de Bomberos de Bogotá – SGC</t>
  </si>
  <si>
    <t>Interventoría técnica, administrativa, financiera, contable, jurídica y ambiental para la elaboración de estudios y diseños técnicos para la construcción de la estación de Bomberos de Punete Aranda B-4 de la UAE Cuerpo Oficial de Bomberos de Bogotá – SGC</t>
  </si>
  <si>
    <t>Construcción de la estación de bomberos de Caobos Salazar B-13 de la UAE Cuerpo Oficial de Bomberos de Bogotá – SGC</t>
  </si>
  <si>
    <t>72121400; 72151700; 72151700; 81101500</t>
  </si>
  <si>
    <t>Interventoría técnica, administrativa, financiera, contable, jurídica y ambiental para la construcción de la estación de Bomberos de Caobos Salazar B-13 de la UAE Cuerpo Oficial de Bomberos de Bogotá – SGC</t>
  </si>
  <si>
    <t>81101500; 80101600; 72121400; 95121700</t>
  </si>
  <si>
    <t>Omer Mauricio Rivera Ruiz</t>
  </si>
  <si>
    <t>Contratar el servicio de revision técnico mecánica y de emision de gases contaminantes para los vehiculos que forman parte del parque automotor de la Unidad Administrativa Especial Cuerpo Oficial de Bomberos de Bogotá - UAECOB-SBLG</t>
  </si>
  <si>
    <t>Mauricio Ayala Vasquez</t>
  </si>
  <si>
    <t>Adquisición de uniformes para el personal operativo de la UAECOB</t>
  </si>
  <si>
    <t>O2120201002082823609    Uniformes de trabajo</t>
  </si>
  <si>
    <t>Pago de pasivos exigibles</t>
  </si>
  <si>
    <t xml:space="preserve"> 91 - n/a acto administrativo (resolución, decreto, acuerdo, etc.) </t>
  </si>
  <si>
    <t xml:space="preserve"> 17 - acuerdo marco de precios </t>
  </si>
  <si>
    <t>80111600;</t>
  </si>
  <si>
    <t xml:space="preserve"> 09 - contratación directa </t>
  </si>
  <si>
    <t>Prestación de servicios profesionales en la Subdirección de Gestión Corporativa en las actividades relacionadas con MIPG-SGC</t>
  </si>
  <si>
    <t xml:space="preserve">Prestar servicios profesionales en la Subdirección de Gestión Corporativa para aplicar los procesos y procedimientos a los inventarios a cargo de la UAECOB-SGC </t>
  </si>
  <si>
    <t xml:space="preserve"> 04 - contratación mínima cuantía </t>
  </si>
  <si>
    <t>Adición y prórroga No. 1 al contrato 478 de 2024 que tiene como objeto “Mantenimiento preventivo y correctivo de los equipos gasodomésticos y solares, adecuación de las redes de gas natural y repuestos para las Estaciones de Bomberos de UAE Cuerpo Oficial de Bomberos SGC</t>
  </si>
  <si>
    <t>72121400;
72151700;
95121700;</t>
  </si>
  <si>
    <t>72154100; 73152100</t>
  </si>
  <si>
    <t>Realizar el mantenimiento preventivo, correctivo de puertas automatizadas para las salas de máquinas de las estaciones de la UAE Cuerpo Oficial de Bomberos-SGC</t>
  </si>
  <si>
    <t>72121400;
72151700;
72154109;
95121700;</t>
  </si>
  <si>
    <t>Prestación de servicios profesionales para apoyar las actividades técnicas del Área de Infraestructura de la Subdirección de Gestión Corporativa-SGC</t>
  </si>
  <si>
    <t>Prestación de servicios profesionales especializados para articular y revisar los procesos y procedimientos del área de infraestructura, así como en el apoyo a la supervisión de los contratos que le sean asignados-SGC</t>
  </si>
  <si>
    <t>Prestación de servicios profesionales al área Financiera de la Subdirección de Gestión Corporativa--SGC</t>
  </si>
  <si>
    <t>Prestar los servicios de Custodia, Consulta y Traslado Documental de Acuerdo a las especificaciones Técnicas  y requisitos contemplados en la normatividad Archivística Vigente-SGC</t>
  </si>
  <si>
    <t>78131800;80101500;80101600;80161500;81111900;81112000</t>
  </si>
  <si>
    <t>Contratar el servicio de saneamiento ambiental, corte de césped, jardinería, poda y tala de árboles para las sedes (predios y/o estaciones) de la UAECOB-SGC</t>
  </si>
  <si>
    <t>70111500;</t>
  </si>
  <si>
    <t xml:space="preserve"> 02 - selec. abrev. menor cuantía </t>
  </si>
  <si>
    <t>Arrendamiento de instalaciones estación Ferias-SGC</t>
  </si>
  <si>
    <t>80131502;</t>
  </si>
  <si>
    <t>Prestar a la UAE Cuerpo Oficial de Bomberos Bogotá los servicios postales, la radicación, digitalización de correspondencia, el servicio de alistamiento básico, elaboración de guías, recolección, transporte y entrega de correo (sobres y/o paquetes) a nivel urbano, nacional e internacional, así como la administración del punto de correspondencia, con personal idóneo, equipos periféricos y motorizados, conforme lo establecido en la Ley 1369 del 2009 y demás normas concordantes y complementarios-SGC</t>
  </si>
  <si>
    <t>78102206;</t>
  </si>
  <si>
    <t>Suministro  de implementos  de  papelería y oficina para las dependencias de la UAE Cuerpo  Oficial de Bomberos-SGC</t>
  </si>
  <si>
    <t>14111500;
14111800;
44121700; 
44121800; 
44122000; 
44122100;
44121600;
60101900;
27112300;
60105700;</t>
  </si>
  <si>
    <t>Suministro de insumos para las impresoras de las dependencias de la UAE Cuerpo Oficial de Bomberos.-SGC.</t>
  </si>
  <si>
    <t>44103100;44103101;44103103;44103105;44103106;44103108;44103110;44103111;55101500;</t>
  </si>
  <si>
    <t>Arrendamiento de instalaciones estación Caobos Salazar-SGC</t>
  </si>
  <si>
    <t>92121500;</t>
  </si>
  <si>
    <t>Adición y prórroga No. 1 al contrato 243 de 2024 que tiene como objeto“Seleccionar propuesta para contratar con una o varias compañías de seguros legalmente autorizadas para funcionar en el país, los seguros patrimoniales, generales, de aviación y personas requeridos para la adecuada protección de los bienes e intereses patrimoniales de la UNIDAD ADMINISTRATIVA ESPECIAL CUERPO OFICIAL BOMBEROS BOGOTÁ, así como de aquellos por los que sea o fuere legalmente responsable o le corresponda asegurar en virtud de disposición legal o contractual-SGC</t>
  </si>
  <si>
    <t>84131501;84131503;84131504;84131512;84131513;84131515; 84131601,84131603;84131607</t>
  </si>
  <si>
    <t>Adición y prórroga No. 1 al contrato 245 de 2024 que tiene como objeto“Seleccionar propuesta para contratar con una o varias compañías de seguros legalmente autorizadas para funcionar en el país, los seguros patrimoniales, generales, de aviación y personas requeridos para la adecuada protección de los bienes e intereses patrimoniales de la UNIDAD ADMINISTRATIVA ESPECIAL CUERPO OFICIAL BOMBEROS BOGOTÁ, así como de aquellos por los que sea o fuere legalmente responsable o le corresponda asegurar en virtud de disposición legal o contractual-SGC</t>
  </si>
  <si>
    <t>Seleccionar propuesta para contratar con una o varias compañías de seguros legalmente autorizadas para funcionar en el país, los seguros patrimoniales, generales, de aviación y personas requeridos parala adecuada protección de los bienes e intereses patrimoniales de la UNIDAD ADMINISTRATIVA ESPECIAL CUERPO OFICIAL BOMBEROS BOGOTÁ, así como de aquellos por los que sea o fuere legalmente responsable o le corresponda asegurar en virtud de disposición legal o contractual-SGC</t>
  </si>
  <si>
    <t>Adición No. 6 y prórroga No. 7 al contrato 409 de 2021 que tiene como objeto "Prestar los servicios de Custodia, Consulta y Traslado Documental de Acuerdo a las especificaciones Técnicas y requisitos contemplados en la normatividad Archivística Vigente-SGC, Otro Si No. 06 de 2024.</t>
  </si>
  <si>
    <t>Mantenimiento ascensor nueva Estación de Bomberos de Fontibón-SGC</t>
  </si>
  <si>
    <t>Prestación del servicio para inspección y certificación correspondientes a los sistemas de transporte vertical (ascensores) a cargo de la Unidad Administrativa Especial del Cuerpo Oficial de Bomberos Bogotá D.C. – SGC</t>
  </si>
  <si>
    <t>Mantenimiento correctivo y preventivo con suministro de repuestos para los Ascensores Edificio Comando-SGC</t>
  </si>
  <si>
    <t>Mantenimiento correctivo y preventivo con suministro de repuestos ascensor nueva Estación de Bomberos BELLAVISTA- SGC</t>
  </si>
  <si>
    <t xml:space="preserve">Prestar los servicios de mantenimiento y suministro de insumos de las piscinas ubicadas en las Estaciones de Bomberos de Kennedy "Alejandro Lince" B5 y B4 Puente Aranda - BRAE, como escenario para el acondicionamiento físico, entrenamiento del personal y canino del Cuerpo Oficial de Bomberos de Bogotá para el cumplimiento de su misionalidad-SGC. </t>
  </si>
  <si>
    <t xml:space="preserve">91111602;_x000D_
47101568;_x000D_
49241712;_x000D_
</t>
  </si>
  <si>
    <t>Prestar el servicio de recolección y diposición final de los residuos sanitarios y aguas no tratadas de las instalaciones de la Unidad Administrativa Especial Cuerpo Oficial de Bomberos Bogotá -SGC</t>
  </si>
  <si>
    <t>81141807;_x000D_
40151517;_x000D_
76121701;_x000D_
83101506;</t>
  </si>
  <si>
    <t>Suministro de insumos para lavadoras-SGC</t>
  </si>
  <si>
    <t>44103100;</t>
  </si>
  <si>
    <t>Adición y Prórroga No. 1 al contrato 639 de 2024 que tiene como objeto "Suministro de implementos de papelería y oficina para las dependencias de la UAE Cuerpo Oficial de Bomberos-SGC</t>
  </si>
  <si>
    <t xml:space="preserve">14111500 _x000D_
14111800_x000D_
44121700 _x000D_
44121800 _x000D_
44122000 _x000D_
44122100_x000D_
44121600_x000D_
60101900_x000D_
27112300_x000D_
60105700_x000D_
</t>
  </si>
  <si>
    <t>72101500; 92101600; 95121700</t>
  </si>
  <si>
    <t>73152108;</t>
  </si>
  <si>
    <t>23131500;23271800; 26111700; 26121500; 26121600; 27111500; 27001700;27111800;27111900;27112000;27112100;27112800;30101500;3010300;30111600;30131500;30151700;30151800;30161700;30171500;30181500;30181700;30191500;31161500;31162000;31162100;31162100;31162800;31201500;31201600;31211500;31211700;31211900;39101600;39101900;39121300;39121400;39121500;39121700;39122200;39131700;40141600;40141700;40151600;40171900;40183000;40183100;46171500;78101800</t>
  </si>
  <si>
    <t>Adición No. 2  al contrato 301 de 2024 cyto objeto es "Suministro de materiales, equipos y herramientas para el mejoramiento integral de las instalaciones de la UAE Cuerpo Oficial de Bomberos -SGC</t>
  </si>
  <si>
    <t xml:space="preserve">Realizar el mantenimiento predictivo, preventivo, correctivo, mejoras y dotación a las instalaciones de las dependencias de la Unidad Administrativa Especial Cuerpo Oficial de Bomberos de Bogotá D.C. - SGC_x000D_
</t>
  </si>
  <si>
    <t>72102900; 72121400; 72151700;72154000;72101500</t>
  </si>
  <si>
    <t>80101600; 81101500; 72101500; 72121400</t>
  </si>
  <si>
    <t>49201500; 49201600</t>
  </si>
  <si>
    <t>Adición y prórroga No. 1 al contrato 344 de 2024 que tiene como objeto “Prestar el servicio de vigilancia y seguridad privada en la modalidad de vigilancia fija, según especificaciones técnicas, en las instalaciones que la UAE especial cuerpo oficial de bomberos requiera-SGC</t>
  </si>
  <si>
    <t>Adquisicion de Andamios certificados, escalera multifuncional y elemento de seguridad y salud en el trabajo (gafas,tapa oidos, lineas de vida)</t>
  </si>
  <si>
    <t>Consultoria modalidad de licencias de la infraestructura existente de las estaciones de bomberos (reconocimiento, ampliacion etc)</t>
  </si>
  <si>
    <t>Interventoria de la consultoria modalidad de licencias de la infraestructura existente de las estaciones de bomberos (reconocimiento, ampliacion etc).</t>
  </si>
  <si>
    <t>Prestar los servicios profesionales para el acompañamiento y seguimiento de los planes y proyectos de la Subdireccion de Gestión Corporativa-SGC</t>
  </si>
  <si>
    <t>Prestación de servicios profesionales especializados para articular y revisar los procesos y procedimientos de la gestión administrativa a cargo de la Subdirección de Gestión Corporativa.- SGC</t>
  </si>
  <si>
    <t>Prestación de servicios profesionales en la Subdirección de Gestión Corporativa en las actividades de armonización del proceso de implementación y mejora continua del sistema de gestión ambiental de la unidad- así como en el apoyo a la supervisión de los contratos que le sean asignados. -SGC</t>
  </si>
  <si>
    <t>Prestar los servicios profesionales especializados para acompañar las actividades jurídicas relacionadas con la gestión contractual en las etapas precontractual, contractual y postcontractual del área administrativa de la Subdirección de Gestión Corporativa -SGC</t>
  </si>
  <si>
    <t>Prestar servicios de apoyo a la gestión, para la orientación oportuna a ciudadanos con necesidades especiales y/o con discapacidad auditiva sobre la oferta institucional, en los canales de atención y en los diferentes escenarios de interacción que le sean asignados por la Subdirección de Gestión Corporativa-SGC</t>
  </si>
  <si>
    <t>Prestación de servicios de apoyo en las actividades asociadas a los procesos de almacén de la Subdirección de Gestión Corporativa SGC</t>
  </si>
  <si>
    <t>Prestación de servicios profesionales para atender las actividades financieras, a cargo de la Subdirección de Gestión Corporativa-SGC</t>
  </si>
  <si>
    <t>Prestación de servicios de apoyo a la gestión de los procesos contractuales en la plataforma SECOP II a cargo de la Subdirección de Gestión Corporativa-SGC</t>
  </si>
  <si>
    <t>Prestación de servicios profesionales en el marco de las actividades administrativas de la Subdirección de Gestión Corporativa--SGC</t>
  </si>
  <si>
    <t>Prestar los servicios profesionales de la gestión administrativa, así como la adquisición de bienes y servicios de la Subdirección de Gestión Corporativa  SGC</t>
  </si>
  <si>
    <t>Prestar servicios profesionales para realizar acompañamiento en los procesos contractuales adelantados por la Subdirección Gestión Corporativa -SGC</t>
  </si>
  <si>
    <t>Prestar los servicios profesionales jurídicos para apoyar las actividades propias, en procesos prediales que contribuyan al desarrollo de la infraestructura requerida por la entidad para la adecuada prestación del servicio-SGC</t>
  </si>
  <si>
    <t>Prestar los servicios profesionales técnicos para apoyar las actividades propias que contribuyan al desarrollo de la infraestructura requerida por la entidad para la adecuada prestación del servicio-SGC</t>
  </si>
  <si>
    <t>Prestar los servicios profesionales para apoyar las actividades de trabajo social propias que contribuyan al desarrollo de la infraestructura requerida por la entidad para la adecuada prestación del servicio-SGC</t>
  </si>
  <si>
    <t>Prestar servicios profesionales como ingeniero mecanico para apoyar las actividades propias que contribuyan al desarrollo de la infraestructura requerida por la entidad para la adecuada prestación del servicio-SGC</t>
  </si>
  <si>
    <t>Prestar los servicios de apoyo las actividades conforme a la política del Sistema de Gestión de la Seguridad y Salud en el Trabajo (SG-SST) que contribuyan para la adecuada prestación del servicio-SGC</t>
  </si>
  <si>
    <t>Prestación de servicios de apoyo en las actividades asociadas a los procesos de gestión de inventarios de la Subdirección de Gestión Corporativa.-SGC</t>
  </si>
  <si>
    <t>Prestación de servicios de apoyo técnico en la gestión documental de la Subdirección de Gestión Corporativa de la Unidad-SGC</t>
  </si>
  <si>
    <t xml:space="preserve"> O2320202005040554590 Otros servicios especializados de la construcción </t>
  </si>
  <si>
    <t xml:space="preserve"> O232020200885330 Servicios de limpieza general </t>
  </si>
  <si>
    <t xml:space="preserve"> O232020200883990 Otros servicios profesionales, técnicos y empresariales n.c.p. </t>
  </si>
  <si>
    <t xml:space="preserve"> O23202020088715999 Servicio de mantenimiento y reparación de otros equipos n.c.p. </t>
  </si>
  <si>
    <t xml:space="preserve"> No Aplica </t>
  </si>
  <si>
    <t>Contratar soporte técnico en sitio para el mantenimiento preventivo y correctivo con suministro de repuestos para la infraestructura tecnológica y servicio de mantenimiento correctivo, adecuación e instalación de cableado estructurado de voz, datos y eléctrico con suministro de repuestos para todas las sedesde la UAE Cuerpo Oficial de Bomberos de Bogotá y  SUPERCADES de Bogotá-TIC</t>
  </si>
  <si>
    <t>Contratar los servicios de canales de datos dedicados para la UAE Cuerpo Oficial de Bomberos de Bogotá-TIC</t>
  </si>
  <si>
    <t>Contratar  la suscripción de licencias Suite Adobe para la UAE Cuerpo Oficial de Bomberos de Bogotá-TIC</t>
  </si>
  <si>
    <t>Contratar la renovación de la membresía LACNIC para mantener la disponibilidad del bloque de direcciones IPV6 adquirido por la U.A.E. Cuerpo Oficial de Bomberos de Bogotá</t>
  </si>
  <si>
    <t>81111811;72151600; 43223300;
39131700</t>
  </si>
  <si>
    <t>81112501;43232102;43232103;43231512</t>
  </si>
  <si>
    <t>81112100;81111500</t>
  </si>
  <si>
    <t>(Varios elementos)</t>
  </si>
  <si>
    <t>Versión No. 1 - PLAN DISTRITAL DE DESARROLLO "BOGOTÁ CAMINA SEGURA"</t>
  </si>
  <si>
    <t>Prestar servicios profesionales en la Dirección General para gestionar las  actividades de cooperación técnica internacional y articulación interinstitucional encaminadas a fortalecer e impulsar las metas de la Entidad</t>
  </si>
  <si>
    <t>Prestar servicios profesionales especializados en la Dirección General de la UAECOB en la organización y liderazgo de los asuntos relacionados con cooperación técnica internacional y articulación interinstitucional de conformidad a la misionalidad de la entidad.</t>
  </si>
  <si>
    <t>Prestación de servicios profesionales en asuntos de comunicaciones y prensa para la traducción de textos editoriales que contribuyan al fortalecimiento y gestión de la imagen corporativa de la entidad.</t>
  </si>
  <si>
    <t>Prestar servicios profesionales en la Dirección General para apoyar las actividades de cooperación técnica internacional y articulación interinstitucional de conformidad a la misionalidad de la Entidad</t>
  </si>
  <si>
    <t>Prestar servicios profesionales en asuntos de comunicaciones y prensa para apoyar materia de seguimiento para el cumplimiento de la misionalidad</t>
  </si>
  <si>
    <t>Prestación de servicios de profesionales a la gestión en la Dirección para el acompañamiento en las labores administrativas en asuntos de Comunicaciones y Prensa de la UAECOB</t>
  </si>
  <si>
    <t>Prestar servicios profesionales a la Subdirección de Gestión del Riesgo liderando las actividades del proceso de inspecciones técnicas del Riesgo._SGR</t>
  </si>
  <si>
    <t>Prestar servicios profesionales en las actividades de planeación y gestión de la Subdirección de gestión del Riesgo_SGR</t>
  </si>
  <si>
    <t>Prestar servicios profesionales para el seguimiento de los componentes administrativo, técnico y financiero de la subdireccíon de Gestión del Riesgo. SGR</t>
  </si>
  <si>
    <t>Prestar servicios profesionales para la gestión de la SGR, estructurando el seguimiento de los procesos contractuales y seguimiento de los proyectos de inversión de la UAECOB._SGR</t>
  </si>
  <si>
    <t>prestar servicios profesionales liderando las actividades de caracterización de escenarios y monitoreo de gestión del riesgo.SGR</t>
  </si>
  <si>
    <t>Prestar servicios profesionales liderando las actividades de Programas y Campañas de Prevención para la Subdirección de Gestión del Riesgo._SGR</t>
  </si>
  <si>
    <t xml:space="preserve">SGH - Prestar servicios profesionales en la Subdireccion de Gestion Humana de la UAE Cuerpo Oficial de Bomberos en el proceso de ausentismo, recobro de incapacidades y los subprocesos directamente relacionados </t>
  </si>
  <si>
    <t xml:space="preserve">SGH - Prestar servicios de apoyo a la gestion en la Subdireccion de Gestion Humana de la UAE Cuerpo oficial de Bomberos en el proceso de asusentismos, recobro de incapacidades y los subprocesos directamente relacionados. </t>
  </si>
  <si>
    <t>SGH - Prestar servicios profesionales para apoyar el programa de desórdenes musculoesqueléticos de la UAE Cuerpo Oficial de Bomberos de Bogotá".</t>
  </si>
  <si>
    <t>SGH - Prestar servicios profesionales para la implementación y seguimiento del sistema de gestión de seguridad y salud en el trabajo en la Subdirección de Gestión Humana.</t>
  </si>
  <si>
    <t>SGH - Prestar sus servicios profesionales en la Subdirección de Gestión Humana, en la administración de sistema de seguridad y salud en el trabajo</t>
  </si>
  <si>
    <t>SGH - Prestar servicios profesionales para apoyar en la construcción, revisión y actualización de las políticas, protocolos y procedimientos establecidos para el desarrollo del Talento Humano, con el fin de determinar su eficiencia y cumplimiento de la normatividad vigente para la subdirección de Gestión humana.</t>
  </si>
  <si>
    <t>SGH - Prestar servicios de apoyo  en  la Subdirección de Gestión Humana de la UAE Cuerpo Oficial de Bomberos de Bogotá D.C. en lo relacionado con los procesos de administración y aplicación de los instrumentos archivísticos vigentes en el archivo de gestión de la Subdirección.".</t>
  </si>
  <si>
    <t>SGH - Prestar servicios de apoyo para ejecutar actividades en la gestión de  la Subdirección de Gestión Humana de la UAE Cuerpo Oficial de Bomberos de Bogotá D.C. en lo relacionado con los procesos de actualización, custodia y manejo del archivo de gestión de la Subdirección.</t>
  </si>
  <si>
    <t>SGH-Prestación de servicios profesionales para acompañar a la subdirección de gestión humana en el desarrollo de las actividades encaminadas al diseño de piezas comunicativas que se requieran en el marco de los procesos y procedimientos a cargo de la dependencia.</t>
  </si>
  <si>
    <t>SGH - Prestar servicios profesionales con plena autonomia tecnica y administrativa para acompañar a la Subdireccion de Gestion Humana en la estructuracion y definicion de aspectos juridicos en las etapas precontractuales, contractuales y poscontractuales en el marco de los procesos y procedimientos a cargo de la dependencia</t>
  </si>
  <si>
    <t>SGH-Prestar servicios profesionales para acompañar a la subdirección de gestión humana en el desarrollo de las actividades realizadas en el marco de la actuación del comité de mujer y género</t>
  </si>
  <si>
    <t>SGH - Prestar servicios profesionales para acompañar a la Subdireccion de Gestion Humana en la planeacion, trámite y seguimiento de los aspectos presupuestales, financieros y contractuales a cargo de la dependencia</t>
  </si>
  <si>
    <t xml:space="preserve">
SGH-prestar servicios profesionales para acompañar a la subdirección de gestión humana en la construcción del plan educativo institucional y en los procesos y procedimientos de la escuela de formación bomberil - academia de la unidad administrativa especial-cuerpo oficial bomberos de Bogotá.</t>
  </si>
  <si>
    <t>SGH - Prestar sus servicios profesionales en la Subdirección de Gestión Humana, en los procesos contractuales y demás actividades relacionadas con la Subdirección de Gestión Humana</t>
  </si>
  <si>
    <t>SGH - Apoyar a construir, diseñar, validar y socializar, la propuesta de actualización, ajuste o modificación del modelo de operación por procesos en el marco del proceso de fortalecimiento, a partir del diagnóstico realizado por la UAECOB y realizar la alineación con la estructura propuesta.</t>
  </si>
  <si>
    <t>SGH - Prestar servicios profesionales para realizar una propuesta de reorganización de planta de personal y de manuales específicos de funciones y competencias laborales a partir de los resultados de diagnóstico realizado por la UAECOB y del análisis funcional de los empleos existentes y de las dependencias.</t>
  </si>
  <si>
    <t>SGH - Prestar servicios profesionales especializados para desarrollar actividades jurídicas en atención a los distintos requerimientos de la Subdirección de Gestión Humana.</t>
  </si>
  <si>
    <t>SGH - Prestar servicios profesionales para desarrollar actividades jurídicas en atención a los distintos requerimientos de la Subdirección de Gestión Humana.</t>
  </si>
  <si>
    <t>SGH - Prestar servicios profesionales para desarrollar actividades jurídicas relacionadas con la academia bomberil, recobro de incapacidades y procesos administrativos de la Subdirección de Gestión Humana.</t>
  </si>
  <si>
    <t>SGH - Prestar servicios profesionales en la Subdirección de Gestión Humana, para el fortalecimiento transversal del proceso de Academia.</t>
  </si>
  <si>
    <t>SGH- Prestar servicios profesionales en la Subdirección de Gestión Humana de la UAE Cuerpo Oficial de Bomberos en el proceso de ausentismo, recobro de incapacidades, y los subprocesos directamente relacionados.</t>
  </si>
  <si>
    <t>Prestar servicios apoyo técnico para el desarrollo de los contenidos graficos, piezas comunicativa y de imagen institucional para la Subdirección de Gestión del riesgo._SGR</t>
  </si>
  <si>
    <t>Prestación de servicios profesionales en asuntos de comunicaciones y prensa para detectar las necesidades de la Entidad y facilitar la inserción de nuevas estrategias de comunicación</t>
  </si>
  <si>
    <t>Prestar servicios de apoyo a la gestión en asuntos de comunicaciones y prensa para realizar labores de diseño y diagramación de productos editoriales de la UAECOB</t>
  </si>
  <si>
    <t>Prestar servicios profesionales especializados en el desarrollo de las actividades estrategicas de la Dirección General de la UAE Cuerpo Oficial de Bomberos de Bogotá</t>
  </si>
  <si>
    <t>Prestar los servicios profesionales jurídicos para apoyar las actividades propias de la gestión contractual que adelanta la Oficina Jurídica</t>
  </si>
  <si>
    <t>Prestar los servicios profesionales jurídicos especializados en la Oficina Jurídica que garantice la verificación de la legalidad, en apoyo a cada una de las actuaciones a cargo de esta Oficina.</t>
  </si>
  <si>
    <t>Prestar los servicios profesionales para apoyar las actividades propias de la gestión precontractual, contractual y postcontractual de los diferentes procesos de contratación y aspectos legales que adelanta la Oficina Jurídica, en el marco de las necesidades identificadas por la entidad y para el cumplimiento de la misionalidad propia de esta</t>
  </si>
  <si>
    <t>Prestar servicios profesionales jurídicos para orientar y apoyar los procesos de contratación gestionados por la Oficina Jurídica, en el marco de las actividades propias de la gestión contractual, con el objetivo de garantizar el cumplimiento de las necesidades de la UAECOB.</t>
  </si>
  <si>
    <t>Prestar los servicios profesionales para apoyar las actividades propias de la gestión contractual a cargo de la Oficina Jurídica, en función de las necesidades identificadas por la entidad y con el propósito de garantizar el cumplimiento de su misionalidad.</t>
  </si>
  <si>
    <t>Prestar los servicios de apoyo para las gestiones administrativas requeridas en la Oficina Jurídica.</t>
  </si>
  <si>
    <t>Prestar los servicios profesionales para apoyar la gestión de la información y presupuestal y elaborar los informes reglamentarios que la Oficina Jurídica debe presentar a los entes de control, respuestas a la ciudadanía y otros informes que den cuanta de su gestión.</t>
  </si>
  <si>
    <t>SGH - Prestar servicios profesionales especializados para acompañar a la Subdirección de Gestión Humana en el desarrollo de las actividades relacionadas con el plan de  auditorías internas y externas  que se efectúen a los procesos, procedimientos y contratos a cargo de la dependencia</t>
  </si>
  <si>
    <t>SGH- Prestar servicios profesionales para apoyar en el seguimiento de indicadores, coordinar, controlar y ejercer seguimiento al desarrollo de actividades de manera transversal en los procesos a cargo de la Subdirección de Gestión Humana de la UAE Cuerpo Oficial de Bomberos de Bogotá D.C.</t>
  </si>
  <si>
    <t>SGH - Prestar servicios profesionales a la Subdirección de Gestión Humana para el fortalecimiento y seguimiento del proceso de la escuela de formación bomberil y su relacionamiento con el sistema de seguridad y salud en el trabajo</t>
  </si>
  <si>
    <t>SGH prestar servicios profesionales para acompañar a la Subdirección de Gestión Humana en el desarrollo de las actividades relacionadas con el seguimiento a la ejecución presupuestal en el marco de los procesos, procedimientos y contratos a cargo de la dependencia</t>
  </si>
  <si>
    <t>Prestar servicios profesionales en la Dirección General para apoyar las actividades de cooperación técnica Internacional, seguimientos estrategicos y articulación interinstitucional de conformidad a la misionalidad de la entidad.</t>
  </si>
  <si>
    <t>Prestar los servicios profesionales jurídicos especializados para orientar y apoyar los procesos de contratación en sus diferentes etapas adelantados por la Oficina Jurídica, tendientes a garantizar las necesidades propias de la UAECOB</t>
  </si>
  <si>
    <t>Contratar los seguros de casco aviación aeronaves no tri-puladas (drones)de propiedad y de aquellos por los cuales es legalmente responsable a Unidad Administrativa Especial del Cuerpo Oficial de Bomberos de Bogotá-SGC</t>
  </si>
  <si>
    <t>Adición No. 2  Prórroga No.1 al contrato 301 de 2024 cuyto objeto es "Suministro de materiales, equipos y herramientas para el mejoramiento integral de las instalaciones de la UAE Cuerpo Oficial de Bomberos -SGC</t>
  </si>
  <si>
    <t>Prestar los servicios profesionales para el acompañamiento y seguimiento de los planes y proyectos del area de inventarios de la Subdireccion de Gestión Corporativa-SGC</t>
  </si>
  <si>
    <t>23271800;26111700;26121500;26121600;27111800;27111900;27112000;27112100;27112800</t>
  </si>
  <si>
    <t>Prestar servicios profesionales para realizar acompañamiento juridico en la elaboración de los procesos contractuales adelantados por la Subdirección Gestión Corporativa -SGC</t>
  </si>
  <si>
    <t>Prestación de servicios profesionales para la implementación, consolidación, seguimiento y reporte de los lineamientos ambientales establecidos en el Programa de Información y Gestión Ambiental (PIGA) en cada una de las sedes de la UAE Cuerpo Oficial de Bomberos Bogotá-SGC.</t>
  </si>
  <si>
    <t>Prestación de servicios profesionales para la implementación, consolidación, seguimiento y reporte de los lineamientos ambientales en cada una de las sedes de la entidad, con énfasis en los equipos de trabajo de la Subdirección de Gestión Corporativa (SGC), incluyendo el desarrollo y ejecución del programa PIGA de comunicación, formación y sensibilización ambiental</t>
  </si>
  <si>
    <t>Prestación de servicios profesionales para la implementación, seguimiento y reporte de los lineamientos ambientales en las sedes de la entidad, con énfasis en los equipos de la Subdirección de Gestión Corporativa (SGC), incluyendo el desarrollo y ejecución del programa de consumo sostenible, promoviendo prácticas responsables en el uso de recursos y su optimización.</t>
  </si>
  <si>
    <t>47111502;
47111503;
73151802;
73152100;</t>
  </si>
  <si>
    <t>72151800;
72151502;
72151505;
73152108;</t>
  </si>
  <si>
    <t>40102000;
72121400;
72101500;
72151700;
73152100;
95121700;</t>
  </si>
  <si>
    <t>Prestación de servicios profesionales para apoyar a la supervisión con las actividades técnicas del Área de Infraestructura de la Subdirección de Gestión Corporativa-SGC</t>
  </si>
  <si>
    <t>Prestación de servicios profesionales para apoyar las actividades de estructuración de procesos contractuales del Área de Infraestructura de la Subdirección de Gestión Corporativa-SGC</t>
  </si>
  <si>
    <t>Prestar servicios profesionales especializados para acompañar jurídicamente los procesos y procedimientos del área de infraestructura de la Subdirección de Gestión Corporativa. SGC</t>
  </si>
  <si>
    <t>72101506;
72154010;</t>
  </si>
  <si>
    <t>81141503;
81141804;</t>
  </si>
  <si>
    <t>49201501;49201503;
49201516; 49201603;
 49201605; 49201611; 
 72151800;</t>
  </si>
  <si>
    <t>30191502;</t>
  </si>
  <si>
    <t>Prestación de servicios profesionales especializados para apoyar las actividades de seguimiento técnico del Área de Infraestructura de la Subdirección de Gestión Corporativa-SGC</t>
  </si>
  <si>
    <t>Prestación de servicios profesionales para apoyar las actividades jurídicas de la Subdirección de Gestión Corporativa-SGC</t>
  </si>
  <si>
    <t>Adición No 1. al contrato 244 de 2024 que tiene como objeto "Seleccionar propuesta para contratar con una o varias compañías de seguros legalmente autorizadas para funcionar en el país, los seguros patrimoniales, generales, de aviación y personas requeridos para la adecuada protección de los bienes e intereses patrimoniales de la Unidad Administrativa Especial Cuerpo Oficial Bomberos Bogotá, así como de aquellos por los que sea o fuere legalmente responsable o le corresponda asegurar en virtud de disposición legal o contractual-SGC</t>
  </si>
  <si>
    <t>Prestar servicios profesionales para realizar las actividdaes relacionadas con la emision de conceptos a cargo de la Subdirección de Gestión del Riesgo._SGR</t>
  </si>
  <si>
    <t>Adición al contrato No. 092 - 2024 cuyo objeto es: prestar el servicio de mantenimiento preventivo y correctivo de las motobombas forestales fox propiedad de la UAECOB, incluido el suministro de repuestos, insumos y mano de obra especializada.SBLG</t>
  </si>
  <si>
    <t>Prestarr servicios de apoyo a la gestión en las actividades de soporte operacional de la UAECOB Subdirección Logística. SBLG</t>
  </si>
  <si>
    <t>39121321;31162800;39121700; 31162300</t>
  </si>
  <si>
    <t>Prestación de servicios de apoyo a la gestión en el proceso de mantenimiento del equipo menor a cargo de la Subdirección Logística -SBLG.</t>
  </si>
  <si>
    <t xml:space="preserve">Prestación de servicios profesionales en la gestión contractual y administrativa de la subdirección Logística- SBLG, de acuerdo con los lineamientos internos de la UAECOB. </t>
  </si>
  <si>
    <t>Prestación de servicios profesionales para el control y seguimiento de las actividades derivadas de la gestión jurídica y contractual de la Subdirección Logística. SBLG.</t>
  </si>
  <si>
    <t>Prestar servicios de apoyo a la gestión en actividades administrativas y documentales que se desarrollen en la Subdirección Logística – SBLG.</t>
  </si>
  <si>
    <t xml:space="preserve">Prestación de servicios profesionales para apoyar la gestión financiera y presupuestal de los proyectos y planes a cargo de la Subdirección Logística - SBLG. </t>
  </si>
  <si>
    <t>Prestar servicios de apoyo a la gestión en asuntos administrativos y contractuales, seguimiento a plataforma SECOP II y archivo contractual de la Subdirección Logística - SBLG</t>
  </si>
  <si>
    <t>Prestar servicios profesionales en la formulación e implementación de estrategias de comunicación, capacitación y gestión administrativa que promueva el uso y apropiación de los programas desarrollados en cada una de las lineas de la  Subdirección Logística - SBLG</t>
  </si>
  <si>
    <t>Prestar servicios profesionales en la definición y gestión de procedimientos, lineamientos ambientales y de SST de los procesos, así como del sistema de Gestión de Calidad en la Subdirección Logística  – SBGL</t>
  </si>
  <si>
    <t>Prestar servicios profesionales para la gestión del Plan Estratégico de Seguridad Vial (PESV), participación en el comité correspondiente y el desarrollo de programas y actividades asignadas a la Subdirección Logística SBLG.</t>
  </si>
  <si>
    <t>Prestación de servicios profesionales, para apoyar la política de Compras y Contratación Pública, en la elaboración, tramite e impulso de los procesos de contratación en sus diferentes etapas a cargo de la Subdirección Logística - SBLG.</t>
  </si>
  <si>
    <t xml:space="preserve">Prestar servicios profesionales para apoyar en los diferentes procesos de planeación,  administrativos e inventario de la Subdirección Logística – SBLG. </t>
  </si>
  <si>
    <t>Prestar  servicios de apoyo a la gestión en
actividades Técnicas, administrativas y documentales de la
Subdirección Logística - SBLG</t>
  </si>
  <si>
    <t>Prestar servicios de apoyo a la gestión de los suministros y consumibles realizando el seguimiento, control y trámites necesarios para la oportuna disponibilidad en la atención de emergencias  -SBLG.</t>
  </si>
  <si>
    <t>Prestar servicio de apoyo a la gestión para asistir a la Subdirección Logística en el seguimiento técnico y administrativo del mantenimiento de los vehículos del parque automotor de la UAECOB - SBLG</t>
  </si>
  <si>
    <t>Prestación de servicio como conductor para apoyar en la gestión administrativa y logística de la Subdirección Logistica- SBLG.</t>
  </si>
  <si>
    <t>Prestación de servicios profesionales para la gestión, seguimiento y control administrativo, técnico y operativo del proceso de mantenimiento del parque automotor a cargo de la Subdirección Logística - SBLG.</t>
  </si>
  <si>
    <t>Prestación de servicios de apoyo a la gestión en la recepción, trámite, gestión y resolución de todas las incidencias o solicitudes reportadas a través de la herramienta de la mesa logística de la Subdirección Logística de la UAECOB. – SBLG.</t>
  </si>
  <si>
    <t>Prestación de servicios profesionales en el control legal de los procesos y acciones, especialmente la gestión contractual requerida por la Subdirección Logística - SBLG</t>
  </si>
  <si>
    <t>Prestar servicios profesionales para el seguimiento y control logístico en la cadena de suministros e insumos en la atención de emergencias garantizando la entrega de los bienes y servicios de la Subdirección Logística. SBLG</t>
  </si>
  <si>
    <t>Prestación de servicios profesionales para la gestión, seguimiento y control administrativo, técnico y operativo del equipo menor a cargo de la Subdirección Logística (SBLG).</t>
  </si>
  <si>
    <t>Prestación de servicios profesionales en la gestión, seguimiento y control administrativo, financiero y contractual del proceso de mantenimiento del parque automotor a cargo de la Subdirección Logística - SBLG.</t>
  </si>
  <si>
    <t>Prestar servicios de apoyo a la gestión para la organización, clasificación, foliación, digitalización e indexación de documentos de la Subdirección Logística - SBLG</t>
  </si>
  <si>
    <t>Prestación de servicios profesionales para la gestión administrativa de las herramientas tecnológicas de la Subdirección Logística asociados a la mesa logística - SBLG</t>
  </si>
  <si>
    <t>Prestación de servicios profesionales para apoyar las actividades relacionadas con el seguimiento y control administrativo, financiero y contractual del proceso de mantenimiento del parque automotor a cargo de la Subdirección Logística - SBLG.</t>
  </si>
  <si>
    <t xml:space="preserve">Prestar servicios de apoyo a la gestión para realizar seguimiento y control en el analisis de datos de los diferentes aplicativos tecnologicos de la Subdirección Logistica. SBLG </t>
  </si>
  <si>
    <t xml:space="preserve">Prestar servicios profesionales para acompañar en el diseño, implementación, reporte y monitoreo de los diferentes planes, programas, proyectos administrativos y financieros de la Subdirección Logística- SBLG </t>
  </si>
  <si>
    <t>Prestar servicios profesionales en la gestión, seguimiento y control administrativo, financiero y contractual la línea de insumos y suministros, para la operación durante las emergencias, eventos y capacitaciones  a cargo de la Subdirección Logística - SBLG.</t>
  </si>
  <si>
    <t>Prestar servicios de apoyo en la gestión documental, física y digital, administrando y diligenciando las bases de datos, y demás documentos a cargo de la Subdirección logística. -SBLG.</t>
  </si>
  <si>
    <t>Prestación de servicios profesionales en la proyección y seguimiento de las etapas precontractual, contractual y postcontractual que desarrolle la Subdirección Logística en el ámbito de su competencia.- SBLG</t>
  </si>
  <si>
    <t xml:space="preserve">Prestar servicios profesionales para realizar seguimiento y control de los diferentes procesos administrativos a cargo de la Subdirección Logística - SBLG. </t>
  </si>
  <si>
    <t>Prestación de servicios profesionales para realizar el seguimiento y monitoreo a los diferentes procesos y procedimientos del equipo menor a cargo de la Subdirección Logística - SBLG</t>
  </si>
  <si>
    <t>Prestar servicios profesionales en las actividades administrativas y financieras que requieran los procesos de la Subdirección Logística- SBLG</t>
  </si>
  <si>
    <t>Prestar los servicios profesionales para la gestión, financiera de los proyectos y procesos de la Subdirección - SBLG.</t>
  </si>
  <si>
    <t xml:space="preserve">Prestar servicios profesionales para el seguimiento y gestión de las actividades establecidas en los planes de acción y estratégicos; así como, de los procesos de planeación y administrativos propios de Subdirección Logística - SBLG. </t>
  </si>
  <si>
    <t>Prestación de servicios profesionales técnicos y administrativos en el seguimiento y control en los diferentes procesos y procedimiemtos incluyendo el sistema de Gestión ambiental de la Subdirección Logística . -SBGL</t>
  </si>
  <si>
    <t>Brindar servicios de apoyo en la gestión administrativa y documental de los procesos contractuales relacionados con el mantenimiento del parque automotor a cargo de la Subdirección Logística -SBLG.</t>
  </si>
  <si>
    <t xml:space="preserve">Prestación de servicios profesionales a la gestión administrativa, financiera y documental para la atención del cuerpo uniformado a cargo de la Subdirección - SBGL. </t>
  </si>
  <si>
    <t>Prestación de servicios profesionales para gestionar las solicitudes y requerimientos recibidos por las herramientas tecnológicas de la Subdirección Logística - SBLG</t>
  </si>
  <si>
    <t>Suministro de herramientas especializadas, equipos, accesorios y otros elementos de ferretería para garantizar la preparación y atención de emergencias de la U.A.E. Cuerpo Oficial de Bomberos de Bogotá – SBLG.</t>
  </si>
  <si>
    <t>Contratar servicio de integración, compatibilidad y puesta en funcionamiento de los dispositivos pistolas de toma físico de inventarios al sistema de control y registros inventarios de la U.A.E. Cuerpo Oficial de Bomberos de Bogotá - TIC"</t>
  </si>
  <si>
    <t>Contratar la adquisición de pantallas interactivas y televisores para el fortalecimiento de la infraestructura tecnológica para el desarrollo de la gestión misional y administrativa general de la UAE Cuerpo Oficial de Bomberos de Bogotá.</t>
  </si>
  <si>
    <t>Prestar los servicios profesionales al área de Tecnologías de la Información y las Comunicaciones de la U.A.E. Cuerpo Oficial de Bomberos Bogotá, para desarrollar actividades administrativas en todos los niveles relacionados con los servicios tecnológicos del Edificio Comando, Estaciones y Supercades, de la Entidad.</t>
  </si>
  <si>
    <t>Contratar la prestación del servicio de Intenet satelital para la U.A.E. Cuerpo Oficial de Bomberos de Bogotá - TIC</t>
  </si>
  <si>
    <t>Prestar los servicios de mantenimiento, soporte técnico, mejoras y actualizaciones de Aranda utilizado por la UEACOB</t>
  </si>
  <si>
    <t xml:space="preserve">Prestar servicios profesionales especializados en el área de Tecnologías de la Información y las Comunicaciones de la U.A.E. Cuerpo Oficial de Bomberos Bogotá, para realizar el seguimiento, gestión y fortalecimiento de los procesos, procedimientos, contratos y proyectos tecnológicos a cargo de esta área. </t>
  </si>
  <si>
    <t>Prestar los servicios profesionales en el área de Tecnologías de la Información y las Comunicaciones de la U.A.E. Cuerpo Oficial de Bomberos Bogotá para apoyar en el seguimiento y control del presupuesto asociado a los procesos, procedimientos y contratos a cargo de esta dependencia.</t>
  </si>
  <si>
    <t>Prestar los servicios profesionales en el área de Tecnologías de la Información y las Comunicaciones de la U.A.E. Cuerpo Oficial de Bomberos Bogotá, apoyando en la gestión jurídica y contractual en todas sus etapas de los procesos, procedimientos y contratos a cargo de esta área.</t>
  </si>
  <si>
    <t>Prestar los servicios profesionales en el área de Tecnologías de la Información y las Comunicaciones de la U.A.E. Cuerpo Oficial de Bomberos Bogotá, para administrar y gestionar la seguridad perimetral y privacidad de la información en el marco de la infraestructura tecnológica y de comunicaciones, utilizada por la entidad.</t>
  </si>
  <si>
    <t>Prestar los servicios profesionales en el área de Tecnologías de la Información y las Comunicaciones de la U.A.E. Cuerpo Oficial de Bomberos Bogotá, apoyando la administración y gestión de la infraestructura tecnológica de servidores, servicios de nube y componentes relacionados, con los que cuenta la entidad.</t>
  </si>
  <si>
    <t xml:space="preserve">Prestar los servicios profesionales en el área de Tecnologías de la Información y las Comunicaciones de la U.A.E. Cuerpo Oficial de Bomberos Bogotá, gestionando y administrando los sistemas de información y aplicativos tecnológicos, con los que cuenta la entidad. </t>
  </si>
  <si>
    <t>Prestar los servicios profesionales en el área de Tecnologías de la Información y las Comunicaciones de la U.A.E. Cuerpo Oficial de Bomberos Bogotá, para apoyar la implementación, seguimiento y control del Sistema de Gestión de Seguridad de la Información - SGSI y Gobierno Digital, así como realizar el seguimiento, reporte y monitoreo a los planes y procedimientos institucionales asociados a las TIC´s.</t>
  </si>
  <si>
    <t>Prestar los servicios profesionales en el área de Tecnologías de la Información y las Comunicaciones de la U.A.E. Cuerpo Oficial de Bomberos Bogotá, desarrollando las actividades administrativas y financieras relacionadas con la gestión contractual y poscontractual asociadas a los procesos, procedimientos y funciones a cargo de esta área.</t>
  </si>
  <si>
    <t>Prestar los servicios profesionales en la administración, actualización, desarrollo y mantenimiento del Sistema Integrado de Administración de Personal - SIAP para la U.A.E. Cuerpo Oficial de Bomberos Bogotá.</t>
  </si>
  <si>
    <t xml:space="preserve">Prestar los servicios profesionales en el área de Tecnologías de la Información y las Comunicaciones de la U.A.E. Cuerpo Oficial de Bomberos Bogotá, en la administración, seguimiento, monitoreo y gestión de los sitios web institucionales de la entidad. </t>
  </si>
  <si>
    <t>Prestar los servicios de apoyo a la gestión al área de Tecnologías de la Información y las Comunicaciones de la U.A.E. Cuerpo Oficial de Bomberos Bogotá, para el apoyo en la creación de productos audiovisuales y generación de contenidos digitales en la entidad.</t>
  </si>
  <si>
    <t>Prestar servicios de apoyo a la gestión al área de Tecnologías de la Información y las Comunicaciones de la U.A.E. Cuerpo Oficial de Bomberos Bogotá, en el desarrollo de actividades administrativas, asistenciales y de gestión documental, asociadas a los procesos, procedimientos y contratos a cargo de esta área.</t>
  </si>
  <si>
    <t>Prestar los servicios de apoyo a la gestión al área de Tecnologías de la Información y las Comunicaciones de la U.A.E. Cuerpo Oficial de Bomberos Bogotá, para adelantar actividades administrativas y técnicas en el soporte técnico nivel (1 y 2) para los servicios tecnológicos de la Entidad.</t>
  </si>
  <si>
    <t>Prestar los servicios de apoyo a la gestión al área de Tecnologías de la Información y las Comunicaciones de la U.A.E. Cuerpo Oficial de Bomberos Bogotá, para adelantar actividades administrativas y técnicas en el soporte técnico y de infraestructura tecnológica con la que cuenta la Entidad.</t>
  </si>
  <si>
    <t>Prestar los servicios profesionales al área de Tecnologías de la Información y las Comunicaciones de la U.A.E. Cuerpo Oficial de Bomberos Bogotá, para desarrollar actividades administrativas y de soporte técnico en todos los niveles relacionados con los servicios tecnológicos del Edificio Comando, Estaciones y Supercades, donde la entidad presta sus servicios.</t>
  </si>
  <si>
    <t>Prestar los servicios profesionales al área de Tecnologías de la Información y las Comunicaciones de la U.A.E. Cuerpo Oficial de Bomberos Bogotá, para gestionar y brindar el soporte técnico de las herramientas tecnológicas desarrolladas en el marco de las funciones de las diferentes áreas y dependencias de la entidad.</t>
  </si>
  <si>
    <t>Prestar los servicios profesionales al área de Tecnologías de la Información y las Comunicaciones de la U.A.E. Cuerpo Oficial de Bomberos Bogotá, en el apoyo y acompañamiento técnico para realizar el levantamiento de requerimientos y necesidades de las diferentes áreas y dependencias de la entidad.</t>
  </si>
  <si>
    <t>Prestar los servicios profesionales al área de Tecnologías de la Información y las Comunicaciones de la U.A.E. Cuerpo Oficial de Bomberos Bogotá, realizando las actividades propias del oficial de seguridad de la infraestructura tecnológica de la entidad.</t>
  </si>
  <si>
    <t>Prestar los servicios profesionales al área de Tecnologías de la Información y las Comunicaciones de la U.A.E. Cuerpo Oficial de Bomberos Bogotá en el seguimiento, desarrollo y mejoramiento de las herramientas tecnológicas de colaboración, creadas como soporte a los procesos misionales de la entidad.</t>
  </si>
  <si>
    <t>Prestar los servicios de apoyo a la gestión al área de Tecnologías de la Información y las Comunicaciones de la U.A.E. Cuerpo Oficial de Bomberos Bogotá, en el proceso de análisis, levantamiento de información, parametrización y testeo de las herramientas tecnológicas de colaboración creadas como soporte a los procesos misionales de la entidad.</t>
  </si>
  <si>
    <t>Prestar los servicios de apoyo a la gestión al área de Tecnologías de la Información y las Comunicaciones de la U.A.E. Cuerpo Oficial de Bomberos Bogotá para el levantamiento de requerimientos, documentación, soporte de análisis de datos y publicación de información relacionadas con los procesos, procedimientos y funciones a cargo de esta área.</t>
  </si>
  <si>
    <t>Prestar servicios asistenciales al área de Tecnologías de la Información y las Comunicaciones de la U.A.E. Cuerpo Oficial de Bomberos Bogotá, para la gestión y desarrollo de actividades administrativas en los procesos que adelanta el área.</t>
  </si>
  <si>
    <t xml:space="preserve">Prestar los servicios profesionales al área de Tecnologías de la Información y las Comunicaciones de la U.A.E. Cuerpo Oficial de Bomberos Bogotá, en los procesos de análisis, revisión de las necesidades y apoyo en las fases iniciales de creación de herramientas tecnológicas implementadas o que se requieran para el funcionamiento y desarrollo de las funciones de las diferentes áreas y dependencias de la entidad. </t>
  </si>
  <si>
    <t xml:space="preserve">Prestar los servicios profesionales al área de Tecnologías de la Información y las Comunicaciones de la U.A.E. Cuerpo Oficial de Bomberos Bogotá, en la estructuración y definición de aspectos jurídicos en las etapas precontractuales, contractuales y postcontractuales en el marco de los procesos y procedimientos a cargo del área. </t>
  </si>
  <si>
    <t>Prestar los servicios profesionales al área de Tecnologías de la Información y las Comunicaciones de la U.A.E. Cuerpo Oficial de Bomberos Bogotá, en la sustanciación, revisión y trámite de los procesos contractuales y gestión jurídica de los procedimientos a cargo del área.</t>
  </si>
  <si>
    <t>Adquisición, instalación, funcionamiento y puesta en marcha de una plataforma tecnológica, para el servicio de telefonía de voz  IP para La U.A.E. Cuerpo Oficial de Bomberos de Bogotá - TICs</t>
  </si>
  <si>
    <t xml:space="preserve">83121700; 83111600; 43221700; 25173100;  81112000; 32101600 </t>
  </si>
  <si>
    <t>Contratar la adquision, actualizacion tecnológica, soporte y mantenimiento preventivo y correctivo con repuestos, para los sistemas de video vigilancia de la U.A.E. Cuerpo Oficial de Bomberos de Bogotá - TIC.</t>
  </si>
  <si>
    <t>Contratar la adquisicion, modernizacion y mantenimiento preventivo y correctivo de UPS,  aires acondicionados con suministro de repuestos, para todas las sedes de la U.A.E. Cuerpo Oficial de Bomberos de Bogotá - TIC.</t>
  </si>
  <si>
    <t>72151500; 72101500; 731521000; 39121600; 39121000; 72151500; 72101500; 73152100.</t>
  </si>
  <si>
    <t xml:space="preserve">Contratar la adquisición de tarjetas de comunicación satelital de voz, para la U.A.E. Cuerpo Oficial de Bomberos de Bogotá. </t>
  </si>
  <si>
    <t>Contratar la adquisición de equipo, software e insumos para la generación de carnets, para la U.A.E. Cuerpo Oficial de Bomberos de Bogotá.</t>
  </si>
  <si>
    <t>Contratar la adquisición de antenas y servicio de internet satelital, para la U.A.E. Cuerpo Oficial de Bomberos de Bogotá.</t>
  </si>
  <si>
    <t>Contratar la adquisición de los equipos activos de red como parte de la renovación, de la infraestructura tecnológica de la U.A.E. Cuerpo Oficial de Bomberos de Bogotá.</t>
  </si>
  <si>
    <t>43201800; 43222600</t>
  </si>
  <si>
    <t>Contratar la renovación de garantía y soporte de fabrica de los equipos activos que hacen parte de la infraestructura tecnológica de la U.A.E. Cuerpo Oficial de Bomberos de Bogotá.</t>
  </si>
  <si>
    <t xml:space="preserve"> Contratar un sistema de control de ingreso perimetral, exterior e interior que hacen parte de la infraestructura de la U.A.E. Cuerpo Oficial de Bomberos de Bogotá.</t>
  </si>
  <si>
    <t>Adquisición de Radios, para las comunicaciones de la U.A.E. Cuerpo Oficial de Bomberos de Bogotá.</t>
  </si>
  <si>
    <t>Contratar el servicio de actualización de la página web de la U.A.E. Cuerpo Oficial de Bomberos de Bogotá.</t>
  </si>
  <si>
    <t>Prestación de servicios para apoyar  la gestión administrativa, documental y según lo requerido  en la estación de bomberos asignada, a cargo de la Subdirección Operativa  S.O.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</si>
</sst>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 #,##0.00_-;\-&quot;$&quot;\ * #,##0.00_-;_-&quot;$&quot;\ * &quot;-&quot;??_-;_-@_-"/>
    <numFmt numFmtId="43" formatCode="_-* #,##0.00_-;\-* #,##0.00_-;_-* &quot;-&quot;??_-;_-@_-"/>
    <numFmt numFmtId="164" formatCode="d/mm/yyyy;@"/>
    <numFmt numFmtId="165" formatCode="_-* #,##0_-;\-* #,##0_-;_-* &quot;-&quot;??_-;_-@_-"/>
    <numFmt numFmtId="166" formatCode="_-&quot;$&quot;\ * #,##0_-;\-&quot;$&quot;\ * #,##0_-;_-&quot;$&quot;\ * &quot;-&quot;??_-;_-@_-"/>
  </numFmts>
  <fonts count="19" x14ac:knownFonts="1">
    <font>
      <sz val="11"/>
      <color theme="1"/>
      <name val="Calibri"/>
      <family val="2"/>
      <scheme val="minor"/>
    </font>
    <font>
      <sz val="10"/>
      <name val="Arial"/>
      <family val="2"/>
    </font>
    <font>
      <b/>
      <sz val="11"/>
      <name val="Open Sans"/>
      <family val="2"/>
    </font>
    <font>
      <sz val="11"/>
      <name val="Tahoma"/>
      <family val="2"/>
    </font>
    <font>
      <b/>
      <sz val="11"/>
      <name val="Tahoma"/>
      <family val="2"/>
    </font>
    <font>
      <b/>
      <sz val="14"/>
      <name val="Tahoma"/>
      <family val="2"/>
    </font>
    <font>
      <sz val="11"/>
      <color theme="1"/>
      <name val="Calibri"/>
      <family val="2"/>
      <scheme val="minor"/>
    </font>
    <font>
      <b/>
      <sz val="11"/>
      <color theme="1"/>
      <name val="Calibri"/>
      <family val="2"/>
      <scheme val="minor"/>
    </font>
    <font>
      <b/>
      <i/>
      <sz val="11"/>
      <color theme="1"/>
      <name val="Calibri"/>
      <family val="2"/>
      <scheme val="minor"/>
    </font>
    <font>
      <sz val="12"/>
      <color theme="1"/>
      <name val="Tahoma"/>
      <family val="2"/>
    </font>
    <font>
      <sz val="11"/>
      <color theme="1"/>
      <name val="Open Sans"/>
      <family val="2"/>
    </font>
    <font>
      <b/>
      <sz val="12"/>
      <color theme="1"/>
      <name val="Tahoma"/>
      <family val="2"/>
    </font>
    <font>
      <b/>
      <sz val="11"/>
      <color theme="1"/>
      <name val="Open Sans"/>
      <family val="2"/>
    </font>
    <font>
      <b/>
      <sz val="11"/>
      <color theme="5" tint="-0.499984740745262"/>
      <name val="Tahoma"/>
      <family val="2"/>
    </font>
    <font>
      <sz val="11"/>
      <color theme="1"/>
      <name val="Tahoma"/>
      <family val="2"/>
    </font>
    <font>
      <sz val="11"/>
      <color rgb="FFFF0000"/>
      <name val="Tahoma"/>
      <family val="2"/>
    </font>
    <font>
      <b/>
      <sz val="11"/>
      <color theme="1"/>
      <name val="Tahoma"/>
      <family val="2"/>
    </font>
    <font>
      <b/>
      <sz val="11"/>
      <color rgb="FFFF0000"/>
      <name val="Tahoma"/>
      <family val="2"/>
    </font>
    <font>
      <sz val="11"/>
      <name val="Tahoma"/>
      <family val="2"/>
    </font>
  </fonts>
  <fills count="9">
    <fill>
      <patternFill patternType="none"/>
    </fill>
    <fill>
      <patternFill patternType="gray125"/>
    </fill>
    <fill>
      <patternFill patternType="solid">
        <fgColor theme="7" tint="0.59999389629810485"/>
        <bgColor indexed="64"/>
      </patternFill>
    </fill>
    <fill>
      <patternFill patternType="solid">
        <fgColor rgb="FFCCECFF"/>
        <bgColor indexed="64"/>
      </patternFill>
    </fill>
    <fill>
      <patternFill patternType="solid">
        <fgColor theme="5" tint="0.59999389629810485"/>
        <bgColor indexed="64"/>
      </patternFill>
    </fill>
    <fill>
      <patternFill patternType="solid">
        <fgColor rgb="FFFFFF00"/>
        <bgColor indexed="64"/>
      </patternFill>
    </fill>
    <fill>
      <patternFill patternType="solid">
        <fgColor theme="5" tint="0.39997558519241921"/>
        <bgColor indexed="64"/>
      </patternFill>
    </fill>
    <fill>
      <patternFill patternType="solid">
        <fgColor theme="9" tint="0.79998168889431442"/>
        <bgColor indexed="64"/>
      </patternFill>
    </fill>
    <fill>
      <patternFill patternType="solid">
        <fgColor rgb="FFCCFF99"/>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s>
  <cellStyleXfs count="7">
    <xf numFmtId="0" fontId="0" fillId="0" borderId="0"/>
    <xf numFmtId="4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0" fontId="1" fillId="0" borderId="0"/>
    <xf numFmtId="0" fontId="1" fillId="0" borderId="0"/>
  </cellStyleXfs>
  <cellXfs count="227">
    <xf numFmtId="0" fontId="0" fillId="0" borderId="0" xfId="0"/>
    <xf numFmtId="0" fontId="0" fillId="0" borderId="1" xfId="0" applyBorder="1" applyAlignment="1">
      <alignment horizontal="center"/>
    </xf>
    <xf numFmtId="0" fontId="0" fillId="0" borderId="1" xfId="0" applyBorder="1"/>
    <xf numFmtId="0" fontId="0" fillId="0" borderId="1" xfId="0" applyBorder="1" applyAlignment="1">
      <alignment horizontal="left"/>
    </xf>
    <xf numFmtId="165" fontId="6" fillId="0" borderId="1" xfId="2" applyNumberFormat="1" applyFont="1" applyBorder="1"/>
    <xf numFmtId="43" fontId="6" fillId="0" borderId="0" xfId="2" applyFont="1"/>
    <xf numFmtId="43" fontId="6" fillId="0" borderId="1" xfId="2" applyFont="1" applyBorder="1"/>
    <xf numFmtId="43" fontId="7" fillId="0" borderId="1" xfId="2" applyFont="1" applyBorder="1"/>
    <xf numFmtId="165" fontId="7" fillId="0" borderId="1" xfId="2" applyNumberFormat="1" applyFont="1" applyBorder="1"/>
    <xf numFmtId="0" fontId="7" fillId="0" borderId="1" xfId="0" applyFont="1" applyBorder="1" applyAlignment="1">
      <alignment horizontal="center"/>
    </xf>
    <xf numFmtId="0" fontId="0" fillId="0" borderId="0" xfId="0" applyAlignment="1">
      <alignment horizontal="center"/>
    </xf>
    <xf numFmtId="1" fontId="7" fillId="0" borderId="1" xfId="2" applyNumberFormat="1" applyFont="1" applyBorder="1" applyAlignment="1">
      <alignment horizontal="center"/>
    </xf>
    <xf numFmtId="43" fontId="7" fillId="0" borderId="0" xfId="2" applyFont="1"/>
    <xf numFmtId="43" fontId="7" fillId="0" borderId="1" xfId="2" applyFont="1" applyBorder="1" applyAlignment="1">
      <alignment horizontal="center"/>
    </xf>
    <xf numFmtId="43" fontId="8" fillId="0" borderId="0" xfId="2" applyFont="1" applyAlignment="1"/>
    <xf numFmtId="0" fontId="9" fillId="0" borderId="0" xfId="0" applyFont="1"/>
    <xf numFmtId="0" fontId="9" fillId="0" borderId="0" xfId="0" applyFont="1" applyAlignment="1">
      <alignment horizontal="center"/>
    </xf>
    <xf numFmtId="0" fontId="9" fillId="0" borderId="0" xfId="0" applyFont="1" applyAlignment="1">
      <alignment horizontal="left"/>
    </xf>
    <xf numFmtId="0" fontId="2" fillId="0" borderId="1" xfId="0" applyFont="1" applyBorder="1" applyAlignment="1">
      <alignment horizontal="center" vertical="center" wrapText="1"/>
    </xf>
    <xf numFmtId="0" fontId="2" fillId="0" borderId="1" xfId="5" applyFont="1" applyBorder="1" applyAlignment="1">
      <alignment horizontal="center" vertical="center" wrapText="1"/>
    </xf>
    <xf numFmtId="0" fontId="2" fillId="0" borderId="0" xfId="0" applyFont="1" applyAlignment="1">
      <alignment horizontal="center" vertical="center" wrapText="1"/>
    </xf>
    <xf numFmtId="0" fontId="11" fillId="0" borderId="0" xfId="0" applyFont="1"/>
    <xf numFmtId="0" fontId="0" fillId="0" borderId="0" xfId="0" applyAlignment="1">
      <alignment vertical="center"/>
    </xf>
    <xf numFmtId="0" fontId="10"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vertical="center"/>
    </xf>
    <xf numFmtId="0" fontId="3" fillId="0" borderId="0" xfId="0" applyFont="1" applyAlignment="1" applyProtection="1">
      <alignment horizontal="center" vertical="center" wrapText="1"/>
      <protection locked="0"/>
    </xf>
    <xf numFmtId="37" fontId="4" fillId="0" borderId="0" xfId="0" applyNumberFormat="1" applyFont="1" applyAlignment="1" applyProtection="1">
      <alignment vertical="center" wrapText="1"/>
      <protection locked="0"/>
    </xf>
    <xf numFmtId="0" fontId="3" fillId="0" borderId="0" xfId="0" applyFont="1" applyAlignment="1" applyProtection="1">
      <alignment vertical="center" wrapText="1"/>
      <protection locked="0"/>
    </xf>
    <xf numFmtId="37" fontId="4" fillId="0" borderId="0" xfId="0" applyNumberFormat="1" applyFont="1" applyAlignment="1">
      <alignment vertical="center" wrapText="1"/>
    </xf>
    <xf numFmtId="0" fontId="3" fillId="0" borderId="0" xfId="0" applyFont="1" applyAlignment="1">
      <alignment vertical="center" wrapText="1"/>
    </xf>
    <xf numFmtId="0" fontId="13" fillId="0" borderId="0" xfId="0" applyFont="1" applyAlignment="1" applyProtection="1">
      <alignment horizontal="right" vertical="center"/>
      <protection locked="0"/>
    </xf>
    <xf numFmtId="0" fontId="13" fillId="0" borderId="0" xfId="0" applyFont="1" applyAlignment="1" applyProtection="1">
      <alignment horizontal="center" vertical="center"/>
      <protection locked="0"/>
    </xf>
    <xf numFmtId="165" fontId="4" fillId="0" borderId="0" xfId="2" applyNumberFormat="1" applyFont="1" applyFill="1" applyAlignment="1" applyProtection="1">
      <alignment horizontal="center" vertical="center" wrapText="1"/>
    </xf>
    <xf numFmtId="43" fontId="3" fillId="0" borderId="0" xfId="2" applyFont="1" applyAlignment="1" applyProtection="1">
      <alignment vertical="center" wrapText="1"/>
      <protection locked="0"/>
    </xf>
    <xf numFmtId="37" fontId="4" fillId="0" borderId="0" xfId="0" applyNumberFormat="1" applyFont="1" applyAlignment="1" applyProtection="1">
      <alignment horizontal="center" vertical="center" wrapText="1"/>
      <protection locked="0"/>
    </xf>
    <xf numFmtId="37" fontId="4" fillId="0" borderId="0" xfId="0" applyNumberFormat="1" applyFont="1" applyAlignment="1" applyProtection="1">
      <alignment vertical="center"/>
      <protection locked="0"/>
    </xf>
    <xf numFmtId="14" fontId="4" fillId="0" borderId="0" xfId="0" applyNumberFormat="1" applyFont="1" applyAlignment="1" applyProtection="1">
      <alignment horizontal="center" vertical="center" wrapText="1"/>
      <protection locked="0"/>
    </xf>
    <xf numFmtId="1" fontId="4" fillId="0" borderId="0" xfId="0" applyNumberFormat="1" applyFont="1" applyAlignment="1" applyProtection="1">
      <alignment horizontal="center" vertical="center" wrapText="1"/>
      <protection locked="0"/>
    </xf>
    <xf numFmtId="37" fontId="4" fillId="0" borderId="0" xfId="0" applyNumberFormat="1" applyFont="1" applyAlignment="1">
      <alignment horizontal="center" vertical="center" wrapText="1"/>
    </xf>
    <xf numFmtId="165" fontId="4" fillId="0" borderId="0" xfId="2" applyNumberFormat="1" applyFont="1" applyFill="1" applyBorder="1" applyAlignment="1" applyProtection="1">
      <alignment horizontal="center" vertical="center" wrapText="1"/>
      <protection locked="0"/>
    </xf>
    <xf numFmtId="165" fontId="14" fillId="0" borderId="0" xfId="2" applyNumberFormat="1" applyFont="1" applyFill="1" applyBorder="1" applyAlignment="1" applyProtection="1">
      <alignment horizontal="center" vertical="center" wrapText="1"/>
    </xf>
    <xf numFmtId="165" fontId="4" fillId="0" borderId="0" xfId="2" applyNumberFormat="1" applyFont="1" applyFill="1" applyBorder="1" applyAlignment="1" applyProtection="1">
      <alignment horizontal="center" vertical="center" wrapText="1"/>
    </xf>
    <xf numFmtId="0" fontId="14" fillId="0" borderId="0" xfId="0" applyFont="1" applyAlignment="1" applyProtection="1">
      <alignment horizontal="center" vertical="center" wrapText="1"/>
      <protection locked="0"/>
    </xf>
    <xf numFmtId="0" fontId="14" fillId="0" borderId="0" xfId="0" applyFont="1" applyAlignment="1" applyProtection="1">
      <alignment vertical="center" wrapText="1"/>
      <protection locked="0"/>
    </xf>
    <xf numFmtId="164" fontId="3" fillId="0" borderId="0" xfId="0" applyNumberFormat="1" applyFont="1" applyAlignment="1" applyProtection="1">
      <alignment vertical="center" wrapText="1"/>
      <protection locked="0"/>
    </xf>
    <xf numFmtId="14" fontId="3" fillId="0" borderId="0" xfId="0" applyNumberFormat="1" applyFont="1" applyAlignment="1" applyProtection="1">
      <alignment vertical="center" wrapText="1"/>
      <protection locked="0"/>
    </xf>
    <xf numFmtId="166" fontId="14" fillId="0" borderId="0" xfId="4" applyNumberFormat="1" applyFont="1" applyFill="1" applyBorder="1" applyAlignment="1" applyProtection="1">
      <alignment horizontal="center" vertical="center" wrapText="1"/>
      <protection locked="0"/>
    </xf>
    <xf numFmtId="166" fontId="14" fillId="0" borderId="0" xfId="4" applyNumberFormat="1" applyFont="1" applyFill="1" applyBorder="1" applyAlignment="1" applyProtection="1">
      <alignment horizontal="center" vertical="center" wrapText="1"/>
    </xf>
    <xf numFmtId="166" fontId="3" fillId="0" borderId="0" xfId="0" applyNumberFormat="1" applyFont="1" applyAlignment="1" applyProtection="1">
      <alignment vertical="center" wrapText="1"/>
      <protection locked="0"/>
    </xf>
    <xf numFmtId="0" fontId="3" fillId="0" borderId="1" xfId="2" applyNumberFormat="1" applyFont="1" applyFill="1" applyBorder="1" applyAlignment="1" applyProtection="1">
      <alignment horizontal="center" vertical="center" wrapText="1"/>
      <protection locked="0"/>
    </xf>
    <xf numFmtId="0" fontId="3" fillId="0" borderId="1" xfId="5" applyFont="1" applyBorder="1" applyAlignment="1" applyProtection="1">
      <alignment horizontal="center" vertical="center" wrapText="1"/>
      <protection locked="0"/>
    </xf>
    <xf numFmtId="1" fontId="3" fillId="0" borderId="1" xfId="2" applyNumberFormat="1" applyFont="1" applyFill="1" applyBorder="1" applyAlignment="1" applyProtection="1">
      <alignment horizontal="center" vertical="center"/>
      <protection locked="0"/>
    </xf>
    <xf numFmtId="165" fontId="3" fillId="0" borderId="1" xfId="2" applyNumberFormat="1" applyFont="1" applyFill="1" applyBorder="1" applyAlignment="1" applyProtection="1">
      <alignment horizontal="center" vertical="center" wrapText="1"/>
      <protection locked="0"/>
    </xf>
    <xf numFmtId="37" fontId="4" fillId="0" borderId="0" xfId="0" applyNumberFormat="1" applyFont="1" applyAlignment="1" applyProtection="1">
      <alignment horizontal="center" vertical="center"/>
      <protection locked="0"/>
    </xf>
    <xf numFmtId="0" fontId="12" fillId="0" borderId="1" xfId="0" applyFont="1" applyBorder="1" applyAlignment="1">
      <alignment horizontal="center" vertical="center"/>
    </xf>
    <xf numFmtId="0" fontId="10" fillId="0" borderId="1" xfId="0" applyFont="1" applyBorder="1" applyAlignment="1">
      <alignment vertical="center" wrapText="1"/>
    </xf>
    <xf numFmtId="0" fontId="10" fillId="0" borderId="1" xfId="0" applyFont="1" applyBorder="1" applyAlignment="1">
      <alignment horizontal="center" vertical="center"/>
    </xf>
    <xf numFmtId="0" fontId="10" fillId="0" borderId="1" xfId="0" applyFont="1" applyBorder="1" applyAlignment="1">
      <alignment vertical="center"/>
    </xf>
    <xf numFmtId="165" fontId="10" fillId="0" borderId="0" xfId="2" applyNumberFormat="1" applyFont="1" applyAlignment="1">
      <alignment vertical="center"/>
    </xf>
    <xf numFmtId="165" fontId="12" fillId="0" borderId="1" xfId="2" applyNumberFormat="1" applyFont="1" applyBorder="1" applyAlignment="1">
      <alignment horizontal="center" vertical="center"/>
    </xf>
    <xf numFmtId="165" fontId="10" fillId="0" borderId="1" xfId="2" applyNumberFormat="1" applyFont="1" applyBorder="1" applyAlignment="1">
      <alignment vertical="center"/>
    </xf>
    <xf numFmtId="165" fontId="12" fillId="0" borderId="1" xfId="2" applyNumberFormat="1" applyFont="1" applyBorder="1" applyAlignment="1">
      <alignment vertical="center"/>
    </xf>
    <xf numFmtId="165" fontId="12" fillId="0" borderId="0" xfId="2" applyNumberFormat="1" applyFont="1" applyAlignment="1">
      <alignment horizontal="center" vertical="center"/>
    </xf>
    <xf numFmtId="0" fontId="12" fillId="0" borderId="1" xfId="0" applyFont="1" applyBorder="1" applyAlignment="1">
      <alignment horizontal="center" vertical="center" wrapText="1"/>
    </xf>
    <xf numFmtId="14" fontId="14" fillId="0" borderId="0" xfId="2" applyNumberFormat="1" applyFont="1" applyFill="1" applyBorder="1" applyAlignment="1" applyProtection="1">
      <alignment horizontal="center" vertical="center" wrapText="1"/>
    </xf>
    <xf numFmtId="37" fontId="5" fillId="0" borderId="0" xfId="0" applyNumberFormat="1" applyFont="1" applyAlignment="1" applyProtection="1">
      <alignment vertical="center"/>
      <protection locked="0"/>
    </xf>
    <xf numFmtId="165" fontId="4" fillId="0" borderId="0" xfId="2" applyNumberFormat="1" applyFont="1" applyFill="1" applyBorder="1" applyAlignment="1" applyProtection="1">
      <alignment horizontal="right" vertical="center" wrapText="1"/>
      <protection locked="0"/>
    </xf>
    <xf numFmtId="43" fontId="14" fillId="0" borderId="0" xfId="2" applyFont="1" applyAlignment="1" applyProtection="1">
      <alignment vertical="center"/>
      <protection locked="0"/>
    </xf>
    <xf numFmtId="0" fontId="14" fillId="0" borderId="0" xfId="0" applyFont="1" applyAlignment="1" applyProtection="1">
      <alignment horizontal="center" vertical="center"/>
      <protection locked="0"/>
    </xf>
    <xf numFmtId="0" fontId="14" fillId="0" borderId="0" xfId="0" applyFont="1" applyAlignment="1" applyProtection="1">
      <alignment vertical="center"/>
      <protection locked="0"/>
    </xf>
    <xf numFmtId="1" fontId="14" fillId="0" borderId="0" xfId="0" applyNumberFormat="1" applyFont="1" applyAlignment="1" applyProtection="1">
      <alignment vertical="center"/>
      <protection locked="0"/>
    </xf>
    <xf numFmtId="165" fontId="14" fillId="0" borderId="0" xfId="2" applyNumberFormat="1" applyFont="1" applyAlignment="1" applyProtection="1">
      <alignment vertical="center"/>
      <protection locked="0"/>
    </xf>
    <xf numFmtId="0" fontId="14" fillId="0" borderId="0" xfId="0" applyFont="1" applyAlignment="1">
      <alignment vertical="center"/>
    </xf>
    <xf numFmtId="0" fontId="13" fillId="0" borderId="0" xfId="0" applyFont="1" applyAlignment="1">
      <alignment horizontal="right" vertical="center"/>
    </xf>
    <xf numFmtId="1" fontId="4" fillId="0" borderId="0" xfId="0" applyNumberFormat="1" applyFont="1" applyAlignment="1" applyProtection="1">
      <alignment vertical="center" wrapText="1"/>
      <protection locked="0"/>
    </xf>
    <xf numFmtId="1" fontId="3" fillId="0" borderId="0" xfId="0" applyNumberFormat="1" applyFont="1" applyAlignment="1" applyProtection="1">
      <alignment vertical="center" wrapText="1"/>
      <protection locked="0"/>
    </xf>
    <xf numFmtId="0" fontId="3" fillId="0" borderId="7" xfId="2" applyNumberFormat="1" applyFont="1" applyFill="1" applyBorder="1" applyAlignment="1" applyProtection="1">
      <alignment horizontal="center" vertical="center" wrapText="1"/>
      <protection locked="0"/>
    </xf>
    <xf numFmtId="0" fontId="3" fillId="0" borderId="10" xfId="2" applyNumberFormat="1" applyFont="1" applyFill="1" applyBorder="1" applyAlignment="1" applyProtection="1">
      <alignment horizontal="center" vertical="center" wrapText="1"/>
      <protection locked="0"/>
    </xf>
    <xf numFmtId="0" fontId="3" fillId="0" borderId="3" xfId="2" applyNumberFormat="1" applyFont="1" applyFill="1" applyBorder="1" applyAlignment="1" applyProtection="1">
      <alignment horizontal="center" vertical="center" wrapText="1"/>
      <protection locked="0"/>
    </xf>
    <xf numFmtId="1" fontId="3" fillId="0" borderId="3" xfId="2" applyNumberFormat="1" applyFont="1" applyFill="1" applyBorder="1" applyAlignment="1" applyProtection="1">
      <alignment horizontal="center" vertical="center"/>
      <protection locked="0"/>
    </xf>
    <xf numFmtId="165" fontId="3" fillId="0" borderId="3" xfId="2" applyNumberFormat="1" applyFont="1" applyFill="1" applyBorder="1" applyAlignment="1" applyProtection="1">
      <alignment horizontal="center" vertical="center" wrapText="1"/>
      <protection locked="0"/>
    </xf>
    <xf numFmtId="0" fontId="12" fillId="0" borderId="0" xfId="0" applyFont="1"/>
    <xf numFmtId="0" fontId="10" fillId="0" borderId="0" xfId="0" applyFont="1"/>
    <xf numFmtId="43" fontId="10" fillId="0" borderId="0" xfId="2" applyFont="1"/>
    <xf numFmtId="43" fontId="10" fillId="0" borderId="0" xfId="0" applyNumberFormat="1" applyFont="1"/>
    <xf numFmtId="0" fontId="10" fillId="0" borderId="1" xfId="0" applyFont="1" applyBorder="1"/>
    <xf numFmtId="43" fontId="10" fillId="0" borderId="1" xfId="2" applyFont="1" applyBorder="1"/>
    <xf numFmtId="43" fontId="12" fillId="0" borderId="0" xfId="2" applyFont="1"/>
    <xf numFmtId="43" fontId="10" fillId="0" borderId="1" xfId="0" applyNumberFormat="1" applyFont="1" applyBorder="1"/>
    <xf numFmtId="43" fontId="12" fillId="0" borderId="1" xfId="2" applyFont="1" applyBorder="1"/>
    <xf numFmtId="43" fontId="12" fillId="0" borderId="1" xfId="2" applyFont="1" applyBorder="1" applyAlignment="1">
      <alignment horizontal="center" vertical="center"/>
    </xf>
    <xf numFmtId="165" fontId="10" fillId="3" borderId="1" xfId="2" applyNumberFormat="1" applyFont="1" applyFill="1" applyBorder="1" applyAlignment="1">
      <alignment vertical="center"/>
    </xf>
    <xf numFmtId="0" fontId="10" fillId="3" borderId="1" xfId="0" applyFont="1" applyFill="1" applyBorder="1" applyAlignment="1">
      <alignment vertical="center" wrapText="1"/>
    </xf>
    <xf numFmtId="0" fontId="10" fillId="3" borderId="1" xfId="0" applyFont="1" applyFill="1" applyBorder="1" applyAlignment="1">
      <alignment horizontal="center" vertical="center"/>
    </xf>
    <xf numFmtId="0" fontId="7" fillId="0" borderId="0" xfId="0" applyFont="1" applyAlignment="1">
      <alignment horizontal="center" vertical="center"/>
    </xf>
    <xf numFmtId="43" fontId="10" fillId="0" borderId="1" xfId="2" applyFont="1" applyFill="1" applyBorder="1"/>
    <xf numFmtId="1" fontId="3" fillId="0" borderId="1" xfId="4" applyNumberFormat="1" applyFont="1" applyFill="1" applyBorder="1" applyAlignment="1" applyProtection="1">
      <alignment horizontal="center" vertical="center" wrapText="1"/>
      <protection locked="0"/>
    </xf>
    <xf numFmtId="1" fontId="3" fillId="0" borderId="1" xfId="2" applyNumberFormat="1" applyFont="1" applyFill="1" applyBorder="1" applyAlignment="1" applyProtection="1">
      <alignment horizontal="center" vertical="center" wrapText="1"/>
      <protection locked="0"/>
    </xf>
    <xf numFmtId="165" fontId="0" fillId="2" borderId="0" xfId="2" applyNumberFormat="1" applyFont="1" applyFill="1" applyAlignment="1" applyProtection="1">
      <alignment horizontal="center" vertical="center" wrapText="1"/>
    </xf>
    <xf numFmtId="165" fontId="0" fillId="2" borderId="0" xfId="2" applyNumberFormat="1" applyFont="1" applyFill="1" applyAlignment="1" applyProtection="1">
      <alignment horizontal="center" vertical="center" wrapText="1"/>
      <protection locked="0"/>
    </xf>
    <xf numFmtId="43" fontId="14" fillId="0" borderId="0" xfId="2" applyFont="1" applyFill="1" applyAlignment="1" applyProtection="1">
      <alignment vertical="center"/>
      <protection locked="0"/>
    </xf>
    <xf numFmtId="165" fontId="14" fillId="0" borderId="0" xfId="2" applyNumberFormat="1" applyFont="1" applyFill="1" applyAlignment="1" applyProtection="1">
      <alignment vertical="center"/>
      <protection locked="0"/>
    </xf>
    <xf numFmtId="14" fontId="16" fillId="0" borderId="0" xfId="2" applyNumberFormat="1" applyFont="1" applyFill="1" applyBorder="1" applyAlignment="1" applyProtection="1">
      <alignment horizontal="center" vertical="center" wrapText="1"/>
      <protection locked="0"/>
    </xf>
    <xf numFmtId="43" fontId="0" fillId="0" borderId="0" xfId="2" applyFont="1"/>
    <xf numFmtId="165" fontId="0" fillId="0" borderId="0" xfId="2" applyNumberFormat="1" applyFont="1"/>
    <xf numFmtId="0" fontId="0" fillId="0" borderId="1" xfId="0" pivotButton="1" applyBorder="1"/>
    <xf numFmtId="0" fontId="0" fillId="0" borderId="1" xfId="0" pivotButton="1" applyBorder="1" applyAlignment="1">
      <alignment vertical="center"/>
    </xf>
    <xf numFmtId="0" fontId="0" fillId="0" borderId="1" xfId="0" applyBorder="1" applyAlignment="1">
      <alignment vertical="center"/>
    </xf>
    <xf numFmtId="0" fontId="0" fillId="0" borderId="1" xfId="0" applyBorder="1" applyAlignment="1">
      <alignment vertical="center" wrapText="1"/>
    </xf>
    <xf numFmtId="165" fontId="0" fillId="0" borderId="1" xfId="0" applyNumberFormat="1" applyBorder="1"/>
    <xf numFmtId="165" fontId="0" fillId="0" borderId="1" xfId="0" applyNumberFormat="1" applyBorder="1" applyAlignment="1">
      <alignment vertical="center"/>
    </xf>
    <xf numFmtId="43" fontId="4" fillId="0" borderId="0" xfId="2" applyFont="1" applyAlignment="1" applyProtection="1">
      <alignment vertical="center" wrapText="1"/>
      <protection locked="0"/>
    </xf>
    <xf numFmtId="43" fontId="5" fillId="0" borderId="0" xfId="2" applyFont="1" applyAlignment="1" applyProtection="1">
      <alignment vertical="center"/>
      <protection locked="0"/>
    </xf>
    <xf numFmtId="43" fontId="4" fillId="0" borderId="0" xfId="2" applyFont="1" applyAlignment="1" applyProtection="1">
      <alignment horizontal="center" vertical="center" wrapText="1"/>
      <protection locked="0"/>
    </xf>
    <xf numFmtId="43" fontId="3" fillId="0" borderId="0" xfId="2" applyFont="1" applyAlignment="1" applyProtection="1">
      <alignment horizontal="right" vertical="center" wrapText="1"/>
      <protection locked="0"/>
    </xf>
    <xf numFmtId="43" fontId="0" fillId="0" borderId="0" xfId="2" applyFont="1" applyAlignment="1">
      <alignment horizontal="left" vertical="center"/>
    </xf>
    <xf numFmtId="43" fontId="0" fillId="4" borderId="1" xfId="0" applyNumberFormat="1" applyFill="1" applyBorder="1" applyAlignment="1">
      <alignment horizontal="center" vertical="center" wrapText="1"/>
    </xf>
    <xf numFmtId="43" fontId="0" fillId="0" borderId="1" xfId="0" applyNumberFormat="1" applyBorder="1"/>
    <xf numFmtId="43" fontId="0" fillId="4" borderId="1" xfId="0" applyNumberFormat="1" applyFill="1" applyBorder="1"/>
    <xf numFmtId="165" fontId="0" fillId="0" borderId="0" xfId="2" applyNumberFormat="1" applyFont="1" applyAlignment="1">
      <alignment horizontal="center"/>
    </xf>
    <xf numFmtId="0" fontId="0" fillId="4" borderId="1" xfId="0" applyFill="1" applyBorder="1" applyAlignment="1">
      <alignment horizontal="center"/>
    </xf>
    <xf numFmtId="43" fontId="3" fillId="0" borderId="0" xfId="0" applyNumberFormat="1" applyFont="1" applyAlignment="1" applyProtection="1">
      <alignment vertical="center" wrapText="1"/>
      <protection locked="0"/>
    </xf>
    <xf numFmtId="0" fontId="3" fillId="0" borderId="1" xfId="0" applyFont="1" applyBorder="1" applyAlignment="1" applyProtection="1">
      <alignment horizontal="center" vertical="center" wrapText="1"/>
      <protection locked="0"/>
    </xf>
    <xf numFmtId="1" fontId="3" fillId="0" borderId="1" xfId="0" applyNumberFormat="1" applyFont="1" applyBorder="1" applyAlignment="1" applyProtection="1">
      <alignment horizontal="center" vertical="center" wrapText="1"/>
      <protection locked="0"/>
    </xf>
    <xf numFmtId="0" fontId="3" fillId="0" borderId="1" xfId="5" applyFont="1" applyBorder="1" applyAlignment="1">
      <alignment horizontal="center" vertical="center" wrapText="1"/>
    </xf>
    <xf numFmtId="0" fontId="3" fillId="0" borderId="6" xfId="5" applyFont="1" applyBorder="1" applyAlignment="1" applyProtection="1">
      <alignment horizontal="center" vertical="center" wrapText="1"/>
      <protection locked="0"/>
    </xf>
    <xf numFmtId="0" fontId="15" fillId="0" borderId="1" xfId="5" applyFont="1" applyBorder="1" applyAlignment="1" applyProtection="1">
      <alignment horizontal="center" vertical="center" wrapText="1"/>
      <protection locked="0"/>
    </xf>
    <xf numFmtId="0" fontId="3" fillId="0" borderId="3" xfId="0" applyFont="1" applyBorder="1" applyAlignment="1" applyProtection="1">
      <alignment horizontal="center" vertical="center" wrapText="1"/>
      <protection locked="0"/>
    </xf>
    <xf numFmtId="0" fontId="3" fillId="0" borderId="3" xfId="5" applyFont="1" applyBorder="1" applyAlignment="1" applyProtection="1">
      <alignment horizontal="center" vertical="center" wrapText="1"/>
      <protection locked="0"/>
    </xf>
    <xf numFmtId="1" fontId="3" fillId="0" borderId="3" xfId="0" applyNumberFormat="1" applyFont="1" applyBorder="1" applyAlignment="1" applyProtection="1">
      <alignment horizontal="center" vertical="center" wrapText="1"/>
      <protection locked="0"/>
    </xf>
    <xf numFmtId="0" fontId="3" fillId="0" borderId="3" xfId="5" applyFont="1" applyBorder="1" applyAlignment="1">
      <alignment horizontal="center" vertical="center" wrapText="1"/>
    </xf>
    <xf numFmtId="0" fontId="3" fillId="0" borderId="11" xfId="5" applyFont="1" applyBorder="1" applyAlignment="1" applyProtection="1">
      <alignment horizontal="center" vertical="center" wrapText="1"/>
      <protection locked="0"/>
    </xf>
    <xf numFmtId="43" fontId="14" fillId="0" borderId="0" xfId="2" applyFont="1" applyFill="1" applyAlignment="1">
      <alignment vertical="center"/>
    </xf>
    <xf numFmtId="165" fontId="13" fillId="0" borderId="0" xfId="0" applyNumberFormat="1" applyFont="1" applyAlignment="1">
      <alignment horizontal="center" vertical="center"/>
    </xf>
    <xf numFmtId="0" fontId="3" fillId="0" borderId="1" xfId="0" applyFont="1" applyBorder="1" applyAlignment="1" applyProtection="1">
      <alignment horizontal="center" vertical="center"/>
      <protection locked="0"/>
    </xf>
    <xf numFmtId="0" fontId="15" fillId="0" borderId="0" xfId="0" applyFont="1" applyAlignment="1" applyProtection="1">
      <alignment vertical="center"/>
      <protection locked="0"/>
    </xf>
    <xf numFmtId="0" fontId="15" fillId="0" borderId="0" xfId="0" applyFont="1" applyAlignment="1" applyProtection="1">
      <alignment vertical="center" wrapText="1"/>
      <protection locked="0"/>
    </xf>
    <xf numFmtId="0" fontId="15" fillId="0" borderId="3" xfId="5" applyFont="1" applyBorder="1" applyAlignment="1" applyProtection="1">
      <alignment horizontal="center" vertical="center" wrapText="1"/>
      <protection locked="0"/>
    </xf>
    <xf numFmtId="0" fontId="15" fillId="0" borderId="1" xfId="5" applyFont="1" applyBorder="1" applyAlignment="1">
      <alignment horizontal="center" vertical="center" wrapText="1"/>
    </xf>
    <xf numFmtId="165" fontId="15" fillId="0" borderId="1" xfId="2" applyNumberFormat="1" applyFont="1" applyFill="1" applyBorder="1" applyAlignment="1" applyProtection="1">
      <alignment horizontal="center" vertical="center" wrapText="1"/>
      <protection locked="0"/>
    </xf>
    <xf numFmtId="0" fontId="3" fillId="5" borderId="0" xfId="0" applyFont="1" applyFill="1" applyAlignment="1" applyProtection="1">
      <alignment vertical="center" wrapText="1"/>
      <protection locked="0"/>
    </xf>
    <xf numFmtId="0" fontId="18" fillId="0" borderId="1" xfId="2" applyNumberFormat="1" applyFont="1" applyFill="1" applyBorder="1" applyAlignment="1" applyProtection="1">
      <alignment horizontal="center" vertical="center" wrapText="1"/>
      <protection locked="0"/>
    </xf>
    <xf numFmtId="0" fontId="18" fillId="0" borderId="1" xfId="0" applyFont="1" applyBorder="1" applyAlignment="1" applyProtection="1">
      <alignment horizontal="center" vertical="center" wrapText="1"/>
      <protection locked="0"/>
    </xf>
    <xf numFmtId="0" fontId="18" fillId="0" borderId="1" xfId="5" applyFont="1" applyBorder="1" applyAlignment="1" applyProtection="1">
      <alignment horizontal="center" vertical="center" wrapText="1"/>
      <protection locked="0"/>
    </xf>
    <xf numFmtId="1" fontId="18" fillId="0" borderId="1" xfId="0" applyNumberFormat="1" applyFont="1" applyBorder="1" applyAlignment="1" applyProtection="1">
      <alignment horizontal="center" vertical="center" wrapText="1"/>
      <protection locked="0"/>
    </xf>
    <xf numFmtId="1" fontId="18" fillId="0" borderId="1" xfId="2" applyNumberFormat="1" applyFont="1" applyFill="1" applyBorder="1" applyAlignment="1" applyProtection="1">
      <alignment horizontal="center" vertical="center"/>
      <protection locked="0"/>
    </xf>
    <xf numFmtId="165" fontId="18" fillId="0" borderId="1" xfId="2" applyNumberFormat="1" applyFont="1" applyFill="1" applyBorder="1" applyAlignment="1" applyProtection="1">
      <alignment horizontal="center" vertical="center" wrapText="1"/>
      <protection locked="0"/>
    </xf>
    <xf numFmtId="0" fontId="18" fillId="0" borderId="1" xfId="5" applyFont="1" applyBorder="1" applyAlignment="1">
      <alignment horizontal="center" vertical="center" wrapText="1"/>
    </xf>
    <xf numFmtId="0" fontId="18" fillId="0" borderId="6" xfId="5" applyFont="1" applyBorder="1" applyAlignment="1" applyProtection="1">
      <alignment horizontal="center" vertical="center" wrapText="1"/>
      <protection locked="0"/>
    </xf>
    <xf numFmtId="0" fontId="4" fillId="0" borderId="8" xfId="2" applyNumberFormat="1" applyFont="1" applyFill="1" applyBorder="1" applyAlignment="1" applyProtection="1">
      <alignment horizontal="center" vertical="center" wrapText="1"/>
      <protection locked="0"/>
    </xf>
    <xf numFmtId="0" fontId="4" fillId="0" borderId="5" xfId="0" applyFont="1" applyBorder="1" applyAlignment="1" applyProtection="1">
      <alignment horizontal="center" vertical="center" wrapText="1"/>
      <protection locked="0"/>
    </xf>
    <xf numFmtId="165" fontId="4" fillId="0" borderId="5" xfId="2" applyNumberFormat="1" applyFont="1" applyFill="1" applyBorder="1" applyAlignment="1" applyProtection="1">
      <alignment horizontal="center" vertical="center" wrapText="1"/>
      <protection locked="0"/>
    </xf>
    <xf numFmtId="0" fontId="4" fillId="0" borderId="5" xfId="5" applyFont="1" applyBorder="1" applyAlignment="1" applyProtection="1">
      <alignment horizontal="center" vertical="center" wrapText="1"/>
      <protection locked="0"/>
    </xf>
    <xf numFmtId="0" fontId="4" fillId="0" borderId="5" xfId="2" applyNumberFormat="1" applyFont="1" applyFill="1" applyBorder="1" applyAlignment="1" applyProtection="1">
      <alignment horizontal="center" vertical="center" wrapText="1"/>
      <protection locked="0"/>
    </xf>
    <xf numFmtId="1" fontId="4" fillId="0" borderId="5" xfId="0" applyNumberFormat="1" applyFont="1" applyBorder="1" applyAlignment="1" applyProtection="1">
      <alignment horizontal="center" vertical="center" wrapText="1"/>
      <protection locked="0"/>
    </xf>
    <xf numFmtId="14" fontId="4" fillId="0" borderId="5" xfId="0" applyNumberFormat="1" applyFont="1" applyBorder="1" applyAlignment="1" applyProtection="1">
      <alignment horizontal="center" vertical="center" wrapText="1"/>
      <protection locked="0"/>
    </xf>
    <xf numFmtId="14" fontId="4" fillId="0" borderId="5" xfId="4" applyNumberFormat="1" applyFont="1" applyFill="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17" fillId="0" borderId="5" xfId="0" applyFont="1" applyBorder="1" applyAlignment="1" applyProtection="1">
      <alignment horizontal="center" vertical="center" wrapText="1"/>
      <protection locked="0"/>
    </xf>
    <xf numFmtId="0" fontId="4" fillId="0" borderId="9" xfId="5" applyFont="1" applyBorder="1" applyAlignment="1" applyProtection="1">
      <alignment horizontal="center" vertical="center" wrapText="1"/>
      <protection locked="0"/>
    </xf>
    <xf numFmtId="0" fontId="4" fillId="0" borderId="0" xfId="0" applyFont="1" applyAlignment="1" applyProtection="1">
      <alignment vertical="center" wrapText="1"/>
      <protection locked="0"/>
    </xf>
    <xf numFmtId="165" fontId="4" fillId="0" borderId="0" xfId="2" applyNumberFormat="1" applyFont="1" applyAlignment="1" applyProtection="1">
      <alignment vertical="center" wrapText="1"/>
      <protection locked="0"/>
    </xf>
    <xf numFmtId="165" fontId="4" fillId="0" borderId="0" xfId="2" applyNumberFormat="1" applyFont="1" applyAlignment="1" applyProtection="1">
      <alignment horizontal="center" vertical="center" wrapText="1"/>
      <protection locked="0"/>
    </xf>
    <xf numFmtId="165" fontId="3" fillId="0" borderId="0" xfId="2" applyNumberFormat="1" applyFont="1" applyAlignment="1" applyProtection="1">
      <alignment horizontal="center" vertical="center" wrapText="1"/>
      <protection locked="0"/>
    </xf>
    <xf numFmtId="0" fontId="0" fillId="4" borderId="1" xfId="0" applyFill="1" applyBorder="1" applyAlignment="1">
      <alignment horizontal="center" vertical="center"/>
    </xf>
    <xf numFmtId="165" fontId="0" fillId="4" borderId="1" xfId="0" applyNumberFormat="1" applyFill="1" applyBorder="1" applyAlignment="1">
      <alignment horizontal="center" vertical="center" wrapText="1"/>
    </xf>
    <xf numFmtId="0" fontId="0" fillId="4" borderId="1" xfId="0" applyFill="1" applyBorder="1" applyAlignment="1">
      <alignment horizontal="center" vertical="center" wrapText="1"/>
    </xf>
    <xf numFmtId="1" fontId="3" fillId="0" borderId="1" xfId="1" applyNumberFormat="1" applyFont="1" applyFill="1" applyBorder="1" applyAlignment="1" applyProtection="1">
      <alignment horizontal="center" vertical="center" wrapText="1"/>
      <protection locked="0"/>
    </xf>
    <xf numFmtId="1" fontId="3" fillId="0" borderId="3" xfId="4" applyNumberFormat="1" applyFont="1" applyFill="1" applyBorder="1" applyAlignment="1" applyProtection="1">
      <alignment horizontal="center" vertical="center" wrapText="1"/>
      <protection locked="0"/>
    </xf>
    <xf numFmtId="0" fontId="3" fillId="6" borderId="7" xfId="2" applyNumberFormat="1" applyFont="1" applyFill="1" applyBorder="1" applyAlignment="1" applyProtection="1">
      <alignment horizontal="center" vertical="center" wrapText="1"/>
      <protection locked="0"/>
    </xf>
    <xf numFmtId="0" fontId="3" fillId="6" borderId="1" xfId="2" applyNumberFormat="1" applyFont="1" applyFill="1" applyBorder="1" applyAlignment="1" applyProtection="1">
      <alignment horizontal="center" vertical="center" wrapText="1"/>
      <protection locked="0"/>
    </xf>
    <xf numFmtId="0" fontId="3" fillId="6" borderId="1" xfId="0" applyFont="1" applyFill="1" applyBorder="1" applyAlignment="1" applyProtection="1">
      <alignment horizontal="center" vertical="center" wrapText="1"/>
      <protection locked="0"/>
    </xf>
    <xf numFmtId="0" fontId="3" fillId="6" borderId="1" xfId="5" applyFont="1" applyFill="1" applyBorder="1" applyAlignment="1" applyProtection="1">
      <alignment horizontal="center" vertical="center" wrapText="1"/>
      <protection locked="0"/>
    </xf>
    <xf numFmtId="1" fontId="3" fillId="6" borderId="1" xfId="4" applyNumberFormat="1" applyFont="1" applyFill="1" applyBorder="1" applyAlignment="1" applyProtection="1">
      <alignment horizontal="center" vertical="center" wrapText="1"/>
      <protection locked="0"/>
    </xf>
    <xf numFmtId="1" fontId="3" fillId="6" borderId="1" xfId="0" applyNumberFormat="1" applyFont="1" applyFill="1" applyBorder="1" applyAlignment="1" applyProtection="1">
      <alignment horizontal="center" vertical="center" wrapText="1"/>
      <protection locked="0"/>
    </xf>
    <xf numFmtId="1" fontId="3" fillId="6" borderId="1" xfId="2" applyNumberFormat="1" applyFont="1" applyFill="1" applyBorder="1" applyAlignment="1" applyProtection="1">
      <alignment horizontal="center" vertical="center"/>
      <protection locked="0"/>
    </xf>
    <xf numFmtId="165" fontId="3" fillId="6" borderId="1" xfId="2" applyNumberFormat="1" applyFont="1" applyFill="1" applyBorder="1" applyAlignment="1" applyProtection="1">
      <alignment horizontal="center" vertical="center" wrapText="1"/>
      <protection locked="0"/>
    </xf>
    <xf numFmtId="0" fontId="3" fillId="6" borderId="1" xfId="5" applyFont="1" applyFill="1" applyBorder="1" applyAlignment="1">
      <alignment horizontal="center" vertical="center" wrapText="1"/>
    </xf>
    <xf numFmtId="0" fontId="3" fillId="6" borderId="6" xfId="5" applyFont="1" applyFill="1" applyBorder="1" applyAlignment="1" applyProtection="1">
      <alignment horizontal="center" vertical="center" wrapText="1"/>
      <protection locked="0"/>
    </xf>
    <xf numFmtId="0" fontId="15" fillId="5" borderId="1" xfId="5" applyFont="1" applyFill="1" applyBorder="1" applyAlignment="1" applyProtection="1">
      <alignment horizontal="center" vertical="center" wrapText="1"/>
      <protection locked="0"/>
    </xf>
    <xf numFmtId="0" fontId="18" fillId="6" borderId="1" xfId="2" applyNumberFormat="1" applyFont="1" applyFill="1" applyBorder="1" applyAlignment="1" applyProtection="1">
      <alignment horizontal="center" vertical="center" wrapText="1"/>
      <protection locked="0"/>
    </xf>
    <xf numFmtId="0" fontId="18" fillId="6" borderId="1" xfId="0" applyFont="1" applyFill="1" applyBorder="1" applyAlignment="1" applyProtection="1">
      <alignment horizontal="center" vertical="center" wrapText="1"/>
      <protection locked="0"/>
    </xf>
    <xf numFmtId="0" fontId="18" fillId="6" borderId="1" xfId="5" applyFont="1" applyFill="1" applyBorder="1" applyAlignment="1" applyProtection="1">
      <alignment horizontal="center" vertical="center" wrapText="1"/>
      <protection locked="0"/>
    </xf>
    <xf numFmtId="1" fontId="18" fillId="6" borderId="1" xfId="0" applyNumberFormat="1" applyFont="1" applyFill="1" applyBorder="1" applyAlignment="1" applyProtection="1">
      <alignment horizontal="center" vertical="center" wrapText="1"/>
      <protection locked="0"/>
    </xf>
    <xf numFmtId="1" fontId="18" fillId="6" borderId="1" xfId="2" applyNumberFormat="1" applyFont="1" applyFill="1" applyBorder="1" applyAlignment="1" applyProtection="1">
      <alignment horizontal="center" vertical="center"/>
      <protection locked="0"/>
    </xf>
    <xf numFmtId="165" fontId="18" fillId="6" borderId="1" xfId="2" applyNumberFormat="1" applyFont="1" applyFill="1" applyBorder="1" applyAlignment="1" applyProtection="1">
      <alignment horizontal="center" vertical="center" wrapText="1"/>
      <protection locked="0"/>
    </xf>
    <xf numFmtId="0" fontId="18" fillId="6" borderId="1" xfId="5" applyFont="1" applyFill="1" applyBorder="1" applyAlignment="1">
      <alignment horizontal="center" vertical="center" wrapText="1"/>
    </xf>
    <xf numFmtId="165" fontId="14" fillId="6" borderId="1" xfId="2" applyNumberFormat="1" applyFont="1" applyFill="1" applyBorder="1" applyAlignment="1" applyProtection="1">
      <alignment horizontal="center" vertical="center" wrapText="1"/>
      <protection locked="0"/>
    </xf>
    <xf numFmtId="0" fontId="15" fillId="7" borderId="1" xfId="5" applyFont="1" applyFill="1" applyBorder="1" applyAlignment="1" applyProtection="1">
      <alignment horizontal="center" vertical="center" wrapText="1"/>
      <protection locked="0"/>
    </xf>
    <xf numFmtId="165" fontId="14" fillId="0" borderId="1" xfId="2" applyNumberFormat="1" applyFont="1" applyFill="1" applyBorder="1" applyAlignment="1" applyProtection="1">
      <alignment horizontal="center" vertical="center" wrapText="1"/>
      <protection locked="0"/>
    </xf>
    <xf numFmtId="1" fontId="14" fillId="6" borderId="1" xfId="0" applyNumberFormat="1" applyFont="1" applyFill="1" applyBorder="1" applyAlignment="1" applyProtection="1">
      <alignment horizontal="center" vertical="center" wrapText="1"/>
      <protection locked="0"/>
    </xf>
    <xf numFmtId="1" fontId="14" fillId="6" borderId="1" xfId="2" applyNumberFormat="1" applyFont="1" applyFill="1" applyBorder="1" applyAlignment="1" applyProtection="1">
      <alignment horizontal="center" vertical="center"/>
      <protection locked="0"/>
    </xf>
    <xf numFmtId="1" fontId="3" fillId="6" borderId="1" xfId="2" applyNumberFormat="1" applyFont="1" applyFill="1" applyBorder="1" applyAlignment="1" applyProtection="1">
      <alignment horizontal="center" vertical="center" wrapText="1"/>
      <protection locked="0"/>
    </xf>
    <xf numFmtId="1" fontId="15" fillId="6" borderId="1" xfId="0" applyNumberFormat="1" applyFont="1" applyFill="1" applyBorder="1" applyAlignment="1" applyProtection="1">
      <alignment horizontal="center" vertical="center" wrapText="1"/>
      <protection locked="0"/>
    </xf>
    <xf numFmtId="1" fontId="15" fillId="6" borderId="1" xfId="2" applyNumberFormat="1" applyFont="1" applyFill="1" applyBorder="1" applyAlignment="1" applyProtection="1">
      <alignment horizontal="center" vertical="center"/>
      <protection locked="0"/>
    </xf>
    <xf numFmtId="165" fontId="15" fillId="6" borderId="1" xfId="2" applyNumberFormat="1" applyFont="1" applyFill="1" applyBorder="1" applyAlignment="1" applyProtection="1">
      <alignment horizontal="center" vertical="center" wrapText="1"/>
      <protection locked="0"/>
    </xf>
    <xf numFmtId="0" fontId="13" fillId="0" borderId="0" xfId="0" applyFont="1" applyAlignment="1" applyProtection="1">
      <alignment horizontal="right" vertical="center"/>
      <protection locked="0"/>
    </xf>
    <xf numFmtId="0" fontId="3" fillId="0" borderId="0" xfId="0" applyFont="1" applyAlignment="1" applyProtection="1">
      <alignment horizontal="center" vertical="center" wrapText="1"/>
      <protection locked="0"/>
    </xf>
    <xf numFmtId="37" fontId="5" fillId="0" borderId="0" xfId="0" applyNumberFormat="1" applyFont="1" applyAlignment="1" applyProtection="1">
      <alignment horizontal="center" vertical="center"/>
      <protection locked="0"/>
    </xf>
    <xf numFmtId="0" fontId="10" fillId="0" borderId="3"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3" xfId="0" applyFont="1" applyBorder="1" applyAlignment="1">
      <alignment horizontal="center" vertical="center"/>
    </xf>
    <xf numFmtId="0" fontId="10" fillId="0" borderId="5" xfId="0" applyFont="1" applyBorder="1" applyAlignment="1">
      <alignment horizontal="center" vertical="center"/>
    </xf>
    <xf numFmtId="0" fontId="10" fillId="0" borderId="4" xfId="0" applyFont="1" applyBorder="1" applyAlignment="1">
      <alignment horizontal="center" vertical="center" wrapText="1"/>
    </xf>
    <xf numFmtId="0" fontId="10" fillId="3" borderId="3" xfId="0" applyFont="1" applyFill="1" applyBorder="1" applyAlignment="1">
      <alignment horizontal="center" vertical="center" wrapText="1"/>
    </xf>
    <xf numFmtId="0" fontId="10" fillId="3" borderId="4" xfId="0" applyFont="1" applyFill="1" applyBorder="1" applyAlignment="1">
      <alignment horizontal="center" vertical="center" wrapText="1"/>
    </xf>
    <xf numFmtId="0" fontId="10" fillId="3" borderId="5" xfId="0" applyFont="1" applyFill="1" applyBorder="1" applyAlignment="1">
      <alignment horizontal="center" vertical="center" wrapText="1"/>
    </xf>
    <xf numFmtId="0" fontId="10" fillId="3" borderId="3" xfId="0" applyFont="1" applyFill="1" applyBorder="1" applyAlignment="1">
      <alignment horizontal="center" vertical="center"/>
    </xf>
    <xf numFmtId="0" fontId="10" fillId="3" borderId="4" xfId="0" applyFont="1" applyFill="1" applyBorder="1" applyAlignment="1">
      <alignment horizontal="center" vertical="center"/>
    </xf>
    <xf numFmtId="0" fontId="10" fillId="3" borderId="5" xfId="0" applyFont="1" applyFill="1" applyBorder="1" applyAlignment="1">
      <alignment horizontal="center" vertical="center"/>
    </xf>
    <xf numFmtId="0" fontId="0" fillId="0" borderId="1" xfId="0" applyBorder="1" applyAlignment="1">
      <alignment horizontal="center"/>
    </xf>
    <xf numFmtId="0" fontId="7" fillId="0" borderId="1" xfId="0" applyFont="1" applyBorder="1" applyAlignment="1">
      <alignment horizontal="center"/>
    </xf>
    <xf numFmtId="0" fontId="7" fillId="0" borderId="6" xfId="0" applyFont="1" applyBorder="1" applyAlignment="1">
      <alignment horizontal="center"/>
    </xf>
    <xf numFmtId="0" fontId="7" fillId="0" borderId="7" xfId="0" applyFont="1" applyBorder="1" applyAlignment="1">
      <alignment horizontal="center"/>
    </xf>
    <xf numFmtId="43" fontId="8" fillId="0" borderId="0" xfId="2" applyFont="1" applyBorder="1" applyAlignment="1">
      <alignment horizontal="center"/>
    </xf>
    <xf numFmtId="0" fontId="0" fillId="0" borderId="1" xfId="0" applyBorder="1" applyAlignment="1">
      <alignment horizontal="left"/>
    </xf>
    <xf numFmtId="0" fontId="7" fillId="0" borderId="2" xfId="0" applyFont="1" applyBorder="1" applyAlignment="1">
      <alignment horizontal="center"/>
    </xf>
    <xf numFmtId="43" fontId="8" fillId="0" borderId="0" xfId="2" applyFont="1" applyAlignment="1">
      <alignment horizontal="center"/>
    </xf>
    <xf numFmtId="43" fontId="7" fillId="0" borderId="1" xfId="2" applyFont="1" applyBorder="1" applyAlignment="1">
      <alignment horizontal="center"/>
    </xf>
    <xf numFmtId="0" fontId="15" fillId="8" borderId="1" xfId="5" applyFont="1" applyFill="1" applyBorder="1" applyAlignment="1" applyProtection="1">
      <alignment horizontal="center" vertical="center" wrapText="1"/>
      <protection locked="0"/>
    </xf>
    <xf numFmtId="0" fontId="3" fillId="6" borderId="6" xfId="5" applyFont="1" applyFill="1" applyBorder="1" applyAlignment="1">
      <alignment horizontal="center" vertical="center" wrapText="1"/>
    </xf>
    <xf numFmtId="0" fontId="3" fillId="6" borderId="0" xfId="5" applyFont="1" applyFill="1" applyBorder="1" applyAlignment="1">
      <alignment horizontal="center" vertical="center" wrapText="1"/>
    </xf>
    <xf numFmtId="165" fontId="3" fillId="6" borderId="0" xfId="2" applyNumberFormat="1" applyFont="1" applyFill="1" applyBorder="1" applyAlignment="1" applyProtection="1">
      <alignment horizontal="center" vertical="center" wrapText="1"/>
      <protection locked="0"/>
    </xf>
    <xf numFmtId="0" fontId="3" fillId="6" borderId="0" xfId="5" applyFont="1" applyFill="1" applyBorder="1" applyAlignment="1" applyProtection="1">
      <alignment horizontal="center" vertical="center" wrapText="1"/>
      <protection locked="0"/>
    </xf>
    <xf numFmtId="0" fontId="3" fillId="6" borderId="1" xfId="0" applyFont="1" applyFill="1" applyBorder="1" applyAlignment="1" applyProtection="1">
      <alignment vertical="center" wrapText="1"/>
      <protection locked="0"/>
    </xf>
    <xf numFmtId="0" fontId="3" fillId="6" borderId="6" xfId="0" applyFont="1" applyFill="1" applyBorder="1" applyAlignment="1" applyProtection="1">
      <alignment vertical="center" wrapText="1"/>
      <protection locked="0"/>
    </xf>
  </cellXfs>
  <cellStyles count="7">
    <cellStyle name="Currency" xfId="1" xr:uid="{00000000-0005-0000-0000-000000000000}"/>
    <cellStyle name="Millares" xfId="2" builtinId="3"/>
    <cellStyle name="Millares 2" xfId="3" xr:uid="{00000000-0005-0000-0000-000002000000}"/>
    <cellStyle name="Moneda" xfId="4" builtinId="4"/>
    <cellStyle name="Normal" xfId="0" builtinId="0"/>
    <cellStyle name="Normal 2" xfId="5" xr:uid="{00000000-0005-0000-0000-000005000000}"/>
    <cellStyle name="Normal 2 10" xfId="6" xr:uid="{00000000-0005-0000-0000-000006000000}"/>
  </cellStyles>
  <dxfs count="172">
    <dxf>
      <fill>
        <patternFill patternType="solid">
          <fgColor rgb="FFF4B084"/>
          <bgColor rgb="FF000000"/>
        </patternFill>
      </fill>
    </dxf>
    <dxf>
      <fill>
        <patternFill patternType="solid">
          <fgColor rgb="FFF4B084"/>
          <bgColor rgb="FF000000"/>
        </patternFill>
      </fill>
    </dxf>
    <dxf>
      <fill>
        <patternFill patternType="solid">
          <fgColor rgb="FFF4B084"/>
          <bgColor rgb="FF000000"/>
        </patternFill>
      </fill>
    </dxf>
    <dxf>
      <fill>
        <patternFill patternType="solid">
          <fgColor rgb="FFF4B084"/>
          <bgColor rgb="FF00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indexed="20"/>
      </font>
      <fill>
        <patternFill>
          <bgColor indexed="45"/>
        </patternFill>
      </fill>
    </dxf>
    <dxf>
      <font>
        <color indexed="20"/>
      </font>
      <fill>
        <patternFill>
          <bgColor indexed="45"/>
        </patternFill>
      </fill>
    </dxf>
    <dxf>
      <font>
        <color indexed="20"/>
      </font>
      <fill>
        <patternFill>
          <bgColor indexed="4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indexed="20"/>
      </font>
      <fill>
        <patternFill>
          <bgColor indexed="4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11"/>
        <color auto="1"/>
        <name val="Tahoma"/>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1"/>
        <color auto="1"/>
        <name val="Tahoma"/>
        <scheme val="none"/>
      </font>
      <numFmt numFmtId="165" formatCode="_-* #,##0_-;\-* #,##0_-;_-* &quot;-&quot;??_-;_-@_-"/>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Tahoma"/>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FF0000"/>
        <name val="Tahoma"/>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rgb="FFFF0000"/>
        <name val="Tahoma"/>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Tahoma"/>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rgb="FFFF0000"/>
        <name val="Tahoma"/>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Tahoma"/>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Tahoma"/>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Tahoma"/>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Tahoma"/>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scheme val="none"/>
      </font>
      <numFmt numFmtId="165" formatCode="_-* #,##0_-;\-* #,##0_-;_-* &quot;-&quot;??_-;_-@_-"/>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scheme val="none"/>
      </font>
      <numFmt numFmtId="165" formatCode="_-* #,##0_-;\-* #,##0_-;_-* &quot;-&quot;??_-;_-@_-"/>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scheme val="none"/>
      </font>
      <numFmt numFmtId="1" formatCode="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scheme val="none"/>
      </font>
      <numFmt numFmtId="1" formatCode="0"/>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scheme val="none"/>
      </font>
      <numFmt numFmtId="1" formatCode="0"/>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scheme val="none"/>
      </font>
      <numFmt numFmtId="1" formatCode="0"/>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protection locked="0" hidden="0"/>
    </dxf>
    <dxf>
      <border outline="0">
        <top style="thin">
          <color indexed="64"/>
        </top>
      </border>
    </dxf>
    <dxf>
      <border outline="0">
        <left style="thin">
          <color indexed="64"/>
        </left>
        <right style="thin">
          <color indexed="64"/>
        </right>
        <top style="thin">
          <color indexed="64"/>
        </top>
        <bottom style="thin">
          <color indexed="64"/>
        </bottom>
      </border>
    </dxf>
    <dxf>
      <fill>
        <patternFill patternType="none">
          <fgColor indexed="64"/>
          <bgColor auto="1"/>
        </patternFill>
      </fill>
    </dxf>
    <dxf>
      <border outline="0">
        <bottom style="thin">
          <color indexed="64"/>
        </bottom>
      </border>
    </dxf>
    <dxf>
      <fill>
        <patternFill patternType="none">
          <fgColor indexed="64"/>
          <bgColor auto="1"/>
        </patternFill>
      </fill>
    </dxf>
    <dxf>
      <alignment horizontal="center"/>
    </dxf>
    <dxf>
      <alignment horizontal="center"/>
    </dxf>
    <dxf>
      <numFmt numFmtId="35" formatCode="_-* #,##0.00_-;\-* #,##0.00_-;_-* &quot;-&quot;??_-;_-@_-"/>
    </dxf>
    <dxf>
      <numFmt numFmtId="35" formatCode="_-* #,##0.00_-;\-* #,##0.00_-;_-* &quot;-&quot;??_-;_-@_-"/>
    </dxf>
    <dxf>
      <fill>
        <patternFill patternType="solid">
          <fgColor indexed="64"/>
          <bgColor theme="5" tint="0.59999389629810485"/>
        </patternFill>
      </fill>
      <alignment horizontal="center" vertical="center" wrapText="1"/>
    </dxf>
    <dxf>
      <fill>
        <patternFill patternType="solid">
          <fgColor indexed="64"/>
          <bgColor theme="5" tint="0.59999389629810485"/>
        </patternFill>
      </fill>
      <alignment horizontal="center" vertical="center" wrapText="1"/>
    </dxf>
    <dxf>
      <numFmt numFmtId="165" formatCode="_-* #,##0_-;\-* #,##0_-;_-* &quot;-&quot;??_-;_-@_-"/>
      <fill>
        <patternFill>
          <fgColor indexed="64"/>
          <bgColor theme="5" tint="0.59999389629810485"/>
        </patternFill>
      </fill>
    </dxf>
    <dxf>
      <numFmt numFmtId="165" formatCode="_-* #,##0_-;\-* #,##0_-;_-* &quot;-&quot;??_-;_-@_-"/>
    </dxf>
    <dxf>
      <numFmt numFmtId="165" formatCode="_-* #,##0_-;\-* #,##0_-;_-* &quot;-&quot;??_-;_-@_-"/>
    </dxf>
    <dxf>
      <fill>
        <patternFill patternType="solid">
          <bgColor theme="5" tint="0.59999389629810485"/>
        </patternFill>
      </fill>
    </dxf>
    <dxf>
      <fill>
        <patternFill patternType="solid">
          <bgColor theme="5" tint="0.59999389629810485"/>
        </patternFill>
      </fill>
    </dxf>
    <dxf>
      <fill>
        <patternFill>
          <bgColor theme="5" tint="0.59999389629810485"/>
        </patternFill>
      </fill>
    </dxf>
    <dxf>
      <fill>
        <patternFill>
          <bgColor theme="5" tint="0.59999389629810485"/>
        </patternFill>
      </fill>
    </dxf>
    <dxf>
      <fill>
        <patternFill>
          <bgColor theme="5" tint="0.59999389629810485"/>
        </patternFill>
      </fill>
    </dxf>
    <dxf>
      <fill>
        <patternFill>
          <bgColor theme="5" tint="0.59999389629810485"/>
        </patternFill>
      </fill>
    </dxf>
    <dxf>
      <fill>
        <patternFill>
          <bgColor theme="5" tint="0.59999389629810485"/>
        </patternFill>
      </fill>
    </dxf>
    <dxf>
      <fill>
        <patternFill>
          <bgColor theme="5" tint="0.59999389629810485"/>
        </patternFill>
      </fill>
    </dxf>
    <dxf>
      <fill>
        <patternFill>
          <bgColor theme="5" tint="0.59999389629810485"/>
        </patternFill>
      </fill>
    </dxf>
    <dxf>
      <fill>
        <patternFill patternType="solid">
          <fgColor indexed="64"/>
          <bgColor theme="7" tint="0.59999389629810485"/>
        </patternFill>
      </fill>
      <alignment horizontal="center" vertical="center" wrapText="1"/>
    </dxf>
    <dxf>
      <numFmt numFmtId="165" formatCode="_-* #,##0_-;\-* #,##0_-;_-* &quot;-&quot;??_-;_-@_-"/>
    </dxf>
    <dxf>
      <alignment wrapText="1"/>
    </dxf>
    <dxf>
      <alignment wrapText="1"/>
    </dxf>
    <dxf>
      <alignment wrapText="1"/>
    </dxf>
    <dxf>
      <alignment wrapText="1"/>
    </dxf>
    <dxf>
      <alignment wrapText="1"/>
    </dxf>
    <dxf>
      <alignment wrapText="1"/>
    </dxf>
    <dxf>
      <alignment wrapText="1"/>
    </dxf>
    <dxf>
      <fill>
        <patternFill>
          <bgColor theme="7" tint="0.59999389629810485"/>
        </patternFill>
      </fill>
    </dxf>
    <dxf>
      <fill>
        <patternFill>
          <bgColor theme="7" tint="0.59999389629810485"/>
        </patternFill>
      </fill>
    </dxf>
    <dxf>
      <fill>
        <patternFill>
          <bgColor theme="7" tint="0.59999389629810485"/>
        </patternFill>
      </fill>
    </dxf>
    <dxf>
      <fill>
        <patternFill>
          <bgColor theme="7" tint="0.59999389629810485"/>
        </patternFill>
      </fill>
    </dxf>
    <dxf>
      <fill>
        <patternFill>
          <bgColor theme="7" tint="0.59999389629810485"/>
        </patternFill>
      </fill>
    </dxf>
    <dxf>
      <fill>
        <patternFill>
          <bgColor theme="7" tint="0.59999389629810485"/>
        </patternFill>
      </fill>
    </dxf>
    <dxf>
      <fill>
        <patternFill>
          <bgColor theme="7" tint="0.59999389629810485"/>
        </patternFill>
      </fill>
    </dxf>
    <dxf>
      <fill>
        <patternFill>
          <bgColor theme="7" tint="0.59999389629810485"/>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wrapText="1"/>
    </dxf>
    <dxf>
      <numFmt numFmtId="165" formatCode="_-* #,##0_-;\-* #,##0_-;_-* &quot;-&quot;??_-;_-@_-"/>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numFmt numFmtId="165" formatCode="_-* #,##0_-;\-* #,##0_-;_-* &quot;-&quot;??_-;_-@_-"/>
    </dxf>
    <dxf>
      <numFmt numFmtId="165" formatCode="_-* #,##0_-;\-* #,##0_-;_-* &quot;-&quot;??_-;_-@_-"/>
    </dxf>
    <dxf>
      <numFmt numFmtId="165" formatCode="_-* #,##0_-;\-* #,##0_-;_-* &quot;-&quot;??_-;_-@_-"/>
    </dxf>
    <dxf>
      <alignment wrapText="1"/>
    </dxf>
    <dxf>
      <alignment vertical="center"/>
    </dxf>
    <dxf>
      <alignment vertical="center"/>
    </dxf>
    <dxf>
      <alignment vertical="center"/>
    </dxf>
    <dxf>
      <alignment vertical="center"/>
    </dxf>
    <dxf>
      <alignment vertical="center"/>
    </dxf>
    <dxf>
      <alignment vertical="cent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s>
  <tableStyles count="0" defaultTableStyle="TableStyleMedium2" defaultPivotStyle="PivotStyleLight16"/>
  <colors>
    <mruColors>
      <color rgb="FFCCFF99"/>
      <color rgb="FF00FFFF"/>
      <color rgb="FF66FFCC"/>
      <color rgb="FF99CCFF"/>
      <color rgb="FFFFFF99"/>
      <color rgb="FF00FF00"/>
      <color rgb="FFFF8181"/>
      <color rgb="FFFFCCFF"/>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pivotCacheDefinition" Target="pivotCache/pivotCacheDefinition1.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xdr:colOff>
      <xdr:row>1</xdr:row>
      <xdr:rowOff>34925</xdr:rowOff>
    </xdr:from>
    <xdr:to>
      <xdr:col>2</xdr:col>
      <xdr:colOff>1832430</xdr:colOff>
      <xdr:row>7</xdr:row>
      <xdr:rowOff>48629</xdr:rowOff>
    </xdr:to>
    <xdr:pic>
      <xdr:nvPicPr>
        <xdr:cNvPr id="1241" name="Imagen 12">
          <a:extLst>
            <a:ext uri="{FF2B5EF4-FFF2-40B4-BE49-F238E27FC236}">
              <a16:creationId xmlns:a16="http://schemas.microsoft.com/office/drawing/2014/main" id="{277E74E1-49CF-96C1-5BB6-15812E04A95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t="22626" b="15536"/>
        <a:stretch>
          <a:fillRect/>
        </a:stretch>
      </xdr:blipFill>
      <xdr:spPr bwMode="auto">
        <a:xfrm>
          <a:off x="662215" y="216354"/>
          <a:ext cx="2993572" cy="12474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Usuario\OneDrive%20-%20Bomberos%20Bogota\Escritorio\1.%20contrato%20124%20de%202024%20-%20UAECOB\5.%20armonizacion%20pptal%202024%20UAECOB\Anexo%202%20Proyectos%20y%20Conceptos%20de%20Gasto_vf_0805%20Circular%20SDH%2000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asus\Downloads\271320241226135151536%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2"/>
      <sheetName val="Intrucciones"/>
      <sheetName val="PROYECTOS DE INVERSION"/>
      <sheetName val=" Homologos FUT y CUIPO"/>
      <sheetName val="MGA"/>
      <sheetName val="TD"/>
      <sheetName val="Homologaciones"/>
      <sheetName val="Anexo 2 Proyectos y Conceptos d"/>
    </sheetNames>
    <sheetDataSet>
      <sheetData sheetId="0"/>
      <sheetData sheetId="1"/>
      <sheetData sheetId="2"/>
      <sheetData sheetId="3"/>
      <sheetData sheetId="4">
        <row r="7990">
          <cell r="A7990" t="str">
            <v>0401</v>
          </cell>
        </row>
        <row r="7991">
          <cell r="A7991" t="str">
            <v>0406</v>
          </cell>
        </row>
        <row r="7992">
          <cell r="A7992" t="str">
            <v>0499</v>
          </cell>
        </row>
        <row r="7993">
          <cell r="A7993" t="str">
            <v>1201</v>
          </cell>
        </row>
        <row r="7994">
          <cell r="A7994" t="str">
            <v>1202</v>
          </cell>
        </row>
        <row r="7995">
          <cell r="A7995" t="str">
            <v>1203</v>
          </cell>
        </row>
        <row r="7996">
          <cell r="A7996" t="str">
            <v>1204</v>
          </cell>
        </row>
        <row r="7997">
          <cell r="A7997" t="str">
            <v>1205</v>
          </cell>
        </row>
        <row r="7998">
          <cell r="A7998" t="str">
            <v>1206</v>
          </cell>
        </row>
        <row r="7999">
          <cell r="A7999" t="str">
            <v>1207</v>
          </cell>
        </row>
        <row r="8000">
          <cell r="A8000" t="str">
            <v>1208</v>
          </cell>
        </row>
        <row r="8001">
          <cell r="A8001" t="str">
            <v>1209</v>
          </cell>
        </row>
        <row r="8002">
          <cell r="A8002" t="str">
            <v>1299</v>
          </cell>
        </row>
        <row r="8003">
          <cell r="A8003" t="str">
            <v>1702</v>
          </cell>
        </row>
        <row r="8004">
          <cell r="A8004" t="str">
            <v>1703</v>
          </cell>
        </row>
        <row r="8005">
          <cell r="A8005" t="str">
            <v>1704</v>
          </cell>
        </row>
        <row r="8006">
          <cell r="A8006" t="str">
            <v>1705</v>
          </cell>
        </row>
        <row r="8007">
          <cell r="A8007" t="str">
            <v>1706</v>
          </cell>
        </row>
        <row r="8008">
          <cell r="A8008" t="str">
            <v>1707</v>
          </cell>
        </row>
        <row r="8009">
          <cell r="A8009" t="str">
            <v>1708</v>
          </cell>
        </row>
        <row r="8010">
          <cell r="A8010" t="str">
            <v>1709</v>
          </cell>
        </row>
        <row r="8011">
          <cell r="A8011" t="str">
            <v>1799</v>
          </cell>
        </row>
        <row r="8012">
          <cell r="A8012" t="str">
            <v>1903</v>
          </cell>
        </row>
        <row r="8013">
          <cell r="A8013" t="str">
            <v>1905</v>
          </cell>
        </row>
        <row r="8014">
          <cell r="A8014" t="str">
            <v>1906</v>
          </cell>
        </row>
        <row r="8015">
          <cell r="A8015" t="str">
            <v>1999</v>
          </cell>
        </row>
        <row r="8016">
          <cell r="A8016" t="str">
            <v>2101</v>
          </cell>
        </row>
        <row r="8017">
          <cell r="A8017" t="str">
            <v>2102</v>
          </cell>
        </row>
        <row r="8018">
          <cell r="A8018" t="str">
            <v>2103</v>
          </cell>
        </row>
        <row r="8019">
          <cell r="A8019" t="str">
            <v>2104</v>
          </cell>
        </row>
        <row r="8020">
          <cell r="A8020" t="str">
            <v>2105</v>
          </cell>
        </row>
        <row r="8021">
          <cell r="A8021" t="str">
            <v>2106</v>
          </cell>
        </row>
        <row r="8022">
          <cell r="A8022" t="str">
            <v>2199</v>
          </cell>
        </row>
        <row r="8023">
          <cell r="A8023" t="str">
            <v>2201</v>
          </cell>
        </row>
        <row r="8024">
          <cell r="A8024" t="str">
            <v>2202</v>
          </cell>
        </row>
        <row r="8025">
          <cell r="A8025" t="str">
            <v>2299</v>
          </cell>
        </row>
        <row r="8026">
          <cell r="A8026" t="str">
            <v>2301</v>
          </cell>
        </row>
        <row r="8027">
          <cell r="A8027" t="str">
            <v>2302</v>
          </cell>
        </row>
        <row r="8028">
          <cell r="A8028" t="str">
            <v>2399</v>
          </cell>
        </row>
        <row r="8029">
          <cell r="A8029" t="str">
            <v>2401</v>
          </cell>
        </row>
        <row r="8030">
          <cell r="A8030" t="str">
            <v>2402</v>
          </cell>
        </row>
        <row r="8031">
          <cell r="A8031" t="str">
            <v>2403</v>
          </cell>
        </row>
        <row r="8032">
          <cell r="A8032" t="str">
            <v>2404</v>
          </cell>
        </row>
        <row r="8033">
          <cell r="A8033" t="str">
            <v>2405</v>
          </cell>
        </row>
        <row r="8034">
          <cell r="A8034" t="str">
            <v>2406</v>
          </cell>
        </row>
        <row r="8035">
          <cell r="A8035" t="str">
            <v>2407</v>
          </cell>
        </row>
        <row r="8036">
          <cell r="A8036" t="str">
            <v>2408</v>
          </cell>
        </row>
        <row r="8037">
          <cell r="A8037" t="str">
            <v>2409</v>
          </cell>
        </row>
        <row r="8038">
          <cell r="A8038" t="str">
            <v>2410</v>
          </cell>
        </row>
        <row r="8039">
          <cell r="A8039" t="str">
            <v>2499</v>
          </cell>
        </row>
        <row r="8040">
          <cell r="A8040" t="str">
            <v>2501</v>
          </cell>
        </row>
        <row r="8041">
          <cell r="A8041" t="str">
            <v>2502</v>
          </cell>
        </row>
        <row r="8042">
          <cell r="A8042" t="str">
            <v>2503</v>
          </cell>
        </row>
        <row r="8043">
          <cell r="A8043" t="str">
            <v>2504</v>
          </cell>
        </row>
        <row r="8044">
          <cell r="A8044" t="str">
            <v>2599</v>
          </cell>
        </row>
        <row r="8045">
          <cell r="A8045" t="str">
            <v>3201</v>
          </cell>
        </row>
        <row r="8046">
          <cell r="A8046" t="str">
            <v>3202</v>
          </cell>
        </row>
        <row r="8047">
          <cell r="A8047" t="str">
            <v>3203</v>
          </cell>
        </row>
        <row r="8048">
          <cell r="A8048" t="str">
            <v>3204</v>
          </cell>
        </row>
        <row r="8049">
          <cell r="A8049" t="str">
            <v>3205</v>
          </cell>
        </row>
        <row r="8050">
          <cell r="A8050" t="str">
            <v>3206</v>
          </cell>
        </row>
        <row r="8051">
          <cell r="A8051" t="str">
            <v>3207</v>
          </cell>
        </row>
        <row r="8052">
          <cell r="A8052" t="str">
            <v>3208</v>
          </cell>
        </row>
        <row r="8053">
          <cell r="A8053" t="str">
            <v>3299</v>
          </cell>
        </row>
        <row r="8054">
          <cell r="A8054" t="str">
            <v>3301</v>
          </cell>
        </row>
        <row r="8055">
          <cell r="A8055" t="str">
            <v>3302</v>
          </cell>
        </row>
        <row r="8056">
          <cell r="A8056" t="str">
            <v>3399</v>
          </cell>
        </row>
        <row r="8057">
          <cell r="A8057" t="str">
            <v>3501</v>
          </cell>
        </row>
        <row r="8058">
          <cell r="A8058" t="str">
            <v>3502</v>
          </cell>
        </row>
        <row r="8059">
          <cell r="A8059" t="str">
            <v>3503</v>
          </cell>
        </row>
        <row r="8060">
          <cell r="A8060" t="str">
            <v>3599</v>
          </cell>
        </row>
        <row r="8061">
          <cell r="A8061" t="str">
            <v>3601</v>
          </cell>
        </row>
        <row r="8062">
          <cell r="A8062" t="str">
            <v>3602</v>
          </cell>
        </row>
        <row r="8063">
          <cell r="A8063" t="str">
            <v>3603</v>
          </cell>
        </row>
        <row r="8064">
          <cell r="A8064" t="str">
            <v>3604</v>
          </cell>
        </row>
        <row r="8065">
          <cell r="A8065" t="str">
            <v>3605</v>
          </cell>
        </row>
        <row r="8066">
          <cell r="A8066" t="str">
            <v>3699</v>
          </cell>
        </row>
        <row r="8067">
          <cell r="A8067" t="str">
            <v>3905</v>
          </cell>
        </row>
        <row r="8068">
          <cell r="A8068" t="str">
            <v>3906</v>
          </cell>
        </row>
        <row r="8069">
          <cell r="A8069" t="str">
            <v>3999</v>
          </cell>
        </row>
        <row r="8070">
          <cell r="A8070" t="str">
            <v>4001</v>
          </cell>
        </row>
        <row r="8071">
          <cell r="A8071" t="str">
            <v>4002</v>
          </cell>
        </row>
        <row r="8072">
          <cell r="A8072" t="str">
            <v>4003</v>
          </cell>
        </row>
        <row r="8073">
          <cell r="A8073" t="str">
            <v>4099</v>
          </cell>
        </row>
        <row r="8074">
          <cell r="A8074" t="str">
            <v>4101</v>
          </cell>
        </row>
        <row r="8075">
          <cell r="A8075" t="str">
            <v>4102</v>
          </cell>
        </row>
        <row r="8076">
          <cell r="A8076" t="str">
            <v>4103</v>
          </cell>
        </row>
        <row r="8077">
          <cell r="A8077" t="str">
            <v>4104</v>
          </cell>
        </row>
        <row r="8078">
          <cell r="A8078" t="str">
            <v>4199</v>
          </cell>
        </row>
        <row r="8079">
          <cell r="A8079" t="str">
            <v>4301</v>
          </cell>
        </row>
        <row r="8080">
          <cell r="A8080" t="str">
            <v>4302</v>
          </cell>
        </row>
        <row r="8081">
          <cell r="A8081" t="str">
            <v>4399</v>
          </cell>
        </row>
        <row r="8082">
          <cell r="A8082" t="str">
            <v>4501</v>
          </cell>
        </row>
        <row r="8083">
          <cell r="A8083" t="str">
            <v>4502</v>
          </cell>
        </row>
        <row r="8084">
          <cell r="A8084" t="str">
            <v>4503</v>
          </cell>
        </row>
        <row r="8085">
          <cell r="A8085" t="str">
            <v>4599</v>
          </cell>
        </row>
      </sheetData>
      <sheetData sheetId="5"/>
      <sheetData sheetId="6"/>
      <sheetData sheetId="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PAA VR16 -2024 UAECOB BCS"/>
      <sheetName val="Control PAA Vr0"/>
      <sheetName val="Distribución Pptal Inv"/>
      <sheetName val="TD"/>
      <sheetName val="resumen"/>
    </sheetNames>
    <sheetDataSet>
      <sheetData sheetId="0"/>
      <sheetData sheetId="1"/>
      <sheetData sheetId="2"/>
      <sheetData sheetId="3"/>
      <sheetData sheetId="4"/>
      <sheetData sheetId="5"/>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Usuario" refreshedDate="45669.625428935185" createdVersion="8" refreshedVersion="8" minRefreshableVersion="3" recordCount="562" xr:uid="{DB041FE5-6DCF-46C4-8B66-D0452E71168F}">
  <cacheSource type="worksheet">
    <worksheetSource ref="B10:AC566" sheet="PAA VR1 -2025 UAECOB BCS"/>
  </cacheSource>
  <cacheFields count="28">
    <cacheField name="Id" numFmtId="0">
      <sharedItems containsSemiMixedTypes="0" containsString="0" containsNumber="1" containsInteger="1" minValue="20250001" maxValue="20250562"/>
    </cacheField>
    <cacheField name="Proyecto y nombre " numFmtId="0">
      <sharedItems count="3">
        <s v="8126-Fortalecimiento institucional de la UAECOB para un gobierno confiable Bogotá D.C."/>
        <s v="8173-Modernización de las capacidades del Cuerpo Oficial de Bomberos Bogotá D.C."/>
        <s v="131- Funcionamiento"/>
      </sharedItems>
    </cacheField>
    <cacheField name="Dependencia " numFmtId="0">
      <sharedItems count="12">
        <s v="Oficina de Control Interno"/>
        <s v="Oficina Juridica"/>
        <s v="Oficina de Control Disciplinario Interno"/>
        <s v="Oficina Asesora de Planeación"/>
        <s v="Dirección"/>
        <s v="Dirección comunicaciones y Prensa"/>
        <s v="Sub. Gestión Humana"/>
        <s v="Sub. Logística"/>
        <s v="Sub. Gestión Riesgos"/>
        <s v="Sub. Operativa"/>
        <s v="Dirección Tic"/>
        <s v="Sub. Gestión Corporativa"/>
      </sharedItems>
    </cacheField>
    <cacheField name="Responsable" numFmtId="0">
      <sharedItems/>
    </cacheField>
    <cacheField name="Objeto" numFmtId="0">
      <sharedItems longText="1"/>
    </cacheField>
    <cacheField name="Tipo de Contratación" numFmtId="0">
      <sharedItems/>
    </cacheField>
    <cacheField name="Código UNSPSC (cada código separado por ;)" numFmtId="0">
      <sharedItems containsMixedTypes="1" containsNumber="1" containsInteger="1" minValue="15101500" maxValue="90121800" longText="1"/>
    </cacheField>
    <cacheField name="Mes inicio de ejecución" numFmtId="0">
      <sharedItems containsDate="1" containsMixedTypes="1" minDate="1899-12-31T04:01:03" maxDate="1899-12-31T00:39:04"/>
    </cacheField>
    <cacheField name="plazo ejec Meses" numFmtId="0">
      <sharedItems containsMixedTypes="1" containsNumber="1" containsInteger="1" minValue="0" maxValue="12"/>
    </cacheField>
    <cacheField name="mas plazo ejec Días (si aplica)" numFmtId="0">
      <sharedItems containsBlank="1" containsMixedTypes="1" containsNumber="1" containsInteger="1" minValue="0" maxValue="15"/>
    </cacheField>
    <cacheField name="Valor Programado" numFmtId="165">
      <sharedItems containsSemiMixedTypes="0" containsString="0" containsNumber="1" containsInteger="1" minValue="2000000" maxValue="8054000000"/>
    </cacheField>
    <cacheField name="Fuente de Recursos" numFmtId="0">
      <sharedItems count="3">
        <s v="1-100-I087 VA-Sobretasa Bomberil"/>
        <s v="1-100-F001 VA-Recursos distrito"/>
        <s v="1-601-F001 PAS-Otros distrito"/>
      </sharedItems>
    </cacheField>
    <cacheField name="Modalidad de Selección" numFmtId="165">
      <sharedItems/>
    </cacheField>
    <cacheField name="Meta Proyecto de Inversión" numFmtId="0">
      <sharedItems count="25" longText="1">
        <s v="8126 9-Fortalecer el 100% de la gestión administrativa de las áreas de apoyo al cumplimiento de la misionalidad de la UAECOB"/>
        <s v="8126 1-Implementar el 100% de las actividades de seguimiento y control de los requisitos y directrices de las políticas del Modelo integrado de Planeación y Gestión - MIPG"/>
        <s v="8126 2-Formular y ejecutar el 100% de las actividades asociadas al modelo de relacionamiento con la ciudadanía (servicio a la ciudadanía, transparencia acceso a la información y lucha contra la corrupción, Rendición de cuentas y racionalización de trámites); participación y  colaboración ciudadana y, medidas de integridad y anticorrupción."/>
        <s v="8126 3-Implementar el 100% de los sistemas y modelos de gestión que defina la UAECOB en el marco del MIPG"/>
        <s v="8126 10-Formular e Implementar una estrategia de comunicaciones en lo relacionado con la divulgación de estrategias, programas, proyectos y servicios a los grupos de interés, de la UAECOB"/>
        <s v="8173 9-Implementar el 100% del programa de capacitación, formación y entrenamiento al personal uniformado de la Unidad Administrativa Cuerpo Oficial de Bomberos de Bogotá."/>
        <s v="No aplica"/>
        <s v="8173 4-Desarrollar 3 estrategias para el fortalecimiento de la logistica en la atención de emergencias. "/>
        <s v="8173 1-Implementación 6 estrategias de reducción del riesgo de incendios,  incidentes con materiales peligrosos y rescate en todas sus modalidades en la ciudad de Bogotá"/>
        <s v="8173 5-Realizar 3 Estrategias de Investigación, desarrollo e innovación en gestión del riesgo"/>
        <s v="8173 6-Implementar un sistema de monitoreo y seguimiento a incidentes y emergencias para Bogotá, incluyendo cerros orientales"/>
        <s v="8173 2-Desarrollar un programa de renovación de equipos, herramientas, accesorios y elementos de protección personal en la UAECOB."/>
        <s v="8173 3-Desarrollar un programa de renovación de vehículos de la Unidad Administrativa Cuerpo Oficial de Bomberos de Bogotá."/>
        <s v="8126 5-Desarrollar el 100% de las acciones asociadas al fortalecimiento de la infraestructura tecnológica y de comunicaciones de la UAECOB"/>
        <s v="8126 6-Formular e Implementar 1 Plan Estratégico de Tecnologías de la Información y Transformación Digital de la UAECOB."/>
        <s v="8126 4-Administrar, soportar y mantener el 100% del servicio de Herramientas de Colaboración y sistemas de información."/>
        <s v="8126 7-Actualizar e implementar el 100% del Plan Anual de Seguridad y Privacidad de la Información."/>
        <s v="8128 5-Desarrollar el 100% de las acciones asociadas al fortalecimiento de la infraestructura tecnológica y de comunicaciones de la UAECOB"/>
        <s v="8127 4-Administrar, soportar y mantener el 100% del servicio de Herramientas de Colaboración y sistemas de información."/>
        <s v="8128 4-Administrar, soportar y mantener el 100% del servicio de Herramientas de Colaboración y sistemas de información."/>
        <s v="8129 4-Administrar, soportar y mantener el 100% del servicio de Herramientas de Colaboración y sistemas de información."/>
        <s v="8173 7-Adecuar 4 Sedes de la UAECOB"/>
        <s v="8126 8-Implementar el 100% del programa de mantenimiento a las sedes de Bomberos de Bogotá"/>
        <s v="8173 10-Realizar 2 documentos de lineamientos técnicos para la construcción de estaciones de bomberos"/>
        <s v="8173 8-Construir 1 sede de bomberos de la UAECOB"/>
      </sharedItems>
    </cacheField>
    <cacheField name="Bogotá camina segura" numFmtId="0">
      <sharedItems count="2">
        <s v="O230117"/>
        <s v="NA"/>
      </sharedItems>
    </cacheField>
    <cacheField name="Sector_Programa MGA" numFmtId="0">
      <sharedItems count="3">
        <s v="4599"/>
        <s v="4503"/>
        <s v="NA"/>
      </sharedItems>
    </cacheField>
    <cacheField name="BPIN (AÑO+COD_PROYECTO)" numFmtId="0">
      <sharedItems containsMixedTypes="1" containsNumber="1" containsInteger="1" minValue="20240207" maxValue="20240255" count="3">
        <n v="20240207"/>
        <n v="20240255"/>
        <s v="NA"/>
      </sharedItems>
    </cacheField>
    <cacheField name="Producto PMR" numFmtId="0">
      <sharedItems count="11">
        <s v="08"/>
        <s v="13"/>
        <s v="07"/>
        <s v="N/A"/>
        <s v="09"/>
        <s v="12"/>
        <s v="05"/>
        <s v="11"/>
        <s v="06"/>
        <s v="04"/>
        <s v="10"/>
      </sharedItems>
    </cacheField>
    <cacheField name="Descripción Producto PMR" numFmtId="0">
      <sharedItems count="11">
        <s v="Infraestructura física, mantenimiento y dotación (Sedes construidas, mantenidas reforzadas)"/>
        <s v="Servicios para la planeación y sistemas de gestión y comunicación estratégica"/>
        <s v="Servicio de formación en gestión del riesgo de incendios para el personal UAECOB"/>
        <s v="N/A"/>
        <s v="Servicio de mantenimiento, dotación (HEA´s y equipo menor) y adquisición de vehiculos   especializados para la atención de emergencias."/>
        <s v="Servicio de apoyo   logístico  en eventos operativos y/o emergencias."/>
        <s v="Servicio de capacitaciones en gestión del riesgo de incendios  a la ciudadania."/>
        <s v="Infraestructura Tecnológica   (Sistemas de Información y Tecnologia)"/>
        <s v="Servicio de inspecciones técnicas realizadas"/>
        <s v="Servicio de atención a incidentes y emergencias."/>
        <s v="Servicio de dotación y equipamento para el personal operativo"/>
      </sharedItems>
    </cacheField>
    <cacheField name="PMR conca" numFmtId="0">
      <sharedItems/>
    </cacheField>
    <cacheField name="Producto MGA" numFmtId="0">
      <sharedItems count="13">
        <s v="016"/>
        <s v="031"/>
        <s v="023"/>
        <s v="019"/>
        <s v="002"/>
        <s v="N/A"/>
        <s v="004"/>
        <s v="035"/>
        <s v="018"/>
        <s v="007"/>
        <s v="014"/>
        <s v="031_"/>
        <s v="015"/>
      </sharedItems>
    </cacheField>
    <cacheField name="Descripción Producto MGA" numFmtId="0">
      <sharedItems/>
    </cacheField>
    <cacheField name="concatenarMGA" numFmtId="0">
      <sharedItems/>
    </cacheField>
    <cacheField name="PM MGA conca" numFmtId="0">
      <sharedItems/>
    </cacheField>
    <cacheField name="Código de proyecto de inversión, asociado a productos PMR y MGA" numFmtId="0">
      <sharedItems count="18">
        <s v="O23011745992024020708016"/>
        <s v="O23011745992024020713031"/>
        <s v="O23011745992024020713023"/>
        <s v="O23011745992024020713019"/>
        <s v="O23011745032024025507002"/>
        <s v="NANANAN/AN/A"/>
        <s v="O23011745032024025509004"/>
        <s v="O23011745032024025512004"/>
        <s v="O23011745032024025505035"/>
        <s v="O23011745032024025511018"/>
        <s v="O23011745032024025505002"/>
        <s v="O23011745032024025506035"/>
        <s v="O23011745032024025504004"/>
        <s v="O23011745032024025510004"/>
        <s v="O23011745992024020711007"/>
        <s v="O23011745032024025508014"/>
        <s v="O23011745032024025508031_"/>
        <s v="O23011745032024025508015"/>
      </sharedItems>
    </cacheField>
    <cacheField name="codigo PEP" numFmtId="0">
      <sharedItems count="18">
        <s v="PM/0131/0108/45990160207"/>
        <s v="PM/0131/0113/45990310207"/>
        <s v="PM/0131/0113/45990230207"/>
        <s v="PM/0131/0113/45990190207"/>
        <s v="PM/0131/0107/45030020255"/>
        <s v="N/A"/>
        <s v="PM/0131/0109/45030040255"/>
        <s v="PM/0131/0112/45030040255"/>
        <s v="PM/0131/0105/45030350255"/>
        <s v="PM/0131/0111/45030180255"/>
        <s v="PM/0131/0105/45030020255"/>
        <s v="PM/0131/0106/45030350255"/>
        <s v="PM/0131/0104/45030040255"/>
        <s v="PM/0131/0110/45030040255"/>
        <s v="PM/0131/0111/45990070207"/>
        <s v="PM/0131/0108/45030140255"/>
        <s v="PM/0131/0108/45030310255"/>
        <s v="PM/0131/0108/45030150255"/>
      </sharedItems>
    </cacheField>
    <cacheField name="POSPRE" numFmtId="0">
      <sharedItems count="25">
        <s v="O232020200883990 Otros servicios profesionales, técnicos y empresariales n.c.p."/>
        <s v="O232020200882199 Otros servicios jurídicos n.c.p."/>
        <s v="No Aplica"/>
        <s v="O23201010030208 Otra maquinaria para usos especiales y sus partes y piezas"/>
        <s v="O23202020088714199 Servicio de mantenimiento y reparación de vehículos automotores n.c.p."/>
        <s v="O2320201003083899997 Artículos n.c.p. para protección"/>
        <s v="O232020200663393 Otros servicios de comidas contratadas"/>
        <s v="O2320201003053543003 Aditivos para gasolina, aceites minerales y combustible en general"/>
        <s v="O232020200883590 Otros servicios veterinarios"/>
        <s v="O2120202008078714199 Servicio de mantenimiento y reparación de vehículos automotores n.c.p."/>
        <s v="O232020200883132 Servicios de soporte en tecnologías de la información (TI)"/>
        <s v="O2120201002082823609    Uniformes de trabajo"/>
        <s v="O232020200883159 Otros servicios de alojamiento y suministro de infraestructura en tecnología de la información (TI)"/>
        <s v=" O2320202005040554590 Otros servicios especializados de la construcción "/>
        <s v=" O232020200885330 Servicios de limpieza general "/>
        <s v=" O23202020088715999 Servicio de mantenimiento y reparación de otros equipos n.c.p. "/>
        <s v=" O232020200883990 Otros servicios profesionales, técnicos y empresariales n.c.p. "/>
        <s v=" No Aplica "/>
        <s v="O232020200885250 Servicios de protección (guardas de seguridad)"/>
        <s v="O2320202005040554590 Otros servicios especializados de la construcción"/>
        <s v="O21202020080787130 Servicios de mantenimiento y reparación de computa"/>
        <s v="O21202020080484290 Otros servicios de telecomunicaciones vía Internet"/>
        <s v="O21202020080383141 Servicios de diseño y desarrollo de aplicaciones en tecnologías de la información (TI)"/>
        <s v="O23202020088715999 Servicio de mantenimiento y reparación de otros equipos n.c.p." u="1"/>
        <s v=" O232020200882199 Otros servicios jurídicos n.c.p. " u="1"/>
      </sharedItems>
    </cacheField>
    <cacheField name="Si Secop / No Secop"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562">
  <r>
    <n v="20250001"/>
    <x v="0"/>
    <x v="0"/>
    <s v="Jaime Hernando Arias Patiño"/>
    <s v="Prestar los servicios profesionales  como abogado en la Oficina de Control Interno para el desarrollo del Plan Anual de Auditorías."/>
    <s v="25 - contrato de prestacion de servicios profesionales"/>
    <n v="80111600"/>
    <s v="1"/>
    <n v="10"/>
    <n v="0"/>
    <n v="76650001"/>
    <x v="0"/>
    <s v="09 - contratación directa"/>
    <x v="0"/>
    <x v="0"/>
    <x v="0"/>
    <x v="0"/>
    <x v="0"/>
    <x v="0"/>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002"/>
    <x v="0"/>
    <x v="0"/>
    <s v="Jaime Hernando Arias Patiño"/>
    <s v="Prestar los servicios profesionales como contador publico en la Oficina de Control Interno para el desarrollo del Plan Anual de Auditorías."/>
    <s v="25 - contrato de prestacion de servicios profesionales"/>
    <n v="80111600"/>
    <n v="1"/>
    <n v="10"/>
    <n v="0"/>
    <n v="76650001"/>
    <x v="0"/>
    <s v="09 - contratación directa"/>
    <x v="0"/>
    <x v="0"/>
    <x v="0"/>
    <x v="0"/>
    <x v="0"/>
    <x v="0"/>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003"/>
    <x v="0"/>
    <x v="0"/>
    <s v="Jaime Hernando Arias Patiño"/>
    <s v="Prestar los servicios profesionales  en la Oficina de Control Interno para el desarrollo del Plan Anual de Auditorías."/>
    <s v="25 - contrato de prestacion de servicios profesionales"/>
    <n v="80111600"/>
    <n v="1"/>
    <n v="9"/>
    <n v="12"/>
    <n v="72174097"/>
    <x v="0"/>
    <s v="09 - contratación directa"/>
    <x v="0"/>
    <x v="0"/>
    <x v="0"/>
    <x v="0"/>
    <x v="0"/>
    <x v="0"/>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004"/>
    <x v="0"/>
    <x v="0"/>
    <s v="Jaime Hernando Arias Patiño"/>
    <s v="Prestar los servicios profesionales  en la Oficina de Control Interno para el desarrollo del Plan Anual de Auditorías."/>
    <s v="25 - contrato de prestacion de servicios profesionales"/>
    <n v="80111600"/>
    <n v="1"/>
    <n v="10"/>
    <n v="0"/>
    <n v="46285827"/>
    <x v="0"/>
    <s v="09 - contratación directa"/>
    <x v="0"/>
    <x v="0"/>
    <x v="0"/>
    <x v="0"/>
    <x v="0"/>
    <x v="0"/>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005"/>
    <x v="0"/>
    <x v="0"/>
    <s v="Jaime Hernando Arias Patiño"/>
    <s v="Prestar servicios de apoyo a la gestión como técnico   en la Oficina de Control Interno para ejecutar procesos y procedimientos administrativos y asistenciales teniendo en cuenta el Plan Anual de Auditorías."/>
    <s v="26 - contrato de prestacion de servicios de apoyo a la gestion"/>
    <n v="80111600"/>
    <n v="1"/>
    <n v="10"/>
    <n v="0"/>
    <n v="38240074"/>
    <x v="0"/>
    <s v="09 - contratación directa"/>
    <x v="0"/>
    <x v="0"/>
    <x v="0"/>
    <x v="0"/>
    <x v="0"/>
    <x v="0"/>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006"/>
    <x v="0"/>
    <x v="1"/>
    <s v="Monica Perez Barragan"/>
    <s v="Prestar los servicios profesionales jurídicos especializados en el desarrollo de las funciones de la Oficina Jurídica que garantice la verificación de legalidad contractual"/>
    <s v="25 - contrato de prestacion de servicios profesionales"/>
    <n v="80111600"/>
    <n v="2"/>
    <n v="11"/>
    <n v="0"/>
    <n v="110000000"/>
    <x v="0"/>
    <s v="09 - contratación directa"/>
    <x v="0"/>
    <x v="0"/>
    <x v="0"/>
    <x v="0"/>
    <x v="0"/>
    <x v="0"/>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007"/>
    <x v="0"/>
    <x v="1"/>
    <s v="Monica Perez Barragan"/>
    <s v="Prestar los servicios profesionales jurídicos especializados en el desarrollo de las funciones de la Oficina Jurídica que garantice la verificación de legalidad contractual"/>
    <s v="25 - contrato de prestacion de servicios profesionales"/>
    <n v="80111600"/>
    <n v="2"/>
    <n v="11"/>
    <n v="0"/>
    <n v="110000000"/>
    <x v="0"/>
    <s v="09 - contratación directa"/>
    <x v="0"/>
    <x v="0"/>
    <x v="0"/>
    <x v="0"/>
    <x v="0"/>
    <x v="0"/>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008"/>
    <x v="0"/>
    <x v="1"/>
    <s v="Monica Perez Barragan"/>
    <s v="Prestar los servicios profesionales especializados de asesoría y control, en el desarrollo de las funciones de la Oficina  Jurídica para la elaboración y revisión de Estudios de Mercado, Análisis del sector y estructuración del presupuesto de los procesos de selección."/>
    <s v="25 - contrato de prestacion de servicios profesionales"/>
    <n v="80111600"/>
    <n v="2"/>
    <n v="11"/>
    <n v="0"/>
    <n v="88000000"/>
    <x v="0"/>
    <s v="09 - contratación directa"/>
    <x v="0"/>
    <x v="0"/>
    <x v="0"/>
    <x v="0"/>
    <x v="0"/>
    <x v="0"/>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009"/>
    <x v="0"/>
    <x v="1"/>
    <s v="Monica Perez Barragan"/>
    <s v="Prestar servicios profesionales para apoyar en la estructuración de las acciones de mejora, seguimiento  a la gestión contractual de la Entidad y demás procedimientos, en el marco de las funciones de la Oficina Jurídica"/>
    <s v="25 - contrato de prestacion de servicios profesionales"/>
    <n v="80111600"/>
    <n v="2"/>
    <n v="11"/>
    <n v="0"/>
    <n v="99000000"/>
    <x v="0"/>
    <s v="09 - contratación directa"/>
    <x v="0"/>
    <x v="0"/>
    <x v="0"/>
    <x v="0"/>
    <x v="0"/>
    <x v="0"/>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010"/>
    <x v="0"/>
    <x v="1"/>
    <s v="Monica Perez Barragan"/>
    <s v="Prestar servicios profesionales para apoyar en la estructuración de las acciones de mejora, elaboración de informes y soporte de las funciones administrativas y de mejora"/>
    <s v="25 - contrato de prestacion de servicios profesionales"/>
    <n v="80111600"/>
    <n v="2"/>
    <n v="11"/>
    <n v="0"/>
    <n v="61300000"/>
    <x v="0"/>
    <s v="09 - contratación directa"/>
    <x v="0"/>
    <x v="0"/>
    <x v="0"/>
    <x v="0"/>
    <x v="0"/>
    <x v="0"/>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011"/>
    <x v="0"/>
    <x v="1"/>
    <s v="Monica Perez Barragan"/>
    <s v="Prestar los servicios profesionales jurídicos especializados en el desarrollo de las funciones de la Oficina Jurídica prestando asesoría jurídica especializada en Defensa Judicial"/>
    <s v="25 - contrato de prestacion de servicios profesionales"/>
    <n v="80111600"/>
    <n v="2"/>
    <n v="11"/>
    <n v="0"/>
    <n v="121000000"/>
    <x v="0"/>
    <s v="09 - contratación directa"/>
    <x v="0"/>
    <x v="0"/>
    <x v="0"/>
    <x v="0"/>
    <x v="0"/>
    <x v="0"/>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012"/>
    <x v="0"/>
    <x v="1"/>
    <s v="Monica Perez Barragan"/>
    <s v="Prestar los servicios profesionales jurídicos para apoyar las actividades propias de la gestión contractual que adelanta la Oficina Jurídica - Abogado Senior de gestión contractual en procesos de selección"/>
    <s v="25 - contrato de prestacion de servicios profesionales"/>
    <n v="80111600"/>
    <n v="2"/>
    <n v="11"/>
    <n v="0"/>
    <n v="93500000"/>
    <x v="0"/>
    <s v="09 - contratación directa"/>
    <x v="0"/>
    <x v="0"/>
    <x v="0"/>
    <x v="0"/>
    <x v="0"/>
    <x v="0"/>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013"/>
    <x v="0"/>
    <x v="1"/>
    <s v="Monica Perez Barragan"/>
    <s v="Prestar los servicios profesionales jurídicos para apoyar las actividades propias de la gestión contractual que adelanta la Oficina Jurídica - Abogado Senior de gestión contractual en procesos de selección"/>
    <s v="25 - contrato de prestacion de servicios profesionales"/>
    <n v="80111600"/>
    <n v="2"/>
    <n v="11"/>
    <n v="0"/>
    <n v="93500000"/>
    <x v="0"/>
    <s v="09 - contratación directa"/>
    <x v="0"/>
    <x v="0"/>
    <x v="0"/>
    <x v="0"/>
    <x v="0"/>
    <x v="0"/>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014"/>
    <x v="0"/>
    <x v="1"/>
    <s v="Monica Perez Barragan"/>
    <s v="Prestar los servicios profesionales jurídicos para apoyar las actividades propias de la gestión contractual que adelanta la Oficina Jurídica - Abogado Senior de gestión contractual en procesos de selección"/>
    <s v="25 - contrato de prestacion de servicios profesionales"/>
    <n v="80111600"/>
    <n v="2"/>
    <n v="11"/>
    <n v="0"/>
    <n v="93500000"/>
    <x v="0"/>
    <s v="09 - contratación directa"/>
    <x v="0"/>
    <x v="0"/>
    <x v="0"/>
    <x v="0"/>
    <x v="0"/>
    <x v="0"/>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015"/>
    <x v="0"/>
    <x v="1"/>
    <s v="Monica Perez Barragan"/>
    <s v="Prestar los servicios profesionales jurídicos para apoyar las actividades propias de la gestión contractual que adelanta la Oficina Jurídica - Abogado Senior de gestión contractual en procesos de selección"/>
    <s v="25 - contrato de prestacion de servicios profesionales"/>
    <n v="80111600"/>
    <n v="2"/>
    <n v="11"/>
    <n v="0"/>
    <n v="82500000"/>
    <x v="0"/>
    <s v="09 - contratación directa"/>
    <x v="0"/>
    <x v="0"/>
    <x v="0"/>
    <x v="0"/>
    <x v="0"/>
    <x v="0"/>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016"/>
    <x v="0"/>
    <x v="1"/>
    <s v="Monica Perez Barragan"/>
    <s v="Prestar los servicios profesionales jurídicos para apoyar las actividades propias de la gestión contractual que adelanta la Oficina Jurídica - Abogado Senior de gestión contractual en procesos de selección"/>
    <s v="25 - contrato de prestacion de servicios profesionales"/>
    <n v="80111600"/>
    <n v="2"/>
    <n v="11"/>
    <n v="0"/>
    <n v="82500000"/>
    <x v="0"/>
    <s v="09 - contratación directa"/>
    <x v="0"/>
    <x v="0"/>
    <x v="0"/>
    <x v="0"/>
    <x v="0"/>
    <x v="0"/>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017"/>
    <x v="0"/>
    <x v="1"/>
    <s v="Monica Perez Barragan"/>
    <s v="Prestar los servicios profesionales jurídicos para apoyar las actividades propias de la gestión contractual que adelanta la Oficina Jurídica - Abogado Senior de gestión contractual en procesos de selección"/>
    <s v="25 - contrato de prestacion de servicios profesionales"/>
    <n v="80111600"/>
    <n v="2"/>
    <n v="11"/>
    <n v="0"/>
    <n v="82500000"/>
    <x v="0"/>
    <s v="09 - contratación directa"/>
    <x v="0"/>
    <x v="0"/>
    <x v="0"/>
    <x v="0"/>
    <x v="0"/>
    <x v="0"/>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018"/>
    <x v="0"/>
    <x v="1"/>
    <s v="Monica Perez Barragan"/>
    <s v="Prestar los servicios profesionales jurídicos para apoyar las actividades propias de la gestión contractual que adelanta la Oficina Jurídica - Abogado Senior de gestión contractual en procesos de selección"/>
    <s v="25 - contrato de prestacion de servicios profesionales"/>
    <n v="80111600"/>
    <n v="2"/>
    <n v="11"/>
    <n v="0"/>
    <n v="82500000"/>
    <x v="0"/>
    <s v="09 - contratación directa"/>
    <x v="0"/>
    <x v="0"/>
    <x v="0"/>
    <x v="0"/>
    <x v="0"/>
    <x v="0"/>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019"/>
    <x v="0"/>
    <x v="1"/>
    <s v="Monica Perez Barragan"/>
    <s v="Prestar los servicios profesionales  jurídicos para apoyar las actividades propias de la gestión contractual que adelanta la Oficina  Jurídica - Abogado junior para la gestión de contratos de prestación de servicios profesionales y de apoyo a la gestión"/>
    <s v="26 - contrato de prestacion de servicios de apoyo a la gestion"/>
    <n v="80111600"/>
    <n v="2"/>
    <n v="11"/>
    <n v="0"/>
    <n v="66000000"/>
    <x v="0"/>
    <s v="09 - contratación directa"/>
    <x v="0"/>
    <x v="0"/>
    <x v="0"/>
    <x v="0"/>
    <x v="0"/>
    <x v="0"/>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020"/>
    <x v="0"/>
    <x v="1"/>
    <s v="Monica Perez Barragan"/>
    <s v="Prestar los servicios profesionales  jurídicos para apoyar las actividades propias de la gestión contractual que adelanta la Oficina  Jurídica - Abogado junior para la gestión de contratos de prestación de servicios profesionales y de apoyo a la gestión"/>
    <s v="26 - contrato de prestacion de servicios de apoyo a la gestion"/>
    <n v="80111600"/>
    <n v="2"/>
    <n v="11"/>
    <n v="0"/>
    <n v="66000000"/>
    <x v="0"/>
    <s v="09 - contratación directa"/>
    <x v="0"/>
    <x v="0"/>
    <x v="0"/>
    <x v="0"/>
    <x v="0"/>
    <x v="0"/>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021"/>
    <x v="0"/>
    <x v="1"/>
    <s v="Monica Perez Barragan"/>
    <s v="Prestar los servicios profesionales  jurídicos para apoyar las actividades propias de la gestión contractual que adelanta la Oficina  Jurídica - Abogado junior para la gestión de contratos de prestación de servicios profesionales y de apoyo a la gestión"/>
    <s v="26 - contrato de prestacion de servicios de apoyo a la gestion"/>
    <n v="80111600"/>
    <n v="2"/>
    <n v="11"/>
    <n v="0"/>
    <n v="71500000"/>
    <x v="0"/>
    <s v="09 - contratación directa"/>
    <x v="0"/>
    <x v="0"/>
    <x v="0"/>
    <x v="0"/>
    <x v="0"/>
    <x v="0"/>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022"/>
    <x v="0"/>
    <x v="1"/>
    <s v="Monica Perez Barragan"/>
    <s v="Prestar los servicios profesionales  jurídicos para apoyar las actividades propias de la gestión contractual que adelanta la Oficina  Jurídica - Abogado junior para la gestión de contratos de prestación de servicios profesionales y de apoyo a la gestión"/>
    <s v="25 - contrato de prestacion de servicios profesionales"/>
    <n v="80111600"/>
    <n v="2"/>
    <n v="11"/>
    <n v="0"/>
    <n v="71500000"/>
    <x v="0"/>
    <s v="09 - contratación directa"/>
    <x v="0"/>
    <x v="0"/>
    <x v="0"/>
    <x v="0"/>
    <x v="0"/>
    <x v="0"/>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023"/>
    <x v="0"/>
    <x v="1"/>
    <s v="Monica Perez Barragan"/>
    <s v="Prestar los servicios profesionales para realizar el acompañamiento administrativo y financiero en temas de liquidación y cierre de expedientes, como demás actuaciones administrativas requeridas de los procesos contractuales"/>
    <s v="25 - contrato de prestacion de servicios profesionales"/>
    <n v="80111600"/>
    <n v="2"/>
    <n v="11"/>
    <n v="0"/>
    <n v="93500000"/>
    <x v="0"/>
    <s v="09 - contratación directa"/>
    <x v="0"/>
    <x v="0"/>
    <x v="0"/>
    <x v="0"/>
    <x v="0"/>
    <x v="0"/>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024"/>
    <x v="0"/>
    <x v="1"/>
    <s v="Monica Perez Barragan"/>
    <s v="Prestar los servicios profesionales especializados para la representación judicial  de la Entidad y la prevención del daño antijurídico."/>
    <s v="25 - contrato de prestacion de servicios profesionales"/>
    <n v="80111600"/>
    <n v="2"/>
    <n v="11"/>
    <n v="0"/>
    <n v="346500000"/>
    <x v="0"/>
    <s v="09 - contratación directa"/>
    <x v="0"/>
    <x v="0"/>
    <x v="0"/>
    <x v="0"/>
    <x v="0"/>
    <x v="0"/>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025"/>
    <x v="0"/>
    <x v="1"/>
    <s v="Monica Perez Barragan"/>
    <s v="Prestar los servicios de apoyo para las gestiones administrativas requeridas en la Oficina  Jurídica."/>
    <s v="25 - contrato de prestacion de servicios profesionales"/>
    <n v="80111600"/>
    <n v="2"/>
    <n v="11"/>
    <n v="0"/>
    <n v="55000000"/>
    <x v="0"/>
    <s v="09 - contratación directa"/>
    <x v="0"/>
    <x v="0"/>
    <x v="0"/>
    <x v="0"/>
    <x v="0"/>
    <x v="0"/>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026"/>
    <x v="0"/>
    <x v="1"/>
    <s v="Monica Perez Barragan"/>
    <s v="Prestar los servicios de apoyo para las gestiones documentales y administrativas requerida por la Oficina  Jurídica."/>
    <s v="26 - contrato de prestacion de servicios de apoyo a la gestion"/>
    <n v="80111600"/>
    <n v="2"/>
    <n v="11"/>
    <n v="0"/>
    <n v="37400000"/>
    <x v="0"/>
    <s v="09 - contratación directa"/>
    <x v="0"/>
    <x v="0"/>
    <x v="0"/>
    <x v="0"/>
    <x v="0"/>
    <x v="0"/>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027"/>
    <x v="0"/>
    <x v="1"/>
    <s v="Monica Perez Barragan"/>
    <s v="Prestar los servicios de apoyo para las gestiones documentales y administrativas requerida por la Oficina  Jurídica."/>
    <s v="26 - contrato de prestacion de servicios de apoyo a la gestion"/>
    <n v="80111600"/>
    <n v="2"/>
    <n v="11"/>
    <n v="0"/>
    <n v="37400000"/>
    <x v="0"/>
    <s v="09 - contratación directa"/>
    <x v="0"/>
    <x v="0"/>
    <x v="0"/>
    <x v="0"/>
    <x v="0"/>
    <x v="0"/>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028"/>
    <x v="0"/>
    <x v="1"/>
    <s v="Monica Perez Barragan"/>
    <s v="Prestar los servicios de apoyo para las gestiones documentales y administrativas requerida por la Oficina  Jurídica."/>
    <s v="26 - contrato de prestacion de servicios de apoyo a la gestion"/>
    <n v="80111600"/>
    <n v="2"/>
    <n v="11"/>
    <n v="0"/>
    <n v="37400000"/>
    <x v="0"/>
    <s v="09 - contratación directa"/>
    <x v="0"/>
    <x v="0"/>
    <x v="0"/>
    <x v="0"/>
    <x v="0"/>
    <x v="0"/>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029"/>
    <x v="0"/>
    <x v="1"/>
    <s v="Monica Perez Barragan"/>
    <s v="Prestar servicios profesionales para apoyar en las acciones de control y manejo de la información y la presentación de los informes reglamentarios a los entes de control por parte de la OAJ"/>
    <s v="25 - contrato de prestacion de servicios profesionales"/>
    <n v="80111600"/>
    <n v="2"/>
    <n v="11"/>
    <n v="0"/>
    <n v="71500000"/>
    <x v="0"/>
    <s v="09 - contratación directa"/>
    <x v="0"/>
    <x v="0"/>
    <x v="0"/>
    <x v="0"/>
    <x v="0"/>
    <x v="0"/>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030"/>
    <x v="0"/>
    <x v="1"/>
    <s v="Monica Perez Barragan"/>
    <s v="Prestar servicios profesionales jurídicos para apoyar las actividades de defensa Judicial y de procesos penales que adelante la UAE Cuerpo Oficial de Bomberos de Bogotá"/>
    <s v="25 - contrato de prestacion de servicios profesionales"/>
    <n v="80111600"/>
    <n v="2"/>
    <n v="11"/>
    <n v="0"/>
    <n v="71500000"/>
    <x v="0"/>
    <s v="09 - contratación directa"/>
    <x v="0"/>
    <x v="0"/>
    <x v="0"/>
    <x v="0"/>
    <x v="0"/>
    <x v="0"/>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031"/>
    <x v="0"/>
    <x v="1"/>
    <s v="Monica Perez Barragan"/>
    <s v="Prestar servicios profesionales para realizar la gestión de tramites y actividades que se requieran en los diferentes procesos disciplinarios propios de la etapa de juzgamiento de la Oficina Jurídica en la UAECOB"/>
    <s v="25 - contrato de prestacion de servicios profesionales"/>
    <n v="80111600"/>
    <n v="2"/>
    <n v="11"/>
    <n v="0"/>
    <n v="60500000"/>
    <x v="0"/>
    <s v="09 - contratación directa"/>
    <x v="0"/>
    <x v="0"/>
    <x v="0"/>
    <x v="0"/>
    <x v="0"/>
    <x v="0"/>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032"/>
    <x v="0"/>
    <x v="1"/>
    <s v="Monica Perez Barragan"/>
    <s v="Prestar servicios profesionales para realizar la gestión de tramites y actividades que se requieran en los diferentes procesos disciplinarios propios de la etapa de juzgamiento de la Oficina Jurídica en la UAECOB"/>
    <s v="25 - contrato de prestacion de servicios profesionales"/>
    <n v="80111600"/>
    <n v="2"/>
    <n v="11"/>
    <n v="0"/>
    <n v="60500000"/>
    <x v="0"/>
    <s v="09 - contratación directa"/>
    <x v="0"/>
    <x v="0"/>
    <x v="0"/>
    <x v="0"/>
    <x v="0"/>
    <x v="0"/>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033"/>
    <x v="0"/>
    <x v="1"/>
    <s v="Monica Perez Barragan"/>
    <s v="Prestar los servicios profesionales para apoyar la depuración de la cartera de cobro coactivo, así como actividades propias de la defensa judicial de la Entidad y demas actiuaciones relacionadas que requiera la Oficina Jurídica"/>
    <s v="25 - contrato de prestacion de servicios profesionales"/>
    <n v="80111600"/>
    <n v="2"/>
    <n v="11"/>
    <n v="0"/>
    <n v="71500000"/>
    <x v="0"/>
    <s v="09 - contratación directa"/>
    <x v="0"/>
    <x v="0"/>
    <x v="0"/>
    <x v="0"/>
    <x v="0"/>
    <x v="0"/>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034"/>
    <x v="0"/>
    <x v="1"/>
    <s v="Monica Perez Barragan"/>
    <s v="Prestación de servicios profesionales jurídicos para orientar y apoyar el trámite y la gestión de los procesos disciplinarios que se adelanten en la Oficina Jurídica de la Unidad Administrativa Especial Cuerpo Oficial de Bomberos Bogotá"/>
    <s v="25 - contrato de prestacion de servicios profesionales"/>
    <n v="80111600"/>
    <n v="2"/>
    <n v="11"/>
    <n v="0"/>
    <n v="82500000"/>
    <x v="0"/>
    <s v="09 - contratación directa"/>
    <x v="0"/>
    <x v="0"/>
    <x v="0"/>
    <x v="0"/>
    <x v="0"/>
    <x v="0"/>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035"/>
    <x v="0"/>
    <x v="2"/>
    <s v="Yenire Yohansy Lozano Ascanio"/>
    <s v="Prestar servicios profesionales jurídicos especializados en la Oficina de Control Disciplinario Interno de la entidad para orientar y apoyar la gestión de los procesos disciplinarios en etapa de instrucción."/>
    <s v="25 - contrato de prestacion de servicios profesionales"/>
    <n v="80111600"/>
    <n v="1"/>
    <n v="10"/>
    <n v="0"/>
    <n v="78000000"/>
    <x v="0"/>
    <s v="09 - contratación directa"/>
    <x v="0"/>
    <x v="0"/>
    <x v="0"/>
    <x v="0"/>
    <x v="0"/>
    <x v="0"/>
    <s v="08-Infraestructura física, mantenimiento y dotación (Sedes construidas, mantenidas reforzadas)"/>
    <x v="0"/>
    <s v="Sedes mantenidas"/>
    <s v="016_Sedes mantenidas"/>
    <s v="08-Infraestructura física, mantenimiento y dotación (Sedes construidas, mantenidas reforzadas) 016_Sedes mantenidas"/>
    <x v="0"/>
    <x v="0"/>
    <x v="1"/>
    <s v="Si Secop "/>
  </r>
  <r>
    <n v="20250036"/>
    <x v="0"/>
    <x v="2"/>
    <s v="Yenire Yohansy Lozano Ascanio"/>
    <s v="Prestar los servicios profesionales jurídicos especializados en la Oficina de Control Disciplinario Interno de la entidad relacionados con los procesos disciplinarios que se deban tramitar en esa dependencia en etapa de instrucción."/>
    <s v="25 - contrato de prestacion de servicios profesionales"/>
    <n v="80111600"/>
    <n v="1"/>
    <n v="11"/>
    <n v="0"/>
    <n v="93500000"/>
    <x v="0"/>
    <s v="09 - contratación directa"/>
    <x v="0"/>
    <x v="0"/>
    <x v="0"/>
    <x v="0"/>
    <x v="0"/>
    <x v="0"/>
    <s v="08-Infraestructura física, mantenimiento y dotación (Sedes construidas, mantenidas reforzadas)"/>
    <x v="0"/>
    <s v="Sedes mantenidas"/>
    <s v="016_Sedes mantenidas"/>
    <s v="08-Infraestructura física, mantenimiento y dotación (Sedes construidas, mantenidas reforzadas) 016_Sedes mantenidas"/>
    <x v="0"/>
    <x v="0"/>
    <x v="1"/>
    <s v="Si Secop "/>
  </r>
  <r>
    <n v="20250037"/>
    <x v="0"/>
    <x v="2"/>
    <s v="Yenire Yohansy Lozano Ascanio"/>
    <s v="Prestar servicios profesionales jurídicos en la Oficina de Control Disciplinario Interno de la entidad para apoyar la gestión de los procesos contractuales, administrativos, y las actuaciones disciplinarias que deban susrtirse en etapa de instrucción."/>
    <s v="25 - contrato de prestacion de servicios profesionales"/>
    <n v="80111600"/>
    <n v="1"/>
    <n v="11"/>
    <n v="0"/>
    <n v="82500000"/>
    <x v="0"/>
    <s v="09 - contratación directa"/>
    <x v="0"/>
    <x v="0"/>
    <x v="0"/>
    <x v="0"/>
    <x v="0"/>
    <x v="0"/>
    <s v="08-Infraestructura física, mantenimiento y dotación (Sedes construidas, mantenidas reforzadas)"/>
    <x v="0"/>
    <s v="Sedes mantenidas"/>
    <s v="016_Sedes mantenidas"/>
    <s v="08-Infraestructura física, mantenimiento y dotación (Sedes construidas, mantenidas reforzadas) 016_Sedes mantenidas"/>
    <x v="0"/>
    <x v="0"/>
    <x v="1"/>
    <s v="Si Secop "/>
  </r>
  <r>
    <n v="20250038"/>
    <x v="0"/>
    <x v="2"/>
    <s v="Yenire Yohansy Lozano Ascanio"/>
    <s v="Prestar servicios profesionales jurídicos para apoyar la instrucción y demás actuaciones que deban surtirse en los procesos disciplinarios adelantados por la Oficina de Control Disciplinario Interno."/>
    <s v="25 - contrato de prestacion de servicios profesionales"/>
    <n v="80111600"/>
    <n v="1"/>
    <n v="10"/>
    <n v="0"/>
    <n v="65000000"/>
    <x v="0"/>
    <s v="09 - contratación directa"/>
    <x v="0"/>
    <x v="0"/>
    <x v="0"/>
    <x v="0"/>
    <x v="0"/>
    <x v="0"/>
    <s v="08-Infraestructura física, mantenimiento y dotación (Sedes construidas, mantenidas reforzadas)"/>
    <x v="0"/>
    <s v="Sedes mantenidas"/>
    <s v="016_Sedes mantenidas"/>
    <s v="08-Infraestructura física, mantenimiento y dotación (Sedes construidas, mantenidas reforzadas) 016_Sedes mantenidas"/>
    <x v="0"/>
    <x v="0"/>
    <x v="1"/>
    <s v="Si Secop "/>
  </r>
  <r>
    <n v="20250039"/>
    <x v="0"/>
    <x v="2"/>
    <s v="Yenire Yohansy Lozano Ascanio"/>
    <s v="Prestar servicios profesionales jurídicos para apoyar la instrucción y demás actuaciones que deban surtirse en los procesos disciplinarios adelantados por la Oficina de Control Disciplinario Interno."/>
    <s v="25 - contrato de prestacion de servicios profesionales"/>
    <n v="80111600"/>
    <n v="1"/>
    <n v="10"/>
    <n v="0"/>
    <n v="65000000"/>
    <x v="0"/>
    <s v="09 - contratación directa"/>
    <x v="0"/>
    <x v="0"/>
    <x v="0"/>
    <x v="0"/>
    <x v="0"/>
    <x v="0"/>
    <s v="08-Infraestructura física, mantenimiento y dotación (Sedes construidas, mantenidas reforzadas)"/>
    <x v="0"/>
    <s v="Sedes mantenidas"/>
    <s v="016_Sedes mantenidas"/>
    <s v="08-Infraestructura física, mantenimiento y dotación (Sedes construidas, mantenidas reforzadas) 016_Sedes mantenidas"/>
    <x v="0"/>
    <x v="0"/>
    <x v="1"/>
    <s v="Si Secop "/>
  </r>
  <r>
    <n v="20250040"/>
    <x v="0"/>
    <x v="2"/>
    <s v="Yenire Yohansy Lozano Ascanio"/>
    <s v="Prestar servicios profesionales jurídicos para apoyar la instrucción y demás actuaciones que deban surtirse en los procesos disciplinarios adelantados por la Oficina de Control Disciplinario Interno."/>
    <s v="25 - contrato de prestacion de servicios profesionales"/>
    <n v="80111600"/>
    <n v="1"/>
    <n v="10"/>
    <n v="0"/>
    <n v="65000000"/>
    <x v="0"/>
    <s v="09 - contratación directa"/>
    <x v="0"/>
    <x v="0"/>
    <x v="0"/>
    <x v="0"/>
    <x v="0"/>
    <x v="0"/>
    <s v="08-Infraestructura física, mantenimiento y dotación (Sedes construidas, mantenidas reforzadas)"/>
    <x v="0"/>
    <s v="Sedes mantenidas"/>
    <s v="016_Sedes mantenidas"/>
    <s v="08-Infraestructura física, mantenimiento y dotación (Sedes construidas, mantenidas reforzadas) 016_Sedes mantenidas"/>
    <x v="0"/>
    <x v="0"/>
    <x v="1"/>
    <s v="Si Secop "/>
  </r>
  <r>
    <n v="20250041"/>
    <x v="0"/>
    <x v="2"/>
    <s v="Yenire Yohansy Lozano Ascanio"/>
    <s v="Prestar servicios profesionales jurídicos para apoyar la instrucción y demás actuaciones que deban surtirse en los procesos disciplinarios adelantados por la Oficina de Control Disciplinario Interno."/>
    <s v="25 - contrato de prestacion de servicios profesionales"/>
    <n v="80111600"/>
    <n v="1"/>
    <n v="10"/>
    <n v="0"/>
    <n v="65000000"/>
    <x v="0"/>
    <s v="09 - contratación directa"/>
    <x v="0"/>
    <x v="0"/>
    <x v="0"/>
    <x v="0"/>
    <x v="0"/>
    <x v="0"/>
    <s v="08-Infraestructura física, mantenimiento y dotación (Sedes construidas, mantenidas reforzadas)"/>
    <x v="0"/>
    <s v="Sedes mantenidas"/>
    <s v="016_Sedes mantenidas"/>
    <s v="08-Infraestructura física, mantenimiento y dotación (Sedes construidas, mantenidas reforzadas) 016_Sedes mantenidas"/>
    <x v="0"/>
    <x v="0"/>
    <x v="1"/>
    <s v="Si Secop "/>
  </r>
  <r>
    <n v="20250042"/>
    <x v="0"/>
    <x v="2"/>
    <s v="Yenire Yohansy Lozano Ascanio"/>
    <s v="Prestar servicios profesionales jurídicos para apoyar la instrucción y demás actuaciones que deban surtirse en los procesos disciplinarios adelantados por la Oficina de Control Disciplinario Interno."/>
    <s v="25 - contrato de prestacion de servicios profesionales"/>
    <n v="80111600"/>
    <n v="1"/>
    <n v="10"/>
    <n v="0"/>
    <n v="71000000"/>
    <x v="0"/>
    <s v="09 - contratación directa"/>
    <x v="0"/>
    <x v="0"/>
    <x v="0"/>
    <x v="0"/>
    <x v="0"/>
    <x v="0"/>
    <s v="08-Infraestructura física, mantenimiento y dotación (Sedes construidas, mantenidas reforzadas)"/>
    <x v="0"/>
    <s v="Sedes mantenidas"/>
    <s v="016_Sedes mantenidas"/>
    <s v="08-Infraestructura física, mantenimiento y dotación (Sedes construidas, mantenidas reforzadas) 016_Sedes mantenidas"/>
    <x v="0"/>
    <x v="0"/>
    <x v="1"/>
    <s v="Si Secop "/>
  </r>
  <r>
    <n v="20250043"/>
    <x v="0"/>
    <x v="2"/>
    <s v="Yenire Yohansy Lozano Ascanio"/>
    <s v="Prestar servicios de apoyo técnico para la gestión administrativa de las actuaciones disciplinarias adelantadas en etapa de instrucción por la Oficina de Control Disciplinario Interno."/>
    <s v="25 - contrato de prestacion de servicios profesionales"/>
    <n v="80111600"/>
    <n v="1"/>
    <n v="10"/>
    <n v="0"/>
    <n v="38500000"/>
    <x v="0"/>
    <s v="09 - contratación directa"/>
    <x v="0"/>
    <x v="0"/>
    <x v="0"/>
    <x v="0"/>
    <x v="0"/>
    <x v="0"/>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044"/>
    <x v="0"/>
    <x v="2"/>
    <s v="Yenire Yohansy Lozano Ascanio"/>
    <s v="Prestación de servicios de apoyo técnico a la gestión a la Oficina de Control Disciplinario Interno de la UAECOB para el cumplimiento de las funciones asignadas a esta dependencia, especialmente en las que requieran tareas de carácter administrativo"/>
    <s v="25 - contrato de prestacion de servicios profesionales"/>
    <n v="80111600"/>
    <n v="1"/>
    <n v="11"/>
    <n v="0"/>
    <n v="38500000"/>
    <x v="0"/>
    <s v="09 - contratación directa"/>
    <x v="0"/>
    <x v="0"/>
    <x v="0"/>
    <x v="0"/>
    <x v="0"/>
    <x v="0"/>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045"/>
    <x v="0"/>
    <x v="2"/>
    <s v="Yenire Yohansy Lozano Ascanio"/>
    <s v="Prestar servicios profesionales para generar acciones enfocadas en la prevención de faltas disciplinarias en la Oficina de Control Disciplinario Interno"/>
    <s v="25 - contrato de prestacion de servicios profesionales"/>
    <n v="80111600"/>
    <n v="1"/>
    <n v="11"/>
    <n v="0"/>
    <n v="48000000"/>
    <x v="0"/>
    <s v="09 - contratación directa"/>
    <x v="0"/>
    <x v="0"/>
    <x v="0"/>
    <x v="0"/>
    <x v="0"/>
    <x v="0"/>
    <s v="08-Infraestructura física, mantenimiento y dotación (Sedes construidas, mantenidas reforzadas)"/>
    <x v="0"/>
    <s v="Sedes mantenidas"/>
    <s v="016_Sedes mantenidas"/>
    <s v="08-Infraestructura física, mantenimiento y dotación (Sedes construidas, mantenidas reforzadas) 016_Sedes mantenidas"/>
    <x v="0"/>
    <x v="0"/>
    <x v="1"/>
    <s v="Si Secop "/>
  </r>
  <r>
    <n v="20250046"/>
    <x v="0"/>
    <x v="3"/>
    <s v="Manuel Eduardo Castillo Guzman"/>
    <s v="Prestación de servicios de apoyo a la gestión como conductor para atender los diferentes requerimientos e incidentes en la Oficina Asesora de Planeación"/>
    <s v="25 - contrato de prestacion de servicios profesionales"/>
    <n v="80111600"/>
    <n v="2"/>
    <n v="11"/>
    <n v="0"/>
    <n v="34840960"/>
    <x v="0"/>
    <s v="09 - contratación directa"/>
    <x v="1"/>
    <x v="0"/>
    <x v="0"/>
    <x v="0"/>
    <x v="1"/>
    <x v="1"/>
    <s v="13-Servicios para la planeación y sistemas de gestión y comunicación estratégica"/>
    <x v="1"/>
    <s v="Servicio de asistencia técnica"/>
    <s v="031_Servicio de asistencia técnica"/>
    <s v="13-Servicios para la planeación y sistemas de gestión y comunicación estratégica 031_Servicio de asistencia técnica"/>
    <x v="1"/>
    <x v="1"/>
    <x v="0"/>
    <s v="Si Secop "/>
  </r>
  <r>
    <n v="20250047"/>
    <x v="0"/>
    <x v="3"/>
    <s v="Manuel Eduardo Castillo Guzman"/>
    <s v="Prestación de servicios profesionales en el desarrollo de las actividades encaminadas al diseño de piezas comunicativas que se requiera en la implementación de las políticas del Modelo Integrado de Planeación y Gestión  MIPG que lidera la Oficina Asesora de Planeación."/>
    <s v="25 - contrato de prestacion de servicios profesionales"/>
    <n v="80111600"/>
    <n v="2"/>
    <n v="8"/>
    <n v="0"/>
    <n v="40000000"/>
    <x v="0"/>
    <s v="09 - contratación directa"/>
    <x v="1"/>
    <x v="0"/>
    <x v="0"/>
    <x v="0"/>
    <x v="1"/>
    <x v="1"/>
    <s v="13-Servicios para la planeación y sistemas de gestión y comunicación estratégica"/>
    <x v="1"/>
    <s v="Servicio de asistencia técnica"/>
    <s v="031_Servicio de asistencia técnica"/>
    <s v="13-Servicios para la planeación y sistemas de gestión y comunicación estratégica 031_Servicio de asistencia técnica"/>
    <x v="1"/>
    <x v="1"/>
    <x v="0"/>
    <s v="Si Secop "/>
  </r>
  <r>
    <n v="20250048"/>
    <x v="0"/>
    <x v="3"/>
    <s v="Manuel Eduardo Castillo Guzman"/>
    <s v="Prestación de servicios de apoyo en el desarrollo de las actividades encaminadas al control de la documentación de acuerdo a los lineamientos de las políticas de planeación institucional y gestión documental en el marco del Modelo Integrado de Planeación y Gestión MIPG."/>
    <s v="26 - contrato de prestacion de servicios de apoyo a la gestion"/>
    <n v="80111600"/>
    <n v="2"/>
    <n v="11"/>
    <n v="0"/>
    <n v="43362000"/>
    <x v="0"/>
    <s v="09 - contratación directa"/>
    <x v="1"/>
    <x v="0"/>
    <x v="0"/>
    <x v="0"/>
    <x v="1"/>
    <x v="1"/>
    <s v="13-Servicios para la planeación y sistemas de gestión y comunicación estratégica"/>
    <x v="1"/>
    <s v="Servicio de asistencia técnica"/>
    <s v="031_Servicio de asistencia técnica"/>
    <s v="13-Servicios para la planeación y sistemas de gestión y comunicación estratégica 031_Servicio de asistencia técnica"/>
    <x v="1"/>
    <x v="1"/>
    <x v="0"/>
    <s v="Si Secop "/>
  </r>
  <r>
    <n v="20250049"/>
    <x v="0"/>
    <x v="3"/>
    <s v="Manuel Eduardo Castillo Guzman"/>
    <s v="Prestación de servicios profesionales en el desarrollo de las actividades relacionadas con la formulación, actualización y seguimiento de los proyectos de inversión asignados, en las herramientas dispuestas por la entidad, en el marco de la política de la Gestión presupuestal y eficiencia del gasto público del Modelo Integrado de Planeación y Gestión  MIPG."/>
    <s v="25 - contrato de prestacion de servicios profesionales"/>
    <n v="80111600"/>
    <n v="2"/>
    <n v="11"/>
    <n v="0"/>
    <n v="104500000"/>
    <x v="0"/>
    <s v="09 - contratación directa"/>
    <x v="1"/>
    <x v="0"/>
    <x v="0"/>
    <x v="0"/>
    <x v="1"/>
    <x v="1"/>
    <s v="13-Servicios para la planeación y sistemas de gestión y comunicación estratégica"/>
    <x v="1"/>
    <s v="Servicio de asistencia técnica"/>
    <s v="031_Servicio de asistencia técnica"/>
    <s v="13-Servicios para la planeación y sistemas de gestión y comunicación estratégica 031_Servicio de asistencia técnica"/>
    <x v="1"/>
    <x v="1"/>
    <x v="0"/>
    <s v="Si Secop "/>
  </r>
  <r>
    <n v="20250050"/>
    <x v="0"/>
    <x v="3"/>
    <s v="Manuel Eduardo Castillo Guzman"/>
    <s v="Prestación de servicios profesionales en el desarrollo de las actividades que se designen encaminadas a la implementación de las políticas de planeación estratégica y Gestión del conocimiento y la innovación del Modelo Integrado de Planeación y Gestión MIPG que lidera la Oficina Asesora de Planeación."/>
    <s v="25 - contrato de prestacion de servicios profesionales"/>
    <n v="80111600"/>
    <n v="2"/>
    <n v="7"/>
    <n v="0"/>
    <n v="45500000"/>
    <x v="0"/>
    <s v="09 - contratación directa"/>
    <x v="1"/>
    <x v="0"/>
    <x v="0"/>
    <x v="0"/>
    <x v="1"/>
    <x v="1"/>
    <s v="13-Servicios para la planeación y sistemas de gestión y comunicación estratégica"/>
    <x v="1"/>
    <s v="Servicio de asistencia técnica"/>
    <s v="031_Servicio de asistencia técnica"/>
    <s v="13-Servicios para la planeación y sistemas de gestión y comunicación estratégica 031_Servicio de asistencia técnica"/>
    <x v="1"/>
    <x v="1"/>
    <x v="0"/>
    <s v="Si Secop "/>
  </r>
  <r>
    <n v="20250051"/>
    <x v="0"/>
    <x v="3"/>
    <s v="Manuel Eduardo Castillo Guzman"/>
    <s v="Prestación de servicios profesionales en el desarrollo de las actividades relacionadas con la formulación, actualización y seguimiento de los proyectos de inversión asignados, así como la consolidación y reporte de los indiocadores PMR, en las herramientas dispuestas por la entidad, en el marco de la política de la Gestión presupuestal y eficiencia del gasto público del Modelo Integrado de Planeación y Gestión  MIPG."/>
    <s v="25 - contrato de prestacion de servicios profesionales"/>
    <n v="80111600"/>
    <n v="2"/>
    <n v="8"/>
    <n v="0"/>
    <n v="57600000"/>
    <x v="0"/>
    <s v="09 - contratación directa"/>
    <x v="1"/>
    <x v="0"/>
    <x v="0"/>
    <x v="0"/>
    <x v="1"/>
    <x v="1"/>
    <s v="13-Servicios para la planeación y sistemas de gestión y comunicación estratégica"/>
    <x v="1"/>
    <s v="Servicio de asistencia técnica"/>
    <s v="031_Servicio de asistencia técnica"/>
    <s v="13-Servicios para la planeación y sistemas de gestión y comunicación estratégica 031_Servicio de asistencia técnica"/>
    <x v="1"/>
    <x v="1"/>
    <x v="0"/>
    <s v="Si Secop "/>
  </r>
  <r>
    <n v="20250052"/>
    <x v="0"/>
    <x v="3"/>
    <s v="Manuel Eduardo Castillo Guzman"/>
    <s v="Prestación de servicios profesionales para el desarrollo de actividades orientadas al sostenimiento y seguimiento de los componentes del Programa de Transparencia y Ética Pública, así como de las políticas públicas establecidas, en cumplimiento de los lineamientos del Modelo Integrado de Planeación y Gestión (MIPG), liderado por la Oficina Asesora de Planeación."/>
    <s v="25 - contrato de prestacion de servicios profesionales"/>
    <n v="80111600"/>
    <n v="2"/>
    <n v="11"/>
    <n v="0"/>
    <n v="93500000"/>
    <x v="0"/>
    <s v="09 - contratación directa"/>
    <x v="2"/>
    <x v="0"/>
    <x v="0"/>
    <x v="0"/>
    <x v="1"/>
    <x v="1"/>
    <s v="13-Servicios para la planeación y sistemas de gestión y comunicación estratégica"/>
    <x v="2"/>
    <s v="Servicio de Implementación Sistemas de Gestión"/>
    <s v="023_Servicio de Implementación Sistemas de Gestión"/>
    <s v="13-Servicios para la planeación y sistemas de gestión y comunicación estratégica 023_Servicio de Implementación Sistemas de Gestión"/>
    <x v="2"/>
    <x v="2"/>
    <x v="0"/>
    <s v="Si Secop "/>
  </r>
  <r>
    <n v="20250053"/>
    <x v="0"/>
    <x v="3"/>
    <s v="Manuel Eduardo Castillo Guzman"/>
    <s v="Prestación de servicios profesionales para el desarrollo de las actividades asignadas, orientadas a la implementación del Sistema de Gestión de la Calidad y de las políticas establecidas en el marco del Modelo Integrado de Planeación y Gestión (MIPG), liderado por la Oficina Asesora de Planeación._x000a_"/>
    <s v="25 - contrato de prestacion de servicios profesionales"/>
    <n v="80111600"/>
    <n v="2"/>
    <n v="8"/>
    <n v="0"/>
    <n v="56000000"/>
    <x v="0"/>
    <s v="09 - contratación directa"/>
    <x v="1"/>
    <x v="0"/>
    <x v="0"/>
    <x v="0"/>
    <x v="1"/>
    <x v="1"/>
    <s v="13-Servicios para la planeación y sistemas de gestión y comunicación estratégica"/>
    <x v="1"/>
    <s v="Servicio de asistencia técnica"/>
    <s v="031_Servicio de asistencia técnica"/>
    <s v="13-Servicios para la planeación y sistemas de gestión y comunicación estratégica 031_Servicio de asistencia técnica"/>
    <x v="1"/>
    <x v="1"/>
    <x v="0"/>
    <s v="Si Secop "/>
  </r>
  <r>
    <n v="20250054"/>
    <x v="0"/>
    <x v="3"/>
    <s v="Manuel Eduardo Castillo Guzman"/>
    <s v="Prestar servicios de apoyo a la gestión para la ejecución de actividades asistenciales, administrativas y de gestión documental en la Oficina Asesora de Planeación."/>
    <s v="26 - contrato de prestacion de servicios de apoyo a la gestion"/>
    <n v="80111600"/>
    <n v="2"/>
    <n v="7"/>
    <n v="0"/>
    <n v="26523000"/>
    <x v="0"/>
    <s v="09 - contratación directa"/>
    <x v="1"/>
    <x v="0"/>
    <x v="0"/>
    <x v="0"/>
    <x v="1"/>
    <x v="1"/>
    <s v="13-Servicios para la planeación y sistemas de gestión y comunicación estratégica"/>
    <x v="1"/>
    <s v="Servicio de asistencia técnica"/>
    <s v="031_Servicio de asistencia técnica"/>
    <s v="13-Servicios para la planeación y sistemas de gestión y comunicación estratégica 031_Servicio de asistencia técnica"/>
    <x v="1"/>
    <x v="1"/>
    <x v="0"/>
    <s v="Si Secop "/>
  </r>
  <r>
    <n v="20250055"/>
    <x v="0"/>
    <x v="3"/>
    <s v="Manuel Eduardo Castillo Guzman"/>
    <s v="Prestación de servicios profesionales en el desarrollo de las actividades relacionadas con la formulación, actualización y seguimiento de los proyectos de inversión y metas institucionales y sectoriales asignadas, en el marco de la política de la Gestión presupuestal y eficiencia del gasto público del Modelo Integrado de Planeación y Gestión  MIPG."/>
    <s v="25 - contrato de prestacion de servicios profesionales"/>
    <n v="80111600"/>
    <n v="2"/>
    <n v="7"/>
    <n v="0"/>
    <n v="59500000"/>
    <x v="0"/>
    <s v="09 - contratación directa"/>
    <x v="1"/>
    <x v="0"/>
    <x v="0"/>
    <x v="0"/>
    <x v="1"/>
    <x v="1"/>
    <s v="13-Servicios para la planeación y sistemas de gestión y comunicación estratégica"/>
    <x v="2"/>
    <s v="Servicio de Implementación Sistemas de Gestión"/>
    <s v="023_Servicio de Implementación Sistemas de Gestión"/>
    <s v="13-Servicios para la planeación y sistemas de gestión y comunicación estratégica 023_Servicio de Implementación Sistemas de Gestión"/>
    <x v="2"/>
    <x v="2"/>
    <x v="0"/>
    <s v="Si Secop "/>
  </r>
  <r>
    <n v="20250056"/>
    <x v="0"/>
    <x v="3"/>
    <s v="Manuel Eduardo Castillo Guzman"/>
    <s v="Prestación de servicios profesionales en la Oficina Asesora de planeación, para el desarrollo de las actividades relacionadas con la formulación, actualización y seguimiento técnico y financiero de los proyectos de inversión de la UAECOB, en el marco de la política de la Gestión presupuestal y eficiencia del gasto público del Modelo Integrado de Planeación y Gestión  MIPG."/>
    <s v="25 - contrato de prestacion de servicios profesionales"/>
    <n v="80111600"/>
    <n v="2"/>
    <n v="11"/>
    <n v="0"/>
    <n v="77000000"/>
    <x v="0"/>
    <s v="09 - contratación directa"/>
    <x v="1"/>
    <x v="0"/>
    <x v="0"/>
    <x v="0"/>
    <x v="1"/>
    <x v="1"/>
    <s v="13-Servicios para la planeación y sistemas de gestión y comunicación estratégica"/>
    <x v="1"/>
    <s v="Servicio de asistencia técnica"/>
    <s v="031_Servicio de asistencia técnica"/>
    <s v="13-Servicios para la planeación y sistemas de gestión y comunicación estratégica 031_Servicio de asistencia técnica"/>
    <x v="1"/>
    <x v="1"/>
    <x v="0"/>
    <s v="Si Secop "/>
  </r>
  <r>
    <n v="20250057"/>
    <x v="0"/>
    <x v="3"/>
    <s v="Manuel Eduardo Castillo Guzman"/>
    <s v="Prestación de servicios profesionales para la implementación de la metodología de la administración de los riesgos institucionales, asi como las actividades que se designen encaminadas a la implementación de las políticas del Modelo Integrado de Planeación y Gestión  MIPG."/>
    <s v="25 - contrato de prestacion de servicios profesionales"/>
    <n v="80111600"/>
    <n v="2"/>
    <n v="9"/>
    <n v="0"/>
    <n v="58500000"/>
    <x v="0"/>
    <s v="09 - contratación directa"/>
    <x v="2"/>
    <x v="0"/>
    <x v="0"/>
    <x v="0"/>
    <x v="1"/>
    <x v="1"/>
    <s v="13-Servicios para la planeación y sistemas de gestión y comunicación estratégica"/>
    <x v="2"/>
    <s v="Servicio de Implementación Sistemas de Gestión"/>
    <s v="023_Servicio de Implementación Sistemas de Gestión"/>
    <s v="13-Servicios para la planeación y sistemas de gestión y comunicación estratégica 023_Servicio de Implementación Sistemas de Gestión"/>
    <x v="2"/>
    <x v="2"/>
    <x v="0"/>
    <s v="Si Secop "/>
  </r>
  <r>
    <n v="20250058"/>
    <x v="0"/>
    <x v="3"/>
    <s v="Manuel Eduardo Castillo Guzman"/>
    <s v="Prestación de servicios profesionales en el apoyo jurídico, relacionado a la gestión contractual y administrativa de la Oficina Asesora de Planeación de acuerdo con los lineamientos internos en el marco del Modelo Integrado de Planeación y Gestión  MIPG."/>
    <s v="25 - contrato de prestacion de servicios profesionales"/>
    <n v="80111600"/>
    <n v="2"/>
    <n v="7"/>
    <n v="0"/>
    <n v="51100000"/>
    <x v="0"/>
    <s v="09 - contratación directa"/>
    <x v="1"/>
    <x v="0"/>
    <x v="0"/>
    <x v="0"/>
    <x v="1"/>
    <x v="1"/>
    <s v="13-Servicios para la planeación y sistemas de gestión y comunicación estratégica"/>
    <x v="2"/>
    <s v="Servicio de Implementación Sistemas de Gestión"/>
    <s v="023_Servicio de Implementación Sistemas de Gestión"/>
    <s v="13-Servicios para la planeación y sistemas de gestión y comunicación estratégica 023_Servicio de Implementación Sistemas de Gestión"/>
    <x v="2"/>
    <x v="2"/>
    <x v="0"/>
    <s v="Si Secop "/>
  </r>
  <r>
    <n v="20250059"/>
    <x v="0"/>
    <x v="3"/>
    <s v="Manuel Eduardo Castillo Guzman"/>
    <s v="Prestación de servicios profesionales dentro del marco de las políticas de gestión, así como la implementación y seguimiento del Modelo Integrado de Gestión - MIPG, fortaleciendo las acciones en la UAECOB para la mejora continua."/>
    <s v="25 - contrato de prestacion de servicios profesionales"/>
    <n v="80111600"/>
    <n v="2"/>
    <n v="11"/>
    <n v="0"/>
    <n v="104500000"/>
    <x v="0"/>
    <s v="09 - contratación directa"/>
    <x v="1"/>
    <x v="0"/>
    <x v="0"/>
    <x v="0"/>
    <x v="1"/>
    <x v="1"/>
    <s v="13-Servicios para la planeación y sistemas de gestión y comunicación estratégica"/>
    <x v="2"/>
    <s v="Servicio de Implementación Sistemas de Gestión"/>
    <s v="023_Servicio de Implementación Sistemas de Gestión"/>
    <s v="13-Servicios para la planeación y sistemas de gestión y comunicación estratégica 023_Servicio de Implementación Sistemas de Gestión"/>
    <x v="2"/>
    <x v="2"/>
    <x v="0"/>
    <s v="Si Secop "/>
  </r>
  <r>
    <n v="20250060"/>
    <x v="0"/>
    <x v="3"/>
    <s v="Manuel Eduardo Castillo Guzman"/>
    <s v="Prestación de servicios profesionales para desarrollar actividades asignadas, orientadas a implementar las políticas de Planeación Institucional, así como al seguimiento y evaluación del desempeño institucional dentro del marco del Modelo Integrado de Planeación y Gestión"/>
    <s v="25 - contrato de prestacion de servicios profesionales"/>
    <n v="80111600"/>
    <n v="2"/>
    <n v="8"/>
    <n v="0"/>
    <n v="53600000"/>
    <x v="0"/>
    <s v="09 - contratación directa"/>
    <x v="2"/>
    <x v="0"/>
    <x v="0"/>
    <x v="0"/>
    <x v="1"/>
    <x v="1"/>
    <s v="13-Servicios para la planeación y sistemas de gestión y comunicación estratégica"/>
    <x v="2"/>
    <s v="Servicio de Implementación Sistemas de Gestión"/>
    <s v="023_Servicio de Implementación Sistemas de Gestión"/>
    <s v="13-Servicios para la planeación y sistemas de gestión y comunicación estratégica 023_Servicio de Implementación Sistemas de Gestión"/>
    <x v="2"/>
    <x v="2"/>
    <x v="0"/>
    <s v="Si Secop "/>
  </r>
  <r>
    <n v="20250061"/>
    <x v="0"/>
    <x v="3"/>
    <s v="Manuel Eduardo Castillo Guzman"/>
    <s v="Prestación de servicios profesionales en el desarrollo de las actividades que se designen para el seguimiento del plan de mejoramiento de la Oficina Asesora de Planeación, así como la implementación de las políticas del Modelo Integrado de Planeación y Gestión MIPG."/>
    <s v="25 - contrato de prestacion de servicios profesionales"/>
    <n v="80111600"/>
    <n v="2"/>
    <n v="7"/>
    <n v="0"/>
    <n v="45500000"/>
    <x v="0"/>
    <s v="09 - contratación directa"/>
    <x v="2"/>
    <x v="0"/>
    <x v="0"/>
    <x v="0"/>
    <x v="1"/>
    <x v="1"/>
    <s v="13-Servicios para la planeación y sistemas de gestión y comunicación estratégica"/>
    <x v="2"/>
    <s v="Servicio de Implementación Sistemas de Gestión"/>
    <s v="023_Servicio de Implementación Sistemas de Gestión"/>
    <s v="13-Servicios para la planeación y sistemas de gestión y comunicación estratégica 023_Servicio de Implementación Sistemas de Gestión"/>
    <x v="2"/>
    <x v="2"/>
    <x v="0"/>
    <s v="Si Secop "/>
  </r>
  <r>
    <n v="20250062"/>
    <x v="0"/>
    <x v="3"/>
    <s v="Manuel Eduardo Castillo Guzman"/>
    <s v="Prestar servicios profesionales para coordinar y ejercer seguimiento a la Implementación del Sistema de Gestión de la Calidad así como a las políticas que componen el modelo de gestión -MIPG que se definan por la Oficina Asesora de Planeación."/>
    <s v="25 - contrato de prestacion de servicios profesionales"/>
    <n v="80111600"/>
    <n v="2"/>
    <n v="11"/>
    <n v="0"/>
    <n v="93500000"/>
    <x v="0"/>
    <s v="09 - contratación directa"/>
    <x v="1"/>
    <x v="0"/>
    <x v="0"/>
    <x v="0"/>
    <x v="1"/>
    <x v="1"/>
    <s v="13-Servicios para la planeación y sistemas de gestión y comunicación estratégica"/>
    <x v="2"/>
    <s v="Servicio de Implementación Sistemas de Gestión"/>
    <s v="023_Servicio de Implementación Sistemas de Gestión"/>
    <s v="13-Servicios para la planeación y sistemas de gestión y comunicación estratégica 023_Servicio de Implementación Sistemas de Gestión"/>
    <x v="2"/>
    <x v="2"/>
    <x v="0"/>
    <s v="Si Secop "/>
  </r>
  <r>
    <n v="20250063"/>
    <x v="0"/>
    <x v="3"/>
    <s v="Manuel Eduardo Castillo Guzman"/>
    <s v="Prestar servicios asistenciales en el desarrollo de actividades relacionadas con la gestión administrativa en la Oficina Asesora de Planeación de la Unidad Administrativa Especial Cuerpo Oficial de Bomberos de Bogotá."/>
    <s v="26 - contrato de prestacion de servicios de apoyo a la gestion"/>
    <n v="80111600"/>
    <n v="2"/>
    <n v="11"/>
    <n v="0"/>
    <n v="41679000"/>
    <x v="0"/>
    <s v="09 - contratación directa"/>
    <x v="1"/>
    <x v="0"/>
    <x v="0"/>
    <x v="0"/>
    <x v="1"/>
    <x v="1"/>
    <s v="13-Servicios para la planeación y sistemas de gestión y comunicación estratégica"/>
    <x v="2"/>
    <s v="Servicio de Implementación Sistemas de Gestión"/>
    <s v="023_Servicio de Implementación Sistemas de Gestión"/>
    <s v="13-Servicios para la planeación y sistemas de gestión y comunicación estratégica 023_Servicio de Implementación Sistemas de Gestión"/>
    <x v="2"/>
    <x v="2"/>
    <x v="0"/>
    <s v="Si Secop "/>
  </r>
  <r>
    <n v="20250064"/>
    <x v="0"/>
    <x v="3"/>
    <s v="Manuel Eduardo Castillo Guzman"/>
    <s v="Prestación de servicios profesionales para el desarrollo de actividades orientadas a implementar las políticas establecidas en el marco del Modelo Integrado de Planeación y Gestión (MIPG), liderado por la Oficina Asesora de Planeación."/>
    <s v="25 - contrato de prestacion de servicios profesionales"/>
    <n v="80111600"/>
    <n v="2"/>
    <n v="7"/>
    <n v="0"/>
    <n v="45500000"/>
    <x v="0"/>
    <s v="09 - contratación directa"/>
    <x v="1"/>
    <x v="0"/>
    <x v="0"/>
    <x v="0"/>
    <x v="1"/>
    <x v="1"/>
    <s v="13-Servicios para la planeación y sistemas de gestión y comunicación estratégica"/>
    <x v="2"/>
    <s v="Servicio de Implementación Sistemas de Gestión"/>
    <s v="023_Servicio de Implementación Sistemas de Gestión"/>
    <s v="13-Servicios para la planeación y sistemas de gestión y comunicación estratégica 023_Servicio de Implementación Sistemas de Gestión"/>
    <x v="2"/>
    <x v="2"/>
    <x v="0"/>
    <s v="Si Secop "/>
  </r>
  <r>
    <n v="20250065"/>
    <x v="0"/>
    <x v="3"/>
    <s v="Manuel Eduardo Castillo Guzman"/>
    <s v="Prestación de servicios profesionales para el desarrollo de actividades designadas en el marco del Modelo Integrado de Planeación y Gestión (MIPG), orientadas a brindar soporte en el área que lo requiera."/>
    <s v="26 - contrato de prestacion de servicios profesionales"/>
    <n v="80111601"/>
    <n v="2"/>
    <n v="6"/>
    <n v="0"/>
    <n v="42000000"/>
    <x v="0"/>
    <s v="09 - contratación directa"/>
    <x v="1"/>
    <x v="0"/>
    <x v="0"/>
    <x v="0"/>
    <x v="1"/>
    <x v="1"/>
    <s v="13-Servicios para la planeación y sistemas de gestión y comunicación estratégica"/>
    <x v="2"/>
    <s v="Servicio de Implementación Sistemas de Gestión"/>
    <s v="023_Servicio de Implementación Sistemas de Gestión"/>
    <s v="13-Servicios para la planeación y sistemas de gestión y comunicación estratégica 023_Servicio de Implementación Sistemas de Gestión"/>
    <x v="2"/>
    <x v="2"/>
    <x v="0"/>
    <s v="Si Secop "/>
  </r>
  <r>
    <n v="20250066"/>
    <x v="0"/>
    <x v="3"/>
    <s v="Manuel Eduardo Castillo Guzman"/>
    <s v="Contratar la prestación de servicios de auditoria bajo los requisitos de las normas internacionales del Sistema de Gestión de la Calidad e ISO 9001 y el Sistema de Seguridad de la Información ISO 27001"/>
    <s v="26 - contrato de prestacion de servicios de apoyo a la gestion"/>
    <n v="80111600"/>
    <n v="9"/>
    <n v="1"/>
    <n v="0"/>
    <n v="25795040"/>
    <x v="0"/>
    <s v="09 - contratación directa"/>
    <x v="3"/>
    <x v="0"/>
    <x v="0"/>
    <x v="0"/>
    <x v="1"/>
    <x v="1"/>
    <s v="13-Servicios para la planeación y sistemas de gestión y comunicación estratégica"/>
    <x v="2"/>
    <s v="Servicio de Implementación Sistemas de Gestión"/>
    <s v="023_Servicio de Implementación Sistemas de Gestión"/>
    <s v="13-Servicios para la planeación y sistemas de gestión y comunicación estratégica 023_Servicio de Implementación Sistemas de Gestión"/>
    <x v="2"/>
    <x v="2"/>
    <x v="0"/>
    <s v="Si Secop "/>
  </r>
  <r>
    <n v="20250067"/>
    <x v="0"/>
    <x v="4"/>
    <s v="Paula Ximena Henao Escobar"/>
    <s v="Prestación de servicios profesionales jurídicos en virtud de las funciones asignadas a la Dirección General de la UAECOB, para apoyar los procesos contractuales y actividades administrativas requeridas."/>
    <s v="25 - contrato de prestacion de servicios profesionales"/>
    <n v="80111600"/>
    <n v="2"/>
    <n v="11"/>
    <n v="0"/>
    <n v="57200000"/>
    <x v="0"/>
    <s v="09 - contratación directa"/>
    <x v="0"/>
    <x v="0"/>
    <x v="0"/>
    <x v="0"/>
    <x v="0"/>
    <x v="0"/>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068"/>
    <x v="0"/>
    <x v="4"/>
    <s v="Paula Ximena Henao Escobar"/>
    <s v="Prestación de servicios profesionales para acompañar a la Dirección en la estructuración de fichas técnicas y en la identificación de necesidades técnicas que requiere suplir la UAE Cuerpo Oficial de Bomberos de Bogotá"/>
    <s v="25 - contrato de prestacion de servicios profesionales"/>
    <n v="80111600"/>
    <n v="2"/>
    <n v="11"/>
    <n v="0"/>
    <n v="91300000"/>
    <x v="0"/>
    <s v="09 - contratación directa"/>
    <x v="0"/>
    <x v="0"/>
    <x v="0"/>
    <x v="0"/>
    <x v="0"/>
    <x v="0"/>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069"/>
    <x v="0"/>
    <x v="4"/>
    <s v="Paula Ximena Henao Escobar"/>
    <s v="Prestar servicios profesionales a la Dirección General en actividades de articulación interinstitucional entre las diferentes dependencias, entidades del sector, y demás que estén relacionadas con la misionalidad de la UAECOB."/>
    <s v="25 - contrato de prestacion de servicios profesionales"/>
    <n v="80111600"/>
    <n v="2"/>
    <n v="11"/>
    <n v="0"/>
    <n v="82500000"/>
    <x v="0"/>
    <s v="09 - contratación directa"/>
    <x v="0"/>
    <x v="0"/>
    <x v="0"/>
    <x v="0"/>
    <x v="0"/>
    <x v="0"/>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070"/>
    <x v="0"/>
    <x v="4"/>
    <s v="Paula Ximena Henao Escobar"/>
    <s v="Prestar servicios profesionales especializados en el desarrollo de las actividades y de los diferentes procesos que tiene a su cargo y bajo su seguimiento la Dirección General de la UAE Cuerpo Oficial de Bomberos de Bogotá."/>
    <s v="25 - contrato de prestacion de servicios profesionales"/>
    <n v="80111600"/>
    <n v="2"/>
    <n v="11"/>
    <n v="0"/>
    <n v="107800000"/>
    <x v="0"/>
    <s v="09 - contratación directa"/>
    <x v="0"/>
    <x v="0"/>
    <x v="0"/>
    <x v="0"/>
    <x v="0"/>
    <x v="0"/>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071"/>
    <x v="0"/>
    <x v="4"/>
    <s v="Paula Ximena Henao Escobar"/>
    <s v="Prestar servicios profesionales jurídicos en el desarrollo de las actividades y de los diferentes procesos de la Dirección General de la UAE Cuerpo Oficial de Bomberos de Bogotá"/>
    <s v="25 - contrato de prestacion de servicios profesionales"/>
    <n v="80111600"/>
    <n v="2"/>
    <n v="11"/>
    <n v="0"/>
    <n v="110000000"/>
    <x v="0"/>
    <s v="09 - contratación directa"/>
    <x v="0"/>
    <x v="0"/>
    <x v="0"/>
    <x v="0"/>
    <x v="0"/>
    <x v="0"/>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072"/>
    <x v="0"/>
    <x v="4"/>
    <s v="Paula Ximena Henao Escobar"/>
    <s v="Prestar servicios profesionales en la Dirección General, para apoyar actividades administrativas, presupuestales y financieras, así como hacer seguimiento y control a los compromisos generados por las dependencias de la UAECOB, en especial los relacionadas con peticiones, quejas y reclamos allegados por entes externos e internos."/>
    <s v="25 - contrato de prestacion de servicios profesionales"/>
    <n v="80111600"/>
    <n v="2"/>
    <n v="11"/>
    <n v="0"/>
    <n v="57200000"/>
    <x v="0"/>
    <s v="09 - contratación directa"/>
    <x v="0"/>
    <x v="0"/>
    <x v="0"/>
    <x v="0"/>
    <x v="0"/>
    <x v="0"/>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073"/>
    <x v="0"/>
    <x v="4"/>
    <s v="Paula Ximena Henao Escobar"/>
    <s v="Prestar servicios de apoyo a la gestión en la UAECOB, en asuntos administrativos y asistenciales requeridos, especificamente en el seguimiento de la información."/>
    <s v="26 - contrato de prestacion de servicios de apoyo a la gestion"/>
    <n v="80111600"/>
    <n v="2"/>
    <n v="11"/>
    <n v="0"/>
    <n v="48400000"/>
    <x v="0"/>
    <s v="09 - contratación directa"/>
    <x v="0"/>
    <x v="0"/>
    <x v="0"/>
    <x v="0"/>
    <x v="0"/>
    <x v="0"/>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074"/>
    <x v="0"/>
    <x v="4"/>
    <s v="Paula Ximena Henao Escobar"/>
    <s v="Prestar servicios profesionales para acompañar a la Dirección General en materia de modernización, gestión del conocimiento e innovación, estándares nacionales e internacionales y en mejora continua a la Unidad Administrativa Especial Cuerpo Oficial Bomberos Bogotá"/>
    <s v="25 - contrato de prestacion de servicios profesionales"/>
    <n v="80111600"/>
    <n v="2"/>
    <n v="10"/>
    <n v="0"/>
    <n v="98000000"/>
    <x v="0"/>
    <s v="09 - contratación directa"/>
    <x v="0"/>
    <x v="0"/>
    <x v="0"/>
    <x v="0"/>
    <x v="0"/>
    <x v="0"/>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075"/>
    <x v="0"/>
    <x v="4"/>
    <s v="Paula Ximena Henao Escobar"/>
    <s v="Prestar servicios profesionales para acompañar a la Dirección General en materia de fortalecimiento institucional, construcción de generalidades, identificación de características institucionales y análisis de factores externos que sustentarán el diagnóstico institucional en el marco de fortalecimiento de capacidades."/>
    <s v="25 - contrato de prestacion de servicios profesionales"/>
    <n v="80111600"/>
    <n v="2"/>
    <n v="10"/>
    <n v="0"/>
    <n v="98000000"/>
    <x v="0"/>
    <s v="09 - contratación directa"/>
    <x v="0"/>
    <x v="0"/>
    <x v="0"/>
    <x v="0"/>
    <x v="0"/>
    <x v="0"/>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076"/>
    <x v="0"/>
    <x v="5"/>
    <s v="Paula Ximena Henao Escobar"/>
    <s v="Prestar servicios profesionales especializados en la Dirección General de la UAECOB en la organización y liderazgo de los asuntos relacionados con comunicaciones de conformidad a la misionalidad de la entidad."/>
    <s v="25 - contrato de prestacion de servicios profesionales"/>
    <n v="80111600"/>
    <n v="2"/>
    <n v="11"/>
    <n v="0"/>
    <n v="115500000"/>
    <x v="0"/>
    <s v="09 - contratación directa"/>
    <x v="4"/>
    <x v="0"/>
    <x v="0"/>
    <x v="0"/>
    <x v="1"/>
    <x v="1"/>
    <s v="13-Servicios para la planeación y sistemas de gestión y comunicación estratégica"/>
    <x v="3"/>
    <s v="Documentos de planeación"/>
    <s v="019_Documentos de planeación"/>
    <s v="13-Servicios para la planeación y sistemas de gestión y comunicación estratégica 019_Documentos de planeación"/>
    <x v="3"/>
    <x v="3"/>
    <x v="0"/>
    <s v="Si Secop "/>
  </r>
  <r>
    <n v="20250077"/>
    <x v="0"/>
    <x v="5"/>
    <s v="Paula Ximena Henao Escobar"/>
    <s v="Prestación de servicios profesionales en la Dirección en comunicaciones y prensa, para apoyar la difusión de la información al público interno y externo de la UAECOB."/>
    <s v="25 - contrato de prestacion de servicios profesionales"/>
    <n v="80111600"/>
    <n v="2"/>
    <n v="11"/>
    <n v="0"/>
    <n v="66000000"/>
    <x v="0"/>
    <s v="09 - contratación directa"/>
    <x v="4"/>
    <x v="0"/>
    <x v="0"/>
    <x v="0"/>
    <x v="1"/>
    <x v="1"/>
    <s v="13-Servicios para la planeación y sistemas de gestión y comunicación estratégica"/>
    <x v="3"/>
    <s v="Documentos de planeación"/>
    <s v="019_Documentos de planeación"/>
    <s v="13-Servicios para la planeación y sistemas de gestión y comunicación estratégica 019_Documentos de planeación"/>
    <x v="3"/>
    <x v="3"/>
    <x v="0"/>
    <s v="Si Secop "/>
  </r>
  <r>
    <n v="20250078"/>
    <x v="0"/>
    <x v="5"/>
    <s v="Paula Ximena Henao Escobar"/>
    <s v="Prestar servicios de apoyo para la gestión en asuntos de comunicaciones y prensa en la Dirección General, y demás acciones encaminadas al cumplimiento de las estrategias comunicacionales de la UAECOB"/>
    <s v="26 - contrato de prestacion de servicios de apoyo a la gestion"/>
    <n v="80111600"/>
    <n v="2"/>
    <n v="11"/>
    <n v="0"/>
    <n v="44000000"/>
    <x v="0"/>
    <s v="09 - contratación directa"/>
    <x v="4"/>
    <x v="0"/>
    <x v="0"/>
    <x v="0"/>
    <x v="1"/>
    <x v="1"/>
    <s v="13-Servicios para la planeación y sistemas de gestión y comunicación estratégica"/>
    <x v="3"/>
    <s v="Documentos de planeación"/>
    <s v="019_Documentos de planeación"/>
    <s v="13-Servicios para la planeación y sistemas de gestión y comunicación estratégica 019_Documentos de planeación"/>
    <x v="3"/>
    <x v="3"/>
    <x v="0"/>
    <s v="Si Secop "/>
  </r>
  <r>
    <n v="20250079"/>
    <x v="0"/>
    <x v="5"/>
    <s v="Paula Ximena Henao Escobar"/>
    <s v="Prestación de servicios profesionales en asuntos de comunicaciones y prensa para apoyar la divulgación y socialización de la información relacionada con la misionalidad de la UAECOB de manera interna y externa"/>
    <s v="25 - contrato de prestacion de servicios profesionales"/>
    <n v="80111600"/>
    <n v="2"/>
    <n v="11"/>
    <n v="0"/>
    <n v="66000000"/>
    <x v="0"/>
    <s v="09 - contratación directa"/>
    <x v="4"/>
    <x v="0"/>
    <x v="0"/>
    <x v="0"/>
    <x v="1"/>
    <x v="1"/>
    <s v="13-Servicios para la planeación y sistemas de gestión y comunicación estratégica"/>
    <x v="3"/>
    <s v="Documentos de planeación"/>
    <s v="019_Documentos de planeación"/>
    <s v="13-Servicios para la planeación y sistemas de gestión y comunicación estratégica 019_Documentos de planeación"/>
    <x v="3"/>
    <x v="3"/>
    <x v="0"/>
    <s v="Si Secop "/>
  </r>
  <r>
    <n v="20250080"/>
    <x v="0"/>
    <x v="5"/>
    <s v="Paula Ximena Henao Escobar"/>
    <s v="Prestar servicios profesionales para apoyar el desarrollo de estrategias de la dirección general, en asuntos relacionados con comunicaciones y prensa, encaminadas al posicionamiento, imagen y divulgación corporativa de la entidad y dirigidas a sus públicos internos"/>
    <s v="25 - contrato de prestacion de servicios profesionales"/>
    <n v="80111600"/>
    <n v="2"/>
    <n v="11"/>
    <n v="0"/>
    <n v="88000000"/>
    <x v="0"/>
    <s v="09 - contratación directa"/>
    <x v="4"/>
    <x v="0"/>
    <x v="0"/>
    <x v="0"/>
    <x v="1"/>
    <x v="1"/>
    <s v="13-Servicios para la planeación y sistemas de gestión y comunicación estratégica"/>
    <x v="3"/>
    <s v="Documentos de planeación"/>
    <s v="019_Documentos de planeación"/>
    <s v="13-Servicios para la planeación y sistemas de gestión y comunicación estratégica 019_Documentos de planeación"/>
    <x v="3"/>
    <x v="3"/>
    <x v="0"/>
    <s v="Si Secop "/>
  </r>
  <r>
    <n v="20250081"/>
    <x v="0"/>
    <x v="5"/>
    <s v="Paula Ximena Henao Escobar"/>
    <s v="&quot;Prestar servicios profesionales en la Dirección General para  el manejo de redes sociales de la entidad y apoyo periodistico requerido en el marco de la estrategia de comunicaciones y prensa de la UEACOB&quot;."/>
    <s v="25 - contrato de prestacion de servicios profesionales"/>
    <n v="80111600"/>
    <n v="2"/>
    <n v="11"/>
    <n v="0"/>
    <n v="66000000"/>
    <x v="0"/>
    <s v="09 - contratación directa"/>
    <x v="4"/>
    <x v="0"/>
    <x v="0"/>
    <x v="0"/>
    <x v="1"/>
    <x v="1"/>
    <s v="13-Servicios para la planeación y sistemas de gestión y comunicación estratégica"/>
    <x v="3"/>
    <s v="Documentos de planeación"/>
    <s v="019_Documentos de planeación"/>
    <s v="13-Servicios para la planeación y sistemas de gestión y comunicación estratégica 019_Documentos de planeación"/>
    <x v="3"/>
    <x v="3"/>
    <x v="0"/>
    <s v="Si Secop "/>
  </r>
  <r>
    <n v="20250082"/>
    <x v="0"/>
    <x v="4"/>
    <s v="Paula Ximena Henao Escobar"/>
    <s v="&quot;Prestar servicios profesionales en la Dirección General en materia de seguimiento para el cumplimiento de la misionalidad&quot;"/>
    <s v="25 - contrato de prestacion de servicios profesionales"/>
    <n v="80111600"/>
    <n v="2"/>
    <n v="11"/>
    <n v="0"/>
    <n v="61723493"/>
    <x v="0"/>
    <s v="09 - contratación directa"/>
    <x v="0"/>
    <x v="0"/>
    <x v="0"/>
    <x v="0"/>
    <x v="0"/>
    <x v="0"/>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083"/>
    <x v="0"/>
    <x v="5"/>
    <s v="Paula Ximena Henao Escobar"/>
    <s v="&quot;Prestar servicios profesionales en la Dirección General para  el manejo de redes sociales de la entidad y apoyo periodistico requerido en el marco de la estrategia de comunicaciones y prensa de la UEACOB&quot;."/>
    <s v="25 - contrato de prestacion de servicios profesionales"/>
    <n v="80111600"/>
    <n v="2"/>
    <n v="11"/>
    <n v="0"/>
    <n v="57200000"/>
    <x v="0"/>
    <s v="09 - contratación directa"/>
    <x v="4"/>
    <x v="0"/>
    <x v="0"/>
    <x v="0"/>
    <x v="1"/>
    <x v="1"/>
    <s v="13-Servicios para la planeación y sistemas de gestión y comunicación estratégica"/>
    <x v="3"/>
    <s v="Documentos de planeación"/>
    <s v="019_Documentos de planeación"/>
    <s v="13-Servicios para la planeación y sistemas de gestión y comunicación estratégica 019_Documentos de planeación"/>
    <x v="3"/>
    <x v="3"/>
    <x v="0"/>
    <s v="Si Secop "/>
  </r>
  <r>
    <n v="20250084"/>
    <x v="0"/>
    <x v="5"/>
    <s v="Paula Ximena Henao Escobar"/>
    <s v="Prestación de servicios profesionales para apoyar a la Dirección en la elaboración, diseño y diagramación de piezas requeridas para los planes, programas, proyectos y procedimientos"/>
    <s v="25 - contrato de prestacion de servicios profesionales"/>
    <n v="80111600"/>
    <n v="2"/>
    <n v="11"/>
    <n v="0"/>
    <n v="66000000"/>
    <x v="0"/>
    <s v="09 - contratación directa"/>
    <x v="4"/>
    <x v="0"/>
    <x v="0"/>
    <x v="0"/>
    <x v="1"/>
    <x v="1"/>
    <s v="13-Servicios para la planeación y sistemas de gestión y comunicación estratégica"/>
    <x v="3"/>
    <s v="Documentos de planeación"/>
    <s v="019_Documentos de planeación"/>
    <s v="13-Servicios para la planeación y sistemas de gestión y comunicación estratégica 019_Documentos de planeación"/>
    <x v="3"/>
    <x v="3"/>
    <x v="0"/>
    <s v="Si Secop "/>
  </r>
  <r>
    <n v="20250085"/>
    <x v="0"/>
    <x v="5"/>
    <s v="Paula Ximena Henao Escobar"/>
    <s v="Prestar apoyo técnico en la Dirección, en asuntos de comunicaciones y prensa, para la producción, diseño y edición de material audiovisual de la UAECOB."/>
    <s v="26 - contrato de prestacion de servicios de apoyo a la gestion"/>
    <n v="80111600"/>
    <n v="2"/>
    <n v="11"/>
    <n v="0"/>
    <n v="44000000"/>
    <x v="0"/>
    <s v="09 - contratación directa"/>
    <x v="4"/>
    <x v="0"/>
    <x v="0"/>
    <x v="0"/>
    <x v="1"/>
    <x v="1"/>
    <s v="13-Servicios para la planeación y sistemas de gestión y comunicación estratégica"/>
    <x v="3"/>
    <s v="Documentos de planeación"/>
    <s v="019_Documentos de planeación"/>
    <s v="13-Servicios para la planeación y sistemas de gestión y comunicación estratégica 019_Documentos de planeación"/>
    <x v="3"/>
    <x v="3"/>
    <x v="0"/>
    <s v="Si Secop "/>
  </r>
  <r>
    <n v="20250086"/>
    <x v="0"/>
    <x v="5"/>
    <s v="Paula Ximena Henao Escobar"/>
    <s v="Prestar servicios profesionales especializados a la Dirección General de la UAECOB en la construcción ,acompañamiento, seguimiento y fortalecimiento de las estrategias de comunicación que adelante la entidad dentro del Distrito Capital"/>
    <s v="25 - contrato de prestacion de servicios profesionales"/>
    <n v="80111600"/>
    <n v="2"/>
    <n v="11"/>
    <n v="0"/>
    <n v="107800000"/>
    <x v="0"/>
    <s v="09 - contratación directa"/>
    <x v="4"/>
    <x v="0"/>
    <x v="0"/>
    <x v="0"/>
    <x v="1"/>
    <x v="1"/>
    <s v="13-Servicios para la planeación y sistemas de gestión y comunicación estratégica"/>
    <x v="3"/>
    <s v="Documentos de planeación"/>
    <s v="019_Documentos de planeación"/>
    <s v="13-Servicios para la planeación y sistemas de gestión y comunicación estratégica 019_Documentos de planeación"/>
    <x v="3"/>
    <x v="3"/>
    <x v="0"/>
    <s v="Si Secop "/>
  </r>
  <r>
    <n v="20250087"/>
    <x v="0"/>
    <x v="5"/>
    <s v="Paula Ximena Henao Escobar"/>
    <s v="Prestación de servicios profesionales en asuntos de comunicaciones y prensa para apoyar las labores de reportería, periodismo y de divulgación de información y campañas, de acuerdo con la misionalidad de la UAECOB"/>
    <s v="25 - contrato de prestacion de servicios profesionales"/>
    <n v="80111600"/>
    <n v="2"/>
    <n v="11"/>
    <n v="0"/>
    <n v="57200000"/>
    <x v="0"/>
    <s v="09 - contratación directa"/>
    <x v="4"/>
    <x v="0"/>
    <x v="0"/>
    <x v="0"/>
    <x v="1"/>
    <x v="1"/>
    <s v="13-Servicios para la planeación y sistemas de gestión y comunicación estratégica"/>
    <x v="3"/>
    <s v="Documentos de planeación"/>
    <s v="019_Documentos de planeación"/>
    <s v="13-Servicios para la planeación y sistemas de gestión y comunicación estratégica 019_Documentos de planeación"/>
    <x v="3"/>
    <x v="3"/>
    <x v="0"/>
    <s v="Si Secop "/>
  </r>
  <r>
    <n v="20250088"/>
    <x v="0"/>
    <x v="5"/>
    <s v="Paula Ximena Henao Escobar"/>
    <s v="Prestación de servicios profesionales en asuntos de comunicaciones y prensa para apoyar la creación y divulgación audiovisual relacionada con la misionalidad de la UAECOB."/>
    <s v="25 - contrato de prestacion de servicios profesionales"/>
    <n v="80111600"/>
    <n v="2"/>
    <n v="11"/>
    <n v="0"/>
    <n v="57200000"/>
    <x v="0"/>
    <s v="09 - contratación directa"/>
    <x v="4"/>
    <x v="0"/>
    <x v="0"/>
    <x v="0"/>
    <x v="1"/>
    <x v="1"/>
    <s v="13-Servicios para la planeación y sistemas de gestión y comunicación estratégica"/>
    <x v="3"/>
    <s v="Documentos de planeación"/>
    <s v="019_Documentos de planeación"/>
    <s v="13-Servicios para la planeación y sistemas de gestión y comunicación estratégica 019_Documentos de planeación"/>
    <x v="3"/>
    <x v="3"/>
    <x v="0"/>
    <s v="Si Secop "/>
  </r>
  <r>
    <n v="20250089"/>
    <x v="0"/>
    <x v="5"/>
    <s v="Paula Ximena Henao Escobar"/>
    <s v="Prestación de servicios de apoyo a la gestión en asuntos de comunicaciones y prensa para detectar las necesidades de la Entidad y facilitar la inserción de nuevas estrategias de comunicación"/>
    <s v="26 - contrato de prestacion de servicios de apoyo a la gestion"/>
    <n v="80111600"/>
    <n v="2"/>
    <n v="6"/>
    <n v="0"/>
    <n v="24000000"/>
    <x v="0"/>
    <s v="09 - contratación directa"/>
    <x v="4"/>
    <x v="0"/>
    <x v="0"/>
    <x v="0"/>
    <x v="1"/>
    <x v="1"/>
    <s v="13-Servicios para la planeación y sistemas de gestión y comunicación estratégica"/>
    <x v="3"/>
    <s v="Documentos de planeación"/>
    <s v="019_Documentos de planeación"/>
    <s v="13-Servicios para la planeación y sistemas de gestión y comunicación estratégica 019_Documentos de planeación"/>
    <x v="3"/>
    <x v="3"/>
    <x v="0"/>
    <s v="Si Secop "/>
  </r>
  <r>
    <n v="20250090"/>
    <x v="0"/>
    <x v="5"/>
    <s v="Paula Ximena Henao Escobar"/>
    <s v="Prestación de servicios como conductor en los diferentes recorridos de carácter operativo que se requieran en la Dirección General."/>
    <s v="26 - contrato de prestacion de servicios de apoyo a la gestion"/>
    <n v="80111600"/>
    <n v="2"/>
    <n v="11"/>
    <n v="0"/>
    <n v="38500000"/>
    <x v="0"/>
    <s v="09 - contratación directa"/>
    <x v="4"/>
    <x v="0"/>
    <x v="0"/>
    <x v="0"/>
    <x v="1"/>
    <x v="1"/>
    <s v="13-Servicios para la planeación y sistemas de gestión y comunicación estratégica"/>
    <x v="3"/>
    <s v="Documentos de planeación"/>
    <s v="019_Documentos de planeación"/>
    <s v="13-Servicios para la planeación y sistemas de gestión y comunicación estratégica 019_Documentos de planeación"/>
    <x v="3"/>
    <x v="3"/>
    <x v="0"/>
    <s v="Si Secop "/>
  </r>
  <r>
    <n v="20250091"/>
    <x v="0"/>
    <x v="5"/>
    <s v="Paula Ximena Henao Escobar"/>
    <s v="Prestación de servicios profesionales en asuntos de comunicaciones y prensa para apoyar las labores periodísticas y de divulgación de información, de acuerdo con la misionalidad de la UAECOB."/>
    <s v="25 - contrato de prestacion de servicios profesionales"/>
    <n v="80111600"/>
    <n v="2"/>
    <n v="11"/>
    <n v="0"/>
    <n v="57200000"/>
    <x v="0"/>
    <s v="09 - contratación directa"/>
    <x v="4"/>
    <x v="0"/>
    <x v="0"/>
    <x v="0"/>
    <x v="1"/>
    <x v="1"/>
    <s v="13-Servicios para la planeación y sistemas de gestión y comunicación estratégica"/>
    <x v="3"/>
    <s v="Documentos de planeación"/>
    <s v="019_Documentos de planeación"/>
    <s v="13-Servicios para la planeación y sistemas de gestión y comunicación estratégica 019_Documentos de planeación"/>
    <x v="3"/>
    <x v="3"/>
    <x v="0"/>
    <s v="Si Secop "/>
  </r>
  <r>
    <n v="20250092"/>
    <x v="0"/>
    <x v="5"/>
    <s v="Paula Ximena Henao Escobar"/>
    <s v="Prestación de servicios profesionales en asuntos de comunicaciones y prensa para revisar los procesos de comunicación de entidad con el fin de evaluar su eficacia interna y externa y detectar ineficiencias en los canales de comunicación"/>
    <s v="25 - contrato de prestacion de servicios profesionales"/>
    <n v="80111600"/>
    <n v="2"/>
    <n v="6"/>
    <n v="0"/>
    <n v="48000000"/>
    <x v="0"/>
    <s v="09 - contratación directa"/>
    <x v="4"/>
    <x v="0"/>
    <x v="0"/>
    <x v="0"/>
    <x v="1"/>
    <x v="1"/>
    <s v="13-Servicios para la planeación y sistemas de gestión y comunicación estratégica"/>
    <x v="3"/>
    <s v="Documentos de planeación"/>
    <s v="019_Documentos de planeación"/>
    <s v="13-Servicios para la planeación y sistemas de gestión y comunicación estratégica 019_Documentos de planeación"/>
    <x v="3"/>
    <x v="3"/>
    <x v="0"/>
    <s v="Si Secop "/>
  </r>
  <r>
    <n v="20250093"/>
    <x v="0"/>
    <x v="5"/>
    <s v="Paula Ximena Henao Escobar"/>
    <s v="Prestación de servicios profesionales en asuntos de comunicaciones y prensa para apoyar las labores de divulgación de la información en las redes sociales, pagina web e intranet, de acuerdo con la misionalidad de la UAECOB."/>
    <s v="25 - contrato de prestacion de servicios profesionales"/>
    <n v="80111600"/>
    <n v="2"/>
    <n v="11"/>
    <n v="0"/>
    <n v="57200000"/>
    <x v="0"/>
    <s v="09 - contratación directa"/>
    <x v="4"/>
    <x v="0"/>
    <x v="0"/>
    <x v="0"/>
    <x v="1"/>
    <x v="1"/>
    <s v="13-Servicios para la planeación y sistemas de gestión y comunicación estratégica"/>
    <x v="3"/>
    <s v="Documentos de planeación"/>
    <s v="019_Documentos de planeación"/>
    <s v="13-Servicios para la planeación y sistemas de gestión y comunicación estratégica 019_Documentos de planeación"/>
    <x v="3"/>
    <x v="3"/>
    <x v="0"/>
    <s v="Si Secop "/>
  </r>
  <r>
    <n v="20250094"/>
    <x v="0"/>
    <x v="5"/>
    <s v="Paula Ximena Henao Escobar"/>
    <s v="Prestación de servicios de apoyo a la gestión en la Dirección para el acompañamiento en las labores administrativas en asuntos de Comunicaciones y Prensa de la UAECOB"/>
    <s v="26 - contrato de prestacion de servicios de apoyo a la gestion"/>
    <n v="80111600"/>
    <n v="2"/>
    <n v="11"/>
    <n v="0"/>
    <n v="29700000"/>
    <x v="0"/>
    <s v="09 - contratación directa"/>
    <x v="4"/>
    <x v="0"/>
    <x v="0"/>
    <x v="0"/>
    <x v="1"/>
    <x v="1"/>
    <s v="13-Servicios para la planeación y sistemas de gestión y comunicación estratégica"/>
    <x v="3"/>
    <s v="Documentos de planeación"/>
    <s v="019_Documentos de planeación"/>
    <s v="13-Servicios para la planeación y sistemas de gestión y comunicación estratégica 019_Documentos de planeación"/>
    <x v="3"/>
    <x v="3"/>
    <x v="0"/>
    <s v="Si Secop "/>
  </r>
  <r>
    <n v="20250095"/>
    <x v="0"/>
    <x v="4"/>
    <s v="Paula Ximena Henao Escobar"/>
    <s v="Prestar servicios profesionales especialiizados en el desarrollo de las actividades estrategicas de la Dirección General de la UAE Cuerpo Oficial de Bomberos de Bogotá"/>
    <s v="25 - contrato de prestacion de servicios profesionales"/>
    <n v="80111600"/>
    <n v="2"/>
    <n v="11"/>
    <n v="0"/>
    <n v="197876507"/>
    <x v="0"/>
    <s v="09 - contratación directa"/>
    <x v="0"/>
    <x v="0"/>
    <x v="0"/>
    <x v="0"/>
    <x v="0"/>
    <x v="0"/>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096"/>
    <x v="0"/>
    <x v="5"/>
    <s v="Paula Ximena Henao Escobar"/>
    <s v="Prestar servicios profesionales especializados en la Dirección General de la UAECOB en la organización de los temas relacionados con las comunicaciones estratégicas."/>
    <s v="25 - contrato de prestacion de servicios profesionales"/>
    <n v="80111600"/>
    <n v="2"/>
    <n v="11"/>
    <n v="0"/>
    <n v="167500000"/>
    <x v="0"/>
    <s v="09 - contratación directa"/>
    <x v="4"/>
    <x v="0"/>
    <x v="0"/>
    <x v="0"/>
    <x v="1"/>
    <x v="1"/>
    <s v="13-Servicios para la planeación y sistemas de gestión y comunicación estratégica"/>
    <x v="3"/>
    <s v="Documentos de planeación"/>
    <s v="019_Documentos de planeación"/>
    <s v="13-Servicios para la planeación y sistemas de gestión y comunicación estratégica 019_Documentos de planeación"/>
    <x v="3"/>
    <x v="3"/>
    <x v="0"/>
    <s v="Si Secop "/>
  </r>
  <r>
    <n v="20250097"/>
    <x v="1"/>
    <x v="6"/>
    <s v="Jose Andres Ponce Caicedo"/>
    <s v="SGH - Prestar servicios profesionales especializados en el desarrollo de las actividades y de los diferentes procesos que tiene a cargo la Subdirección de Gestión Humana de la UAE Cuerpo Oficial de Bomberos de Bogotá"/>
    <s v="11 - orden de prestacion de servicios"/>
    <n v="80111600"/>
    <n v="1"/>
    <n v="11"/>
    <n v="0"/>
    <n v="87004500"/>
    <x v="0"/>
    <s v="09 - contratación directa"/>
    <x v="5"/>
    <x v="0"/>
    <x v="1"/>
    <x v="1"/>
    <x v="2"/>
    <x v="2"/>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098"/>
    <x v="1"/>
    <x v="6"/>
    <s v="Jose Andres Ponce Caicedo"/>
    <s v="SGH - Prestar de servicios profesionales especializados para desarrollar actividades jurídicas en atención a los distintos requerimientos de la Subdirección de Gestión Humana."/>
    <s v="11 - orden de prestacion de servicios"/>
    <n v="80111600"/>
    <n v="1"/>
    <n v="11"/>
    <n v="0"/>
    <n v="87004500"/>
    <x v="0"/>
    <s v="09 - contratación directa"/>
    <x v="5"/>
    <x v="0"/>
    <x v="1"/>
    <x v="1"/>
    <x v="2"/>
    <x v="2"/>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099"/>
    <x v="1"/>
    <x v="6"/>
    <s v="Jose Andres Ponce Caicedo"/>
    <s v="SGH - Prestar de servicios profesionales para desarrollar actividades jurídicas en atención a los distintos requerimientos de la Subdirección de Gestión Humana."/>
    <s v="11 - orden de prestacion de servicios"/>
    <n v="80111600"/>
    <n v="2"/>
    <n v="10"/>
    <n v="0"/>
    <n v="69603600"/>
    <x v="0"/>
    <s v="09 - contratación directa"/>
    <x v="5"/>
    <x v="0"/>
    <x v="1"/>
    <x v="1"/>
    <x v="2"/>
    <x v="2"/>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100"/>
    <x v="1"/>
    <x v="6"/>
    <s v="Jose Andres Ponce Caicedo"/>
    <s v="SGH - Prestar de servicios profesionales para desarrollar actividades jurídicas relacionadas con la academia bomberil, recobro de incapacidades y procesos administrativos de la Subdirección de Gestión Humana."/>
    <s v="11 - orden de prestacion de servicios"/>
    <n v="80111600"/>
    <n v="2"/>
    <n v="11"/>
    <n v="0"/>
    <n v="63466883"/>
    <x v="0"/>
    <s v="09 - contratación directa"/>
    <x v="5"/>
    <x v="0"/>
    <x v="1"/>
    <x v="1"/>
    <x v="2"/>
    <x v="2"/>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101"/>
    <x v="1"/>
    <x v="6"/>
    <s v="Jose Andres Ponce Caicedo"/>
    <s v="SGH - Prestar servicios profesionales en la Subdirección de Gestión Humana, para el fortalecimiento trasversal del proceso de Academia."/>
    <s v="11 - orden de prestacion de servicios"/>
    <n v="80111600"/>
    <n v="2"/>
    <n v="11"/>
    <n v="0"/>
    <n v="53316357"/>
    <x v="0"/>
    <s v="09 - contratación directa"/>
    <x v="5"/>
    <x v="0"/>
    <x v="1"/>
    <x v="1"/>
    <x v="2"/>
    <x v="2"/>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102"/>
    <x v="1"/>
    <x v="6"/>
    <s v="Jose Andres Ponce Caicedo"/>
    <s v="SGH - Prestar sus servicios profesionales en los procesos de la Subdirección de Gestión Humana de la UAE Cuerpo Oficial de Bomberos."/>
    <s v="11 - orden de prestacion de servicios"/>
    <n v="80111600"/>
    <n v="3"/>
    <n v="10"/>
    <n v="0"/>
    <n v="57697166"/>
    <x v="0"/>
    <s v="09 - contratación directa"/>
    <x v="5"/>
    <x v="0"/>
    <x v="1"/>
    <x v="1"/>
    <x v="2"/>
    <x v="2"/>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103"/>
    <x v="1"/>
    <x v="6"/>
    <s v="Jose Andres Ponce Caicedo"/>
    <s v="SGH - Prestar servicios profesionales para apoyar el programa de desórdenes musculo esqueléticos de la UAE Cuerpo Oficial de Bomberos de Bogotá."/>
    <s v="11 - orden de prestacion de servicios"/>
    <n v="80111600"/>
    <n v="3"/>
    <n v="10"/>
    <n v="0"/>
    <n v="42922220"/>
    <x v="0"/>
    <s v="09 - contratación directa"/>
    <x v="5"/>
    <x v="0"/>
    <x v="1"/>
    <x v="1"/>
    <x v="2"/>
    <x v="2"/>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104"/>
    <x v="1"/>
    <x v="6"/>
    <s v="Jose Andres Ponce Caicedo"/>
    <s v="SGH - Prestar servicios de apoyo en el sistema de gestión de seguridad y salud en el trabajo en la Subdirección de Gestión Humana de la UAE Cuerpo Oficial de Bomberos."/>
    <s v="11 - orden de prestacion de servicios"/>
    <n v="80111600"/>
    <n v="2"/>
    <n v="11"/>
    <n v="0"/>
    <n v="40613701"/>
    <x v="0"/>
    <s v="09 - contratación directa"/>
    <x v="5"/>
    <x v="0"/>
    <x v="1"/>
    <x v="1"/>
    <x v="2"/>
    <x v="2"/>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105"/>
    <x v="1"/>
    <x v="6"/>
    <s v="Jose Andres Ponce Caicedo"/>
    <s v="SGH - Prestar sus servicios profesionales en la Subdirección de Gestión Humana en temas de desarrollo organizacional."/>
    <s v="11 - orden de prestacion de servicios"/>
    <n v="80111600"/>
    <n v="2"/>
    <n v="11"/>
    <n v="0"/>
    <n v="69603600"/>
    <x v="0"/>
    <s v="09 - contratación directa"/>
    <x v="5"/>
    <x v="0"/>
    <x v="1"/>
    <x v="1"/>
    <x v="2"/>
    <x v="2"/>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106"/>
    <x v="1"/>
    <x v="6"/>
    <s v="Jose Andres Ponce Caicedo"/>
    <s v="SGH - Prestar sus servicios profesionales en la gestión contractual y presupuestal de la Subdirección de Gestión Humana de la UAE Cuerpo Oficial de Bomberos."/>
    <s v="11 - orden de prestacion de servicios"/>
    <n v="80111600"/>
    <n v="2"/>
    <n v="11"/>
    <n v="0"/>
    <n v="50520613"/>
    <x v="0"/>
    <s v="09 - contratación directa"/>
    <x v="5"/>
    <x v="0"/>
    <x v="1"/>
    <x v="1"/>
    <x v="2"/>
    <x v="2"/>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107"/>
    <x v="1"/>
    <x v="6"/>
    <s v="Jose Andres Ponce Caicedo"/>
    <s v="SGH - Prestar servicios profesionales a la Subdirección de Gestión Humana para el fortalecimiento y seguimiento del proceso de la escuela de formación bomberil."/>
    <s v="11 - orden de prestacion de servicios"/>
    <n v="80111600"/>
    <n v="2"/>
    <n v="11"/>
    <n v="0"/>
    <n v="69603600"/>
    <x v="0"/>
    <s v="09 - contratación directa"/>
    <x v="5"/>
    <x v="0"/>
    <x v="1"/>
    <x v="1"/>
    <x v="2"/>
    <x v="2"/>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108"/>
    <x v="1"/>
    <x v="6"/>
    <s v="Jose Andres Ponce Caicedo"/>
    <s v="SGH - Prestar servicios profesionales en la Subdirección de Gestión Humana de la UAE Cuerpo Oficial de Bomberos en temas de liquidación de demandas y conciliaciones."/>
    <s v="11 - orden de prestacion de servicios"/>
    <n v="80111600"/>
    <n v="2"/>
    <n v="11"/>
    <n v="0"/>
    <n v="48873328"/>
    <x v="0"/>
    <s v="09 - contratación directa"/>
    <x v="5"/>
    <x v="0"/>
    <x v="1"/>
    <x v="1"/>
    <x v="2"/>
    <x v="2"/>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109"/>
    <x v="1"/>
    <x v="6"/>
    <s v="Jose Andres Ponce Caicedo"/>
    <s v="SGH - Prestar servicios profesionales para apoyar el programa de vigilancia epidemiológico al riesgo psicosocial y actividades de seguridad y salud en el trabajo en la Subdirección de Gestión Humana."/>
    <s v="11 - orden de prestacion de servicios"/>
    <n v="80111600"/>
    <n v="3"/>
    <n v="10"/>
    <n v="0"/>
    <n v="57697166"/>
    <x v="0"/>
    <s v="09 - contratación directa"/>
    <x v="5"/>
    <x v="0"/>
    <x v="1"/>
    <x v="1"/>
    <x v="2"/>
    <x v="2"/>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110"/>
    <x v="1"/>
    <x v="6"/>
    <s v="Jose Andres Ponce Caicedo"/>
    <s v="SGH - Prestar servicios profesionales para apoyar el seguimiento del sistema de gestión de seguridad y salud en el trabajo en la Subdirección de Gestión Humana."/>
    <s v="11 - orden de prestacion de servicios"/>
    <n v="80111600"/>
    <n v="2"/>
    <n v="11"/>
    <n v="0"/>
    <n v="52202700"/>
    <x v="0"/>
    <s v="09 - contratación directa"/>
    <x v="5"/>
    <x v="0"/>
    <x v="1"/>
    <x v="1"/>
    <x v="2"/>
    <x v="2"/>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111"/>
    <x v="1"/>
    <x v="6"/>
    <s v="Jose Andres Ponce Caicedo"/>
    <s v="SGH - Ejecutar actividades de apoyo a la gestión en  la Subdirección de Gestión Humana de la UAE Cuerpo Oficial de Bomberos de Bogotá D.C. en lo relacionado con los procesos de actualización, custodia y manejo del archivo de gestión de la Subdirección."/>
    <s v="11 - orden de prestacion de servicios"/>
    <n v="80111600"/>
    <n v="2"/>
    <n v="11"/>
    <n v="0"/>
    <n v="38073169"/>
    <x v="0"/>
    <s v="09 - contratación directa"/>
    <x v="5"/>
    <x v="0"/>
    <x v="1"/>
    <x v="1"/>
    <x v="2"/>
    <x v="2"/>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112"/>
    <x v="1"/>
    <x v="6"/>
    <s v="Jose Andres Ponce Caicedo"/>
    <s v="SGH - Prestar Servicios de apoyo  a los procesos de archivo en  Subdirección de Gestión Humana de la UAE Cuerpo Oficial de Bomberos de Bogotá D.C. "/>
    <s v="11 - orden de prestacion de servicios"/>
    <n v="80111600"/>
    <n v="3"/>
    <n v="10"/>
    <n v="0"/>
    <n v="31638000"/>
    <x v="0"/>
    <s v="09 - contratación directa"/>
    <x v="5"/>
    <x v="0"/>
    <x v="1"/>
    <x v="1"/>
    <x v="2"/>
    <x v="2"/>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113"/>
    <x v="1"/>
    <x v="6"/>
    <s v="Jose Andres Ponce Caicedo"/>
    <s v="SGH - Prestar sus servicios profesionales en el proceso de liquidación de demandas y conciliaciones administrativas para la Subdirección de Gestión Humana de la UAE Cuerpo Oficial de Bomberos."/>
    <s v="11 - orden de prestacion de servicios"/>
    <n v="80111600"/>
    <n v="2"/>
    <n v="11"/>
    <n v="0"/>
    <n v="62550435"/>
    <x v="0"/>
    <s v="09 - contratación directa"/>
    <x v="5"/>
    <x v="0"/>
    <x v="1"/>
    <x v="1"/>
    <x v="2"/>
    <x v="2"/>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114"/>
    <x v="1"/>
    <x v="6"/>
    <s v="Jose Andres Ponce Caicedo"/>
    <s v="SGH - Prestar servicios profesionales en  la Subdirección de Gestión Humana de la UAE Cuerpo Oficial de Bomberos de Bogotá D.C. en lo relacionado con los procesos de administración y aplicación de los instrumentos archivísticos vigentes en el archivo de gestión de la Subdirección."/>
    <s v="11 - orden de prestacion de servicios"/>
    <n v="80111600"/>
    <n v="2"/>
    <n v="11"/>
    <n v="0"/>
    <n v="53316358"/>
    <x v="0"/>
    <s v="09 - contratación directa"/>
    <x v="5"/>
    <x v="0"/>
    <x v="1"/>
    <x v="1"/>
    <x v="2"/>
    <x v="2"/>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115"/>
    <x v="1"/>
    <x v="6"/>
    <s v="Jose Andres Ponce Caicedo"/>
    <s v="SGH - Prestar servicios profesionales en la Subdirección de Gestión Humana de la UAE Cuerpo Oficial de Bomberos en temas de liquidación de demandas y conciliaciones."/>
    <s v="11 - orden de prestacion de servicios"/>
    <n v="80111600"/>
    <n v="2"/>
    <n v="11"/>
    <n v="0"/>
    <n v="46599610"/>
    <x v="0"/>
    <s v="09 - contratación directa"/>
    <x v="5"/>
    <x v="0"/>
    <x v="1"/>
    <x v="1"/>
    <x v="2"/>
    <x v="2"/>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116"/>
    <x v="1"/>
    <x v="6"/>
    <s v="Jose Andres Ponce Caicedo"/>
    <s v="SGH - Prestar sus servicios profesionales en comunicación interna y externa para la Subdirección de Gestión Humana de la UAE Cuerpo Oficial de Bomberos de Bogotá"/>
    <s v="11 - orden de prestacion de servicios"/>
    <n v="80111600"/>
    <n v="2"/>
    <n v="11"/>
    <n v="0"/>
    <n v="75403900"/>
    <x v="0"/>
    <s v="09 - contratación directa"/>
    <x v="5"/>
    <x v="0"/>
    <x v="1"/>
    <x v="1"/>
    <x v="2"/>
    <x v="2"/>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117"/>
    <x v="1"/>
    <x v="6"/>
    <s v="Jose Andres Ponce Caicedo"/>
    <s v="SGH - Prestar servicios de apoyo a la gestión en cumplimiento de los planes institucionales de la Subdirección de Gestión Humana específicamente para desarrollo organizacional."/>
    <s v="11 - orden de prestacion de servicios"/>
    <n v="80111600"/>
    <n v="2"/>
    <n v="11"/>
    <n v="0"/>
    <n v="30045554"/>
    <x v="0"/>
    <s v="09 - contratación directa"/>
    <x v="5"/>
    <x v="0"/>
    <x v="1"/>
    <x v="1"/>
    <x v="2"/>
    <x v="2"/>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118"/>
    <x v="1"/>
    <x v="6"/>
    <s v="Jose Andres Ponce Caicedo"/>
    <s v="SGH-  Prestar servicios profesionales en la Subdirección de Gestión Humana de la UAE Cuerpo Oficial de Bomberos de Bogotá en las áreas de calidad de vida y desarrollo organizacional"/>
    <s v="11 - orden de prestacion de servicios"/>
    <n v="80111600"/>
    <n v="2"/>
    <n v="11"/>
    <n v="0"/>
    <n v="46599610"/>
    <x v="0"/>
    <s v="09 - contratación directa"/>
    <x v="5"/>
    <x v="0"/>
    <x v="1"/>
    <x v="1"/>
    <x v="2"/>
    <x v="2"/>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119"/>
    <x v="1"/>
    <x v="6"/>
    <s v="Jose Andres Ponce Caicedo"/>
    <s v="SGH - Prestar servicios profesionales en la Subdirección de Gestión Humana de la UAE Cuerpo Oficial de Bomberos en temas de Administración de Personal."/>
    <s v="11 - orden de prestacion de servicios"/>
    <n v="80111600"/>
    <n v="2"/>
    <n v="11"/>
    <n v="0"/>
    <n v="59047054"/>
    <x v="0"/>
    <s v="09 - contratación directa"/>
    <x v="5"/>
    <x v="0"/>
    <x v="1"/>
    <x v="1"/>
    <x v="2"/>
    <x v="2"/>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120"/>
    <x v="1"/>
    <x v="6"/>
    <s v="Jose Andres Ponce Caicedo"/>
    <s v="SGH - Prestar servicios de apoyo en la Subdirección de Gestión Humana de la UAE Cuerpo Oficial de Bomberos en el proceso de ausentismos del personal."/>
    <s v="11 - orden de prestacion de servicios"/>
    <n v="80111600"/>
    <n v="2"/>
    <n v="11"/>
    <n v="0"/>
    <n v="43502250"/>
    <x v="0"/>
    <s v="09 - contratación directa"/>
    <x v="5"/>
    <x v="0"/>
    <x v="1"/>
    <x v="1"/>
    <x v="2"/>
    <x v="2"/>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121"/>
    <x v="1"/>
    <x v="6"/>
    <s v="Jose Andres Ponce Caicedo"/>
    <s v="SGH - Prestar servicios profesionales en la Subdirección de Gestión Humana en la estrategia de fortalecimiento institucional, realizando documentos de necesidades de diagnóstico organizacional de la Unidad Administrativa Especial Cuerpo Oficial de Bomberos de Bogotá."/>
    <s v="11 - orden de prestacion de servicios"/>
    <n v="80111600"/>
    <n v="2"/>
    <n v="11"/>
    <n v="0"/>
    <n v="81204200"/>
    <x v="0"/>
    <s v="09 - contratación directa"/>
    <x v="5"/>
    <x v="0"/>
    <x v="1"/>
    <x v="1"/>
    <x v="2"/>
    <x v="2"/>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122"/>
    <x v="1"/>
    <x v="6"/>
    <s v="Jose Andres Ponce Caicedo"/>
    <s v="SGH - Prestar servicios profesionales en la Subdirección de Gestión Humana en los diferentes procesos y procedimientos propios del área de nómina de la Unidad Administrativa del Cuerpo oficial de Bomberos."/>
    <s v="11 - orden de prestacion de servicios"/>
    <n v="80111600"/>
    <n v="2"/>
    <n v="11"/>
    <n v="0"/>
    <n v="87004500"/>
    <x v="0"/>
    <s v="09 - contratación directa"/>
    <x v="5"/>
    <x v="0"/>
    <x v="1"/>
    <x v="1"/>
    <x v="2"/>
    <x v="2"/>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123"/>
    <x v="1"/>
    <x v="6"/>
    <s v="Jose Andres Ponce Caicedo"/>
    <s v="Brindar apoyo técnico en materia de fortalecimiento institucional a la  Unidad Administrativa Especial Cuerpo Oficial Bomberos Bogotá en el análisis del MOP y mapa de procesos institucional y la propuesta de nuevo MOP y mapa de procesos como insumo para futuros procesos de medición de cargas laborales."/>
    <s v="11 - orden de prestacion de servicios"/>
    <n v="80111600"/>
    <n v="3"/>
    <n v="10"/>
    <n v="0"/>
    <n v="84368000"/>
    <x v="0"/>
    <s v="09 - contratación directa"/>
    <x v="5"/>
    <x v="0"/>
    <x v="1"/>
    <x v="1"/>
    <x v="2"/>
    <x v="2"/>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124"/>
    <x v="1"/>
    <x v="6"/>
    <s v="Jose Andres Ponce Caicedo"/>
    <s v="SGH - Prestar servicios profesionales juridicos para desarrollar actividades en la Subdireccion de Gestion Humana y el area de academia. "/>
    <s v="11 - orden de prestacion de servicios"/>
    <n v="80111600"/>
    <n v="3"/>
    <n v="10"/>
    <n v="0"/>
    <n v="68549000"/>
    <x v="0"/>
    <s v="09 - contratación directa"/>
    <x v="5"/>
    <x v="0"/>
    <x v="1"/>
    <x v="1"/>
    <x v="2"/>
    <x v="2"/>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125"/>
    <x v="1"/>
    <x v="6"/>
    <s v="Jose Andres Ponce Caicedo"/>
    <s v="SGH - Prestar servicios profesionales en la Subdirección de Gestión Humana de la UAE Cuerpo Oficial de Bomberos de Bogotá D.C. en lo relacionado con los diferentes procesos de archivo y trámites administrativos."/>
    <s v="11 - orden de prestacion de servicios"/>
    <n v="80111600"/>
    <n v="2"/>
    <n v="11"/>
    <n v="0"/>
    <n v="59163060"/>
    <x v="0"/>
    <s v="09 - contratación directa"/>
    <x v="5"/>
    <x v="0"/>
    <x v="1"/>
    <x v="1"/>
    <x v="2"/>
    <x v="2"/>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126"/>
    <x v="1"/>
    <x v="6"/>
    <s v="Jose Andres Ponce Caicedo"/>
    <s v="SGH- Prestar servicios profesionales en la Subdirección de Gestión Humana de la UAE Cuerpo Oficial de Bomberos Bogotá D.C. en lo relacionado con la consolidación y análisis de base de datos y constitución del presupuesto"/>
    <s v="11 - orden de prestacion de servicios"/>
    <n v="80111600"/>
    <n v="3"/>
    <n v="10"/>
    <n v="0"/>
    <n v="68549000"/>
    <x v="0"/>
    <s v="09 - contratación directa"/>
    <x v="5"/>
    <x v="0"/>
    <x v="1"/>
    <x v="1"/>
    <x v="2"/>
    <x v="2"/>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127"/>
    <x v="1"/>
    <x v="6"/>
    <s v="Jose Andres Ponce Caicedo"/>
    <s v="SGH - Prestar servicios profesionales para apoyar el programa de vigilancia epidemiológico al riesgo psicosocial y actividades de seguridad y salud en el trabajo en la Subdirección de Gestión Humana"/>
    <s v="11 - orden de prestacion de servicios"/>
    <n v="80111600"/>
    <n v="3"/>
    <n v="10"/>
    <n v="0"/>
    <n v="57697166"/>
    <x v="0"/>
    <s v="09 - contratación directa"/>
    <x v="5"/>
    <x v="0"/>
    <x v="1"/>
    <x v="1"/>
    <x v="2"/>
    <x v="2"/>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128"/>
    <x v="1"/>
    <x v="6"/>
    <s v="Jose Andres Ponce Caicedo"/>
    <s v="SGH - Prestar servicios profesionales para apoyar el programa de vigilancia epidemiológico al riesgo psicosocial y actividades de seguridad y salud en el trabajo en la Subdirección de Gestión Humana"/>
    <s v="11 - orden de prestacion de servicios"/>
    <n v="80111600"/>
    <n v="3"/>
    <n v="10"/>
    <n v="0"/>
    <n v="57697166"/>
    <x v="0"/>
    <s v="09 - contratación directa"/>
    <x v="5"/>
    <x v="0"/>
    <x v="1"/>
    <x v="1"/>
    <x v="2"/>
    <x v="2"/>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129"/>
    <x v="1"/>
    <x v="6"/>
    <s v="Jose Andres Ponce Caicedo"/>
    <s v="SGH - Prestar servicios profesionales para desarrollar actividades jurídicas relacionadas con los procesos de seguridad social y las diferentes situaciones administrativas de la Subdirección de Gestión Humana de la UAE Cuerpo oficial de Bomberos."/>
    <s v="11 - orden de prestacion de servicios"/>
    <n v="80111600"/>
    <n v="4"/>
    <n v="9"/>
    <n v="0"/>
    <n v="75931200"/>
    <x v="0"/>
    <s v="09 - contratación directa"/>
    <x v="5"/>
    <x v="0"/>
    <x v="1"/>
    <x v="1"/>
    <x v="2"/>
    <x v="2"/>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130"/>
    <x v="1"/>
    <x v="6"/>
    <s v="Jose Andres Ponce Caicedo"/>
    <s v="SGH - Prestar servicios de apoyo a la gestión en la Subdirección de Gestión Humana en las diferentes actividades logísticas relacionadas con  el proceso de Academia."/>
    <s v="11 - orden de prestacion de servicios"/>
    <n v="80111600"/>
    <n v="2"/>
    <n v="11"/>
    <n v="0"/>
    <n v="30045554"/>
    <x v="0"/>
    <s v="09 - contratación directa"/>
    <x v="5"/>
    <x v="0"/>
    <x v="1"/>
    <x v="1"/>
    <x v="2"/>
    <x v="2"/>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131"/>
    <x v="1"/>
    <x v="6"/>
    <s v="Jose Andres Ponce Caicedo"/>
    <s v="SGH - Prestar servicios de apoyo a la Gestion con actividades encaminadas al entrenamiento deportivo y fortalecimiento al respecto y la sana convivencia del personal uniformado, promoviendo el bienestar y sus competencias internas. "/>
    <s v="11 - orden de prestacion de servicios"/>
    <n v="80111600"/>
    <n v="3"/>
    <n v="10"/>
    <n v="0"/>
    <n v="39547500"/>
    <x v="0"/>
    <s v="09 - contratación directa"/>
    <x v="5"/>
    <x v="0"/>
    <x v="1"/>
    <x v="1"/>
    <x v="2"/>
    <x v="2"/>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132"/>
    <x v="1"/>
    <x v="6"/>
    <s v="Jose Andres Ponce Caicedo"/>
    <s v="SGH prestar servicios profesionales en los diferentes procesos de seguimiento presupuestal y contractual en el area de academia de la subdireccion"/>
    <s v="11 - orden de prestacion de servicios"/>
    <n v="80111600"/>
    <n v="2"/>
    <n v="11"/>
    <n v="0"/>
    <n v="75403900"/>
    <x v="0"/>
    <s v="09 - contratación directa"/>
    <x v="5"/>
    <x v="0"/>
    <x v="1"/>
    <x v="1"/>
    <x v="2"/>
    <x v="2"/>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133"/>
    <x v="1"/>
    <x v="6"/>
    <s v="Jose Andres Ponce Caicedo"/>
    <s v="SGH – Prestar servicios profesionales en las diferentes actividades del  sistema de gestión de seguridad y salud en el trabajo y en vigilancia epidemiológica de la Subdirección de Gestión Humana. "/>
    <s v="11 - orden de prestacion de servicios"/>
    <n v="80111600"/>
    <n v="3"/>
    <n v="10"/>
    <n v="0"/>
    <n v="73822000"/>
    <x v="0"/>
    <s v="09 - contratación directa"/>
    <x v="5"/>
    <x v="0"/>
    <x v="1"/>
    <x v="1"/>
    <x v="2"/>
    <x v="2"/>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134"/>
    <x v="1"/>
    <x v="6"/>
    <s v="Jose Andres Ponce Caicedo"/>
    <s v="SGH - Prestar sus servicios profesionales en la gestión contractual y presupuestal de la Subdirección de Gestión Humana de la UAE Cuerpo Oficial de Bomberos."/>
    <s v="11 - orden de prestacion de servicios"/>
    <n v="80111600"/>
    <n v="2"/>
    <n v="11"/>
    <n v="0"/>
    <n v="50520613"/>
    <x v="0"/>
    <s v="09 - contratación directa"/>
    <x v="5"/>
    <x v="0"/>
    <x v="1"/>
    <x v="1"/>
    <x v="2"/>
    <x v="2"/>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135"/>
    <x v="1"/>
    <x v="6"/>
    <s v="Jose Andres Ponce Caicedo"/>
    <s v="SGH- Prestación de servicios profesionales para apoyar a la Subdirección Gestión Humana, en el diligenciamiento, validación , consolidación y seguimiento a la información relacionada con la información laboral del personal de planta y de las herramientas de gestión de los procedimientos a cargo de esta subdirección, así como la gestión , control trámite y seguimiento de solicitudes de acuerdo con las competencias de la subdirección."/>
    <s v="11 - orden de prestacion de servicios"/>
    <n v="80111600"/>
    <n v="3"/>
    <n v="10"/>
    <n v="0"/>
    <n v="52730000"/>
    <x v="0"/>
    <s v="09 - contratación directa"/>
    <x v="5"/>
    <x v="0"/>
    <x v="1"/>
    <x v="1"/>
    <x v="2"/>
    <x v="2"/>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136"/>
    <x v="1"/>
    <x v="6"/>
    <s v="Jose Andres Ponce Caicedo"/>
    <s v="SGH - Prestar servicios profesionales en el desarrollo de actividades relacionadas con la actualizacion de registro laborales del personal de la entidad, asi como apoyar en las actividades a cargo de desarrollo organizacional de la subdireccion de gestion humana."/>
    <s v="11 - orden de prestacion de servicios"/>
    <n v="80111600"/>
    <n v="3"/>
    <n v="10"/>
    <n v="0"/>
    <n v="58003000"/>
    <x v="0"/>
    <s v="09 - contratación directa"/>
    <x v="5"/>
    <x v="0"/>
    <x v="1"/>
    <x v="1"/>
    <x v="2"/>
    <x v="2"/>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137"/>
    <x v="1"/>
    <x v="6"/>
    <s v="Jose Andres Ponce Caicedo"/>
    <s v="SGH - Prestar servicios profesionales en la Subdirección de Gestión Humana de la UAE Cuerpo Oficial de Bomberos en temas de liquidación de demandas y conciliaciones"/>
    <s v="11 - orden de prestacion de servicios"/>
    <n v="80111600"/>
    <n v="3"/>
    <n v="10"/>
    <n v="0"/>
    <n v="56748026"/>
    <x v="0"/>
    <s v="09 - contratación directa"/>
    <x v="5"/>
    <x v="0"/>
    <x v="1"/>
    <x v="1"/>
    <x v="2"/>
    <x v="2"/>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138"/>
    <x v="1"/>
    <x v="6"/>
    <s v="Jose Andres Ponce Caicedo"/>
    <s v="SGH - Apoyo en la proyección y elaboración de actas técnicas de los diferentes comités y comisiones de personal, en los cuales la subdirección de gestión humana tenga participación o ejerza la secretaria técnica”"/>
    <s v="11 - orden de prestacion de servicios"/>
    <n v="80111600"/>
    <n v="3"/>
    <n v="10"/>
    <n v="0"/>
    <n v="32806497"/>
    <x v="0"/>
    <s v="09 - contratación directa"/>
    <x v="5"/>
    <x v="0"/>
    <x v="1"/>
    <x v="1"/>
    <x v="2"/>
    <x v="2"/>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139"/>
    <x v="1"/>
    <x v="6"/>
    <s v="Jose Andres Ponce Caicedo"/>
    <s v="SGH - Prestar servicios profesionales para apoyar el programa de riesgo psicosocial y diferentes  actividades de seguridad y salud en el trabajo en la Subdirección de Gestión Humana"/>
    <s v="11 - orden de prestacion de servicios"/>
    <n v="80111600"/>
    <n v="3"/>
    <n v="10"/>
    <n v="0"/>
    <n v="57697166"/>
    <x v="0"/>
    <s v="09 - contratación directa"/>
    <x v="5"/>
    <x v="0"/>
    <x v="1"/>
    <x v="1"/>
    <x v="2"/>
    <x v="2"/>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140"/>
    <x v="1"/>
    <x v="6"/>
    <s v="Jose Andres Ponce Caicedo"/>
    <s v="SGH - Prestar servicios en la subdireccion de gestion humana "/>
    <s v="11 - orden de prestacion de servicios"/>
    <n v="80111600"/>
    <n v="2"/>
    <n v="11"/>
    <n v="0"/>
    <n v="43390578"/>
    <x v="0"/>
    <s v="09 - contratación directa"/>
    <x v="5"/>
    <x v="0"/>
    <x v="1"/>
    <x v="1"/>
    <x v="2"/>
    <x v="2"/>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141"/>
    <x v="1"/>
    <x v="6"/>
    <s v="Jose Andres Ponce Caicedo"/>
    <s v="SGH- Prestar servicios profesionales en la Subdirección de Gestión Humana de la UAE Cuerpo Oficial de Bomberos en el proceso de ausentismo , recobro de incapacidades, y los subprocesos directamente relacionados."/>
    <s v="11 - orden de prestacion de servicios"/>
    <n v="80111600"/>
    <n v="2"/>
    <n v="10"/>
    <n v="0"/>
    <n v="62216000"/>
    <x v="0"/>
    <s v="09 - contratación directa"/>
    <x v="5"/>
    <x v="0"/>
    <x v="1"/>
    <x v="1"/>
    <x v="2"/>
    <x v="2"/>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142"/>
    <x v="1"/>
    <x v="6"/>
    <s v="Jose Andres Ponce Caicedo"/>
    <s v="SGH - Prestar los servicios de capacitación, formación y entrenamiento en cursos especializado para Bomberos necesarios para el desarrollo de estos procesos para el personal operativo y administrativo de la Academia UAECOB en el marco del PIC"/>
    <s v="11 - orden de prestacion de servicios"/>
    <s v="86101600, 86101700, 86101800, 86111600, 86141500,  86121800, 80111500,86131800"/>
    <n v="3"/>
    <n v="6"/>
    <n v="0"/>
    <n v="500000000"/>
    <x v="0"/>
    <s v="02 - selec. abrev. menor cuantía"/>
    <x v="5"/>
    <x v="0"/>
    <x v="1"/>
    <x v="1"/>
    <x v="2"/>
    <x v="2"/>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143"/>
    <x v="1"/>
    <x v="6"/>
    <s v="Jose Andres Ponce Caicedo"/>
    <s v="SGH - Prestar los servicios de capacitación, formación y entrenamiento en cursos especializado para Bomberos  en OPERADORES DE GRUAS, necesario para el desarrollo de estos procesos para el personal operativo y administrativo de la Academia UAECOB "/>
    <s v="11 - orden de prestacion de servicios"/>
    <s v="86101600, 86101700, 86101800, 86111600, 86141500,  86121800, 80111500"/>
    <n v="3"/>
    <n v="4"/>
    <n v="0"/>
    <n v="50000000"/>
    <x v="0"/>
    <s v="04 - contratación mínima cuantía"/>
    <x v="5"/>
    <x v="0"/>
    <x v="1"/>
    <x v="1"/>
    <x v="2"/>
    <x v="2"/>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144"/>
    <x v="1"/>
    <x v="6"/>
    <s v="Jose Andres Ponce Caicedo"/>
    <s v="SGH - Prestar los servicios de capacitación, formación y entrenamiento en cursos especializado para Bomberos en BUZO DE SEGURIDAD PUBLICA, necesario para el desarrollo de estos procesos para el personal operativo y administrativo  de la Academia UAECOB "/>
    <s v="11 - orden de prestacion de servicios"/>
    <s v="86101600, 86101700, 86101800, 86111600, 86141500,  86121800, 80111500"/>
    <n v="3"/>
    <n v="4"/>
    <n v="0"/>
    <n v="200000000"/>
    <x v="0"/>
    <s v="02 - selec. abrev. menor cuantía"/>
    <x v="5"/>
    <x v="0"/>
    <x v="1"/>
    <x v="1"/>
    <x v="2"/>
    <x v="2"/>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145"/>
    <x v="1"/>
    <x v="6"/>
    <s v="Jose Andres Ponce Caicedo"/>
    <s v="SGH - Adquisición de elementos, herramientas y accesorios necesario para el desarrollo de entrenamiento rescate con cuerdas, rescate vehicular y rescate urbano   de la Academia UAECOB"/>
    <s v="06 - contrato de compraventa"/>
    <s v="23101512, 23241629, 27111508_x000a_27111559, 46161707, 46191605,46191609, 27111604, 46191603, 30191501, 46191614, 27111702_x000a_46191620, 46201002, 41114408_x000a_46191510, 46191511, 42171610, 46161715, 42171612, 27112813, 27112120, 30102409, 26121634_x000a_41113630, 25173107, 25173108_x000a_52161518, 46181504, 46181537, 41114501, 46161714"/>
    <n v="3"/>
    <n v="4"/>
    <n v="0"/>
    <n v="150000000"/>
    <x v="0"/>
    <s v="02 - selec. abrev. menor cuantía"/>
    <x v="5"/>
    <x v="0"/>
    <x v="1"/>
    <x v="1"/>
    <x v="2"/>
    <x v="2"/>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146"/>
    <x v="1"/>
    <x v="6"/>
    <s v="Jose Andres Ponce Caicedo"/>
    <s v="SGH - Adquisición de elementos, herramientas y accesorios necesario para el desarrollo de entrenamiento APH - DORSOS Y MANIQUIES de la Academia UAECOB"/>
    <s v="06 - contrato de compraventa"/>
    <s v="23101512, 23241629, 27111508_x000a_27111559, 46161707, 46191605,46191609, 27111604, 46191603, 30191501, 46191614, 27111702_x000a_46191620, 46201002, 41114408_x000a_46191510, 46191511, 42171610, 46161715, 42171612, 27112813, 27112120, 30102409, 26121634_x000a_41113630, 25173107, 25173108_x000a_52161518, 46181504, 46181537, 41114501, 46161714"/>
    <n v="3"/>
    <n v="4"/>
    <n v="0"/>
    <n v="30000000"/>
    <x v="0"/>
    <s v="04 - contratación mínima cuantía"/>
    <x v="5"/>
    <x v="0"/>
    <x v="1"/>
    <x v="1"/>
    <x v="2"/>
    <x v="2"/>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147"/>
    <x v="1"/>
    <x v="6"/>
    <s v="Jose Andres Ponce Caicedo"/>
    <s v="SGH - Adquisición de elementos, herramientas y accesorios para  EQUIPAMIENTO DE MAQUINAS E INCENDIOS necesario para el desarrollo de entrenamiento de la Academia UAECOB"/>
    <s v="06 - contrato de compraventa"/>
    <s v="23101512, 23241629, 27111508_x000a_27111559, 46161707, 46191605,46191609, 27111604, 46191603, 30191501, 46191614, 27111702_x000a_46191620, 46201002, 41114408_x000a_46191510, 46191511, 42171610, 46161715, 42171612, 27112813, 27112120, 30102409, 26121634_x000a_41113630, 25173107, 25173108_x000a_52161518, 46181504, 46181537, 41114501, 46161714"/>
    <n v="3"/>
    <n v="4"/>
    <n v="0"/>
    <n v="30000000"/>
    <x v="0"/>
    <s v="04 - contratación mínima cuantía"/>
    <x v="5"/>
    <x v="0"/>
    <x v="1"/>
    <x v="1"/>
    <x v="2"/>
    <x v="2"/>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148"/>
    <x v="1"/>
    <x v="6"/>
    <s v="Jose Andres Ponce Caicedo"/>
    <s v="SGH - Adquisicion y adecuacion de escenarios necesario para el desarrollo de entrenamiento USAR de la Academia UAECOB"/>
    <s v="08 - contrato de suministro"/>
    <s v="72121100, 24101600, 30131500, 31371300, 30101500, 30101700, 30103600, 95121633, 30103619, 73121600, 73121500, 30101704, 30101504"/>
    <n v="3"/>
    <n v="4"/>
    <n v="0"/>
    <n v="80000000"/>
    <x v="0"/>
    <s v="02 - selec. abrev. menor cuantía"/>
    <x v="5"/>
    <x v="0"/>
    <x v="1"/>
    <x v="1"/>
    <x v="2"/>
    <x v="2"/>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149"/>
    <x v="1"/>
    <x v="6"/>
    <s v="Jose Andres Ponce Caicedo"/>
    <s v="SGH - Realizar el estudio de cargas de trabajo de los servidores públicos Administrativos y Operativos de la UAE Cuerpo Oficial de Bomberos de Bogotá, que contenga las necesidades de ajuste o de incremento de planta conforme con los lineamientos del Departamento Administrativo de la Función Pública."/>
    <s v="11 - orden de prestacion de servicios"/>
    <s v="80101500;80111500;86132000;93151500"/>
    <n v="3"/>
    <n v="4"/>
    <n v="0"/>
    <n v="150000000"/>
    <x v="0"/>
    <s v="02 - selec. abrev. menor cuantía"/>
    <x v="5"/>
    <x v="0"/>
    <x v="1"/>
    <x v="1"/>
    <x v="2"/>
    <x v="2"/>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150"/>
    <x v="1"/>
    <x v="6"/>
    <s v="Jose Andres Ponce Caicedo"/>
    <s v="SGH - Garantizar los Recursos para movilización del Personal para emergencias"/>
    <s v="03 - contrato de prestacion de servicios"/>
    <n v="90121800"/>
    <n v="2"/>
    <n v="11"/>
    <n v="0"/>
    <n v="50000000"/>
    <x v="0"/>
    <s v="09 - contratación directa"/>
    <x v="5"/>
    <x v="0"/>
    <x v="1"/>
    <x v="1"/>
    <x v="2"/>
    <x v="2"/>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151"/>
    <x v="1"/>
    <x v="6"/>
    <s v="Jose Andres Ponce Caicedo"/>
    <s v="SGH - Garantizar los recursos para viáticos y tiquetes del personal"/>
    <s v="03 - contrato de prestacion de servicios"/>
    <n v="90121800"/>
    <n v="2"/>
    <n v="11"/>
    <n v="0"/>
    <n v="150000000"/>
    <x v="0"/>
    <s v="09 - contratación directa"/>
    <x v="5"/>
    <x v="0"/>
    <x v="1"/>
    <x v="1"/>
    <x v="2"/>
    <x v="2"/>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152"/>
    <x v="2"/>
    <x v="6"/>
    <s v="Jose Andres Ponce Caicedo"/>
    <s v="Realizar los exámenes Médicos Ocupacionales para el personal de la UAECOB"/>
    <s v="03 - contrato de prestacion de servicios"/>
    <s v="85121503;85121603;85121604;85121608;85121610;85121611;85121612;85121702;85122201"/>
    <n v="3"/>
    <n v="9"/>
    <n v="0"/>
    <n v="302388000"/>
    <x v="1"/>
    <s v="02 - selec. abrev. menor cuantía"/>
    <x v="6"/>
    <x v="1"/>
    <x v="2"/>
    <x v="2"/>
    <x v="3"/>
    <x v="3"/>
    <s v="N/A-N/A"/>
    <x v="5"/>
    <s v="N/A"/>
    <s v="N/A_N/A"/>
    <s v="N/A-N/A N/A_N/A"/>
    <x v="5"/>
    <x v="5"/>
    <x v="2"/>
    <s v="Si Secop "/>
  </r>
  <r>
    <n v="20250153"/>
    <x v="2"/>
    <x v="6"/>
    <s v="Jose Andres Ponce Caicedo"/>
    <s v="INCENTIVOS"/>
    <s v="12 - resolucion"/>
    <s v="N/A"/>
    <n v="9"/>
    <n v="9"/>
    <n v="0"/>
    <n v="179741000"/>
    <x v="1"/>
    <s v="91 - n/a acto administrativo (resolución, decreto, acuerdo, etc.)"/>
    <x v="6"/>
    <x v="1"/>
    <x v="2"/>
    <x v="2"/>
    <x v="3"/>
    <x v="3"/>
    <s v="N/A-N/A"/>
    <x v="5"/>
    <s v="N/A"/>
    <s v="N/A_N/A"/>
    <s v="N/A-N/A N/A_N/A"/>
    <x v="5"/>
    <x v="5"/>
    <x v="2"/>
    <s v="Si Secop "/>
  </r>
  <r>
    <n v="20250154"/>
    <x v="2"/>
    <x v="6"/>
    <s v="Jose Andres Ponce Caicedo"/>
    <s v="Contratar la Prestación de Servicios para desarrollar el Plan de Bienestar de la UAE Cuerpo Oficial de Bomberos para la Vigencia 2024."/>
    <s v="03 - contrato de prestacion de servicios"/>
    <s v="90101600;90111600;90141700;90151700"/>
    <n v="3"/>
    <n v="8"/>
    <n v="0"/>
    <n v="1620259000"/>
    <x v="1"/>
    <s v="09 - contratación directa"/>
    <x v="6"/>
    <x v="1"/>
    <x v="2"/>
    <x v="2"/>
    <x v="3"/>
    <x v="3"/>
    <s v="N/A-N/A"/>
    <x v="5"/>
    <s v="N/A"/>
    <s v="N/A_N/A"/>
    <s v="N/A-N/A N/A_N/A"/>
    <x v="5"/>
    <x v="5"/>
    <x v="2"/>
    <s v="Si Secop "/>
  </r>
  <r>
    <n v="20250155"/>
    <x v="2"/>
    <x v="6"/>
    <s v="Jose Andres Ponce Caicedo"/>
    <s v="Contratar elementos de protección personal de acuerdo con las diferentes visitas de las estaciones según el sistema de gestión de salud ocupacional"/>
    <s v="03 - contrato de prestacion de servicios"/>
    <s v="46181900;46181901"/>
    <n v="3"/>
    <n v="4"/>
    <n v="0"/>
    <n v="61199000"/>
    <x v="1"/>
    <s v="02 - selec. abrev. menor cuantía"/>
    <x v="6"/>
    <x v="1"/>
    <x v="2"/>
    <x v="2"/>
    <x v="3"/>
    <x v="3"/>
    <s v="N/A-N/A"/>
    <x v="5"/>
    <s v="N/A"/>
    <s v="N/A_N/A"/>
    <s v="N/A-N/A N/A_N/A"/>
    <x v="5"/>
    <x v="5"/>
    <x v="2"/>
    <s v="Si Secop "/>
  </r>
  <r>
    <n v="20250156"/>
    <x v="1"/>
    <x v="7"/>
    <s v="OMER MAURICIO RIVERA RUIZ "/>
    <s v="Suministro de llantas y  prestación del servicio de instalación, alineación, balanceo y conexos a los vehículos del parque automotor de la U.A.E. Cuerpo Oficial de Bomberos de Bogotá - SBLG"/>
    <s v="03 - contrato de prestacion de servicios"/>
    <n v="25172500"/>
    <n v="2"/>
    <n v="12"/>
    <n v="0"/>
    <n v="150000000"/>
    <x v="0"/>
    <s v="03 - selec. abrev. subasta inversa"/>
    <x v="7"/>
    <x v="0"/>
    <x v="1"/>
    <x v="1"/>
    <x v="4"/>
    <x v="4"/>
    <s v="09-Servicio de mantenimiento, dotación (HEA´s y equipo menor) y adquisición de vehiculos   especializados para la atención de emergencias."/>
    <x v="6"/>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x v="6"/>
    <x v="3"/>
    <s v="Si Secop "/>
  </r>
  <r>
    <n v="20250157"/>
    <x v="1"/>
    <x v="7"/>
    <s v="OMER MAURICIO RIVERA RUIZ "/>
    <s v="Prestar el servicio de mantenimiento preventivo y correctivo, incluyendo el suministro de repuestos, insumos y mano de obra especializada para las motobombas forestales FOX, propiedad de la Unidad Administrativa Especial Cuerpo Oficial de Bomberos de Bogotá D.C. (UAECOB). - SBLG"/>
    <s v="03 - contrato de prestacion de servicios"/>
    <n v="46161600"/>
    <n v="2"/>
    <n v="12"/>
    <n v="0"/>
    <n v="100000000"/>
    <x v="0"/>
    <s v="09 - contratación directa"/>
    <x v="7"/>
    <x v="0"/>
    <x v="1"/>
    <x v="1"/>
    <x v="4"/>
    <x v="4"/>
    <s v="09-Servicio de mantenimiento, dotación (HEA´s y equipo menor) y adquisición de vehiculos   especializados para la atención de emergencias."/>
    <x v="6"/>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x v="6"/>
    <x v="3"/>
    <s v="Si Secop "/>
  </r>
  <r>
    <n v="20250158"/>
    <x v="1"/>
    <x v="7"/>
    <s v="OMER MAURICIO RIVERA RUIZ "/>
    <s v="Prestar el servicio de mantenimiento preventivo y correctivo, de latonería y pintura, incluyendo el suministro de repuestos, insumos y mano de obra especializada para los vehículos pertenecientes al parque automotor de la UAE Cuerpo Oficial de Bomberos de Bogotá DC lote I y II - SBLG"/>
    <s v="17 - contrato de mantenimiento"/>
    <n v="78181500"/>
    <n v="4"/>
    <n v="12"/>
    <n v="0"/>
    <n v="4950000000"/>
    <x v="0"/>
    <s v="01 - licitación pública"/>
    <x v="7"/>
    <x v="0"/>
    <x v="1"/>
    <x v="1"/>
    <x v="4"/>
    <x v="4"/>
    <s v="09-Servicio de mantenimiento, dotación (HEA´s y equipo menor) y adquisición de vehiculos   especializados para la atención de emergencias."/>
    <x v="6"/>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x v="6"/>
    <x v="4"/>
    <s v="Si Secop "/>
  </r>
  <r>
    <n v="20250159"/>
    <x v="1"/>
    <x v="7"/>
    <s v="OMER MAURICIO RIVERA RUIZ "/>
    <s v="Proveer el suministro de elementos de bioseguridad e insumos médicos básicos y otros para la atención de emergencias. - SBLG"/>
    <s v="08 - contrato de suministro"/>
    <s v="42141501;42141502;42141503;42142101;42142103;42142105;42142108;42172010;42172013;42172016;42172201;42281502;42291902"/>
    <n v="2"/>
    <n v="12"/>
    <n v="0"/>
    <n v="65000000"/>
    <x v="0"/>
    <s v="02 - selec. abrev. menor cuantía"/>
    <x v="7"/>
    <x v="0"/>
    <x v="1"/>
    <x v="1"/>
    <x v="5"/>
    <x v="5"/>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5"/>
    <s v="Si Secop "/>
  </r>
  <r>
    <n v="20250160"/>
    <x v="1"/>
    <x v="7"/>
    <s v="OMER MAURICIO RIVERA RUIZ "/>
    <s v="Suministro de alimentación,  hidratación  y raciones para el cuerpo operativo en la atención de emergencias, entrenamientos, capacitaciones y actividades de prevención- - SBLG"/>
    <s v="08 - contrato de suministro"/>
    <s v="90101800;90101600;50192700;50112000;50202311;50201709;50161509;50192110;93131602"/>
    <n v="5"/>
    <n v="7"/>
    <n v="0"/>
    <n v="380000000"/>
    <x v="0"/>
    <s v="03 - selec. abrev. subasta inversa"/>
    <x v="7"/>
    <x v="0"/>
    <x v="1"/>
    <x v="1"/>
    <x v="5"/>
    <x v="5"/>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6"/>
    <s v="Si Secop "/>
  </r>
  <r>
    <n v="20250161"/>
    <x v="1"/>
    <x v="7"/>
    <s v="OMER MAURICIO RIVERA RUIZ "/>
    <s v="Suministrar combustible para los vehículos, y equipos especializados de la U.A.E. Cuerpo Oficial de Bomberos Bogotá dentro y fuera del perímetro del distrito capital de la  - SBLG"/>
    <s v="08 - contrato de suministro"/>
    <n v="15101500"/>
    <n v="2"/>
    <n v="12"/>
    <n v="0"/>
    <n v="1080000000"/>
    <x v="0"/>
    <s v="17 - acuerdo marco de precios"/>
    <x v="7"/>
    <x v="0"/>
    <x v="1"/>
    <x v="1"/>
    <x v="5"/>
    <x v="5"/>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7"/>
    <s v="Si Secop "/>
  </r>
  <r>
    <n v="20250162"/>
    <x v="1"/>
    <x v="7"/>
    <s v="OMER MAURICIO RIVERA RUIZ "/>
    <s v="Contratar el suministro de alimentación para los caninos del cuerpo oficial y animales rescatados por la U.A.E. del Cuerpo Oficial de Bomberos de Bogotá – . - SBLG"/>
    <s v="08 - contrato de suministro"/>
    <s v="10121801;10121802;10121602 "/>
    <n v="2"/>
    <n v="12"/>
    <n v="0"/>
    <n v="100000000"/>
    <x v="0"/>
    <s v="03 - selec. abrev. subasta inversa"/>
    <x v="7"/>
    <x v="0"/>
    <x v="1"/>
    <x v="1"/>
    <x v="5"/>
    <x v="5"/>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8"/>
    <s v="Si Secop "/>
  </r>
  <r>
    <n v="20250163"/>
    <x v="1"/>
    <x v="7"/>
    <s v="OMER MAURICIO RIVERA RUIZ "/>
    <s v="Suministrar los repuestos, accesorios e insumos de los equipos de rescate vehicular liviano y pesado marca LUKAS-  - SBLG"/>
    <s v="08 - contrato de suministro"/>
    <s v="23191200; 23153100; 23271800; 26121600; 27131600; 26101700; 31162800; 31163000; 31163100; 31171500; 31171700; 31191500; 31201600; 40141700; 31121700; 26111700"/>
    <n v="2"/>
    <n v="12"/>
    <n v="0"/>
    <n v="120000000"/>
    <x v="0"/>
    <s v="09 - contratación directa"/>
    <x v="7"/>
    <x v="0"/>
    <x v="1"/>
    <x v="1"/>
    <x v="4"/>
    <x v="4"/>
    <s v="09-Servicio de mantenimiento, dotación (HEA´s y equipo menor) y adquisición de vehiculos   especializados para la atención de emergencias."/>
    <x v="6"/>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x v="6"/>
    <x v="3"/>
    <s v="Si Secop "/>
  </r>
  <r>
    <n v="20250164"/>
    <x v="1"/>
    <x v="7"/>
    <s v="OMER MAURICIO RIVERA RUIZ "/>
    <s v="Prestar el servicio de mantenimiento preventivo y correctivo, incluido el suministro de repuestos e insumos y mano de obra especializada para los equipos detectores de atmosfera y respiración autónoma marca Dräger, propiedad de la U.A.E. Cuerpo Oficial de Bomberos de Bogotá -  - SBLG"/>
    <s v="27 - contrato de prestacion de servicios de mantenimiento"/>
    <s v="72101500;72154200"/>
    <n v="2"/>
    <n v="12"/>
    <n v="0"/>
    <n v="120000000"/>
    <x v="0"/>
    <s v="09 - contratación directa"/>
    <x v="7"/>
    <x v="0"/>
    <x v="1"/>
    <x v="1"/>
    <x v="4"/>
    <x v="4"/>
    <s v="09-Servicio de mantenimiento, dotación (HEA´s y equipo menor) y adquisición de vehiculos   especializados para la atención de emergencias."/>
    <x v="6"/>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x v="6"/>
    <x v="3"/>
    <s v="Si Secop "/>
  </r>
  <r>
    <n v="20250165"/>
    <x v="1"/>
    <x v="7"/>
    <s v="OMER MAURICIO RIVERA RUIZ "/>
    <s v="Suministrar repuestos, accesorios e insumos para los equipos menores  y transversales de propiedad de la UAECOB. - SBLG"/>
    <s v="08 - contrato de suministro"/>
    <s v="31261500; 31161500; 31161600; 31162300; 31162800; 31171500; 31171700; 39121600; 27121600 "/>
    <n v="3"/>
    <n v="10"/>
    <n v="0"/>
    <n v="150000000"/>
    <x v="0"/>
    <s v="03 - selec. abrev. subasta inversa"/>
    <x v="7"/>
    <x v="0"/>
    <x v="1"/>
    <x v="1"/>
    <x v="4"/>
    <x v="4"/>
    <s v="09-Servicio de mantenimiento, dotación (HEA´s y equipo menor) y adquisición de vehiculos   especializados para la atención de emergencias."/>
    <x v="6"/>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x v="6"/>
    <x v="3"/>
    <s v="Si Secop "/>
  </r>
  <r>
    <n v="20250166"/>
    <x v="1"/>
    <x v="7"/>
    <s v="OMER MAURICIO RIVERA RUIZ "/>
    <s v="Prestación de servicios médicos veterinarios, con suministro de medicamentos e insumos veterinarios y otros, para los caninos de la U.A.E. Cuerpo Oficial de Bomberos de Bogotá -  - SBLG"/>
    <s v="03 - contrato de prestacion de servicios"/>
    <s v="70122002; 70122005; 70122006; 70122007; 70122008; 70122009; 70122010"/>
    <n v="3"/>
    <n v="12"/>
    <n v="0"/>
    <n v="40000000"/>
    <x v="0"/>
    <s v="04 - contratación mínima cuantía"/>
    <x v="7"/>
    <x v="0"/>
    <x v="1"/>
    <x v="1"/>
    <x v="5"/>
    <x v="5"/>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8"/>
    <s v="Si Secop "/>
  </r>
  <r>
    <n v="20250167"/>
    <x v="1"/>
    <x v="7"/>
    <s v="OMER MAURICIO RIVERA RUIZ "/>
    <s v="Adquisición de concentrado de espuma, mantenimiento y recarga de extintores, cilindros y tanques de las maquinas extintoras de la UAECOB.   LOTE I Y LOTE II - SBLG"/>
    <s v="08 - contrato de suministro"/>
    <n v="72101509"/>
    <n v="2"/>
    <n v="12"/>
    <n v="0"/>
    <n v="250000000"/>
    <x v="0"/>
    <s v="03 - selec. abrev. subasta inversa"/>
    <x v="7"/>
    <x v="0"/>
    <x v="1"/>
    <x v="1"/>
    <x v="5"/>
    <x v="5"/>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3"/>
    <s v="Si Secop "/>
  </r>
  <r>
    <n v="20250168"/>
    <x v="1"/>
    <x v="7"/>
    <s v="OMER MAURICIO RIVERA RUIZ "/>
    <s v="Suministro de herramientas, equipos, accesorios y elementos de ferreteríay otros insumos para garantizar la preparación y atención de emergencias de la U.A.E. Cuerpo Oficial de Bomberos de Bogotá –  SBLG"/>
    <s v="06 - contrato de compraventa"/>
    <s v="39121321;31162800;39121700"/>
    <n v="1"/>
    <n v="12"/>
    <n v="0"/>
    <n v="305000000"/>
    <x v="0"/>
    <s v="03 - selec. abrev. subasta inversa"/>
    <x v="7"/>
    <x v="0"/>
    <x v="1"/>
    <x v="1"/>
    <x v="4"/>
    <x v="4"/>
    <s v="09-Servicio de mantenimiento, dotación (HEA´s y equipo menor) y adquisición de vehiculos   especializados para la atención de emergencias."/>
    <x v="6"/>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x v="6"/>
    <x v="3"/>
    <s v="Si Secop "/>
  </r>
  <r>
    <n v="20250169"/>
    <x v="1"/>
    <x v="7"/>
    <s v="OMER MAURICIO RIVERA RUIZ "/>
    <s v="Prestación del servicio de mantenimiento preventivo y correctivo de los equipos de respiración autónoma interspiro propiedad de la UAECOB, incluido el suministro de repuestos, insumos y mano de obra especializada  - SBLG"/>
    <s v="03 - contrato de prestacion de servicios"/>
    <n v="72101509"/>
    <n v="2"/>
    <n v="12"/>
    <n v="0"/>
    <n v="150864320"/>
    <x v="0"/>
    <s v="09 - contratación directa"/>
    <x v="7"/>
    <x v="0"/>
    <x v="1"/>
    <x v="1"/>
    <x v="4"/>
    <x v="4"/>
    <s v="09-Servicio de mantenimiento, dotación (HEA´s y equipo menor) y adquisición de vehiculos   especializados para la atención de emergencias."/>
    <x v="6"/>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x v="6"/>
    <x v="3"/>
    <s v="Si Secop "/>
  </r>
  <r>
    <n v="20250170"/>
    <x v="1"/>
    <x v="7"/>
    <s v="OMER MAURICIO RIVERA RUIZ "/>
    <s v="Prestar el servicio de mantenimiento preventivo y correctivo de los Equipos de Rescate Vehicular HOLMATRO propiedad de la UAECOB, incluido el suministro de repuestos, insumos y mano de obra especializada -  - SBLG"/>
    <s v="08 - contrato de suministro"/>
    <s v="72101509;46191600"/>
    <n v="3"/>
    <n v="12"/>
    <n v="0"/>
    <n v="100000000"/>
    <x v="0"/>
    <s v="09 - contratación directa"/>
    <x v="7"/>
    <x v="0"/>
    <x v="1"/>
    <x v="1"/>
    <x v="4"/>
    <x v="4"/>
    <s v="09-Servicio de mantenimiento, dotación (HEA´s y equipo menor) y adquisición de vehiculos   especializados para la atención de emergencias."/>
    <x v="6"/>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x v="6"/>
    <x v="3"/>
    <s v="Si Secop "/>
  </r>
  <r>
    <n v="20250171"/>
    <x v="1"/>
    <x v="7"/>
    <s v="OMER MAURICIO RIVERA RUIZ "/>
    <s v="Prestar el servicio de mantenimiento preventivo y correctivo de los compresores BAUER propiedad de la U.A.E. Cuerpo Oficial de Bomberos de Bogotá, incluido el suministro de repuestos, insumos y mano de obra especializada.  - SBLG"/>
    <s v="03 - contrato de prestacion de servicios"/>
    <s v="40151601;40151802"/>
    <n v="3"/>
    <n v="12"/>
    <n v="0"/>
    <n v="100000000"/>
    <x v="0"/>
    <s v="09 - contratación directa"/>
    <x v="7"/>
    <x v="0"/>
    <x v="1"/>
    <x v="1"/>
    <x v="4"/>
    <x v="4"/>
    <s v="09-Servicio de mantenimiento, dotación (HEA´s y equipo menor) y adquisición de vehiculos   especializados para la atención de emergencias."/>
    <x v="6"/>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x v="6"/>
    <x v="3"/>
    <s v="Si Secop "/>
  </r>
  <r>
    <n v="20250172"/>
    <x v="1"/>
    <x v="7"/>
    <s v="OMER MAURICIO RIVERA RUIZ "/>
    <s v="Prestar el servicio de mantenimiento preventivo y correctivo de los Equipos acuaticos propiedad de la U.A.E. Cuerpo Oficial de Bomberos de Bogotá, incluido el suministro de repuestos, insumos y mano de obra especializada.  - SBLG"/>
    <s v="03 - contrato de prestacion de servicios"/>
    <s v="40151601;40151802"/>
    <n v="2"/>
    <n v="12"/>
    <n v="0"/>
    <n v="100000000"/>
    <x v="0"/>
    <s v="03 - selec. abrev. subasta inversa"/>
    <x v="7"/>
    <x v="0"/>
    <x v="1"/>
    <x v="1"/>
    <x v="4"/>
    <x v="4"/>
    <s v="09-Servicio de mantenimiento, dotación (HEA´s y equipo menor) y adquisición de vehiculos   especializados para la atención de emergencias."/>
    <x v="6"/>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x v="6"/>
    <x v="3"/>
    <s v="Si Secop "/>
  </r>
  <r>
    <n v="20250173"/>
    <x v="1"/>
    <x v="7"/>
    <s v="OMER MAURICIO RIVERA RUIZ "/>
    <s v="Mantenimiento y actulizacion de elementos para la atencion de emergencias, rescate y salvamento  acuatico  (Trajes de buceo) - SBLG"/>
    <s v="03 - contrato de prestacion de servicios"/>
    <s v="40151601;40151802"/>
    <n v="2"/>
    <n v="12"/>
    <n v="0"/>
    <n v="50000000"/>
    <x v="0"/>
    <s v="04 - contratación mínima cuantía"/>
    <x v="7"/>
    <x v="0"/>
    <x v="1"/>
    <x v="1"/>
    <x v="4"/>
    <x v="4"/>
    <s v="09-Servicio de mantenimiento, dotación (HEA´s y equipo menor) y adquisición de vehiculos   especializados para la atención de emergencias."/>
    <x v="6"/>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x v="6"/>
    <x v="5"/>
    <s v="Si Secop "/>
  </r>
  <r>
    <n v="20250174"/>
    <x v="1"/>
    <x v="7"/>
    <s v="OMER MAURICIO RIVERA RUIZ "/>
    <s v="Contratar la prestación de servicios de apoyo a la gestión técnica en la evaluación, manutención y alistamiento de los equipos industriales y/o combustión a cargo de la Subdirección Logística – . - SBLG"/>
    <s v="26 - contrato de prestacion de servicios de apoyo a la gestion"/>
    <n v="80111600"/>
    <n v="2"/>
    <n v="11"/>
    <n v="0"/>
    <n v="34100000"/>
    <x v="0"/>
    <s v="09 - contratación directa"/>
    <x v="7"/>
    <x v="0"/>
    <x v="1"/>
    <x v="1"/>
    <x v="4"/>
    <x v="4"/>
    <s v="09-Servicio de mantenimiento, dotación (HEA´s y equipo menor) y adquisición de vehiculos   especializados para la atención de emergencias."/>
    <x v="6"/>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x v="6"/>
    <x v="0"/>
    <s v="Si Secop "/>
  </r>
  <r>
    <n v="20250175"/>
    <x v="1"/>
    <x v="7"/>
    <s v="OMER MAURICIO RIVERA RUIZ "/>
    <s v="Prestación de servicios profesionales en el apoyo jurídico relacionado a la gestión contractual y administrativa de la subdirección Logística- , de acuerdo con los lineamientos internos de la UAECOB.  - SBLG"/>
    <s v="25 - contrato de prestacion de servicios profesionales"/>
    <n v="80111600"/>
    <n v="2"/>
    <n v="11"/>
    <n v="0"/>
    <n v="44000000"/>
    <x v="0"/>
    <s v="09 - contratación directa"/>
    <x v="7"/>
    <x v="0"/>
    <x v="1"/>
    <x v="1"/>
    <x v="5"/>
    <x v="5"/>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n v="20250176"/>
    <x v="1"/>
    <x v="7"/>
    <s v="OMER MAURICIO RIVERA RUIZ "/>
    <s v="Prestación de servicios profesionales para el control y seguimiento, de las actividades derivadas de la gestión contractual, en las etapas pre-contractual y post-contractual a cargo de la Subdirección Logística. . - SBLG"/>
    <s v="25 - contrato de prestacion de servicios profesionales"/>
    <n v="80111600"/>
    <n v="2"/>
    <n v="10"/>
    <n v="0"/>
    <n v="85000000"/>
    <x v="0"/>
    <s v="09 - contratación directa"/>
    <x v="7"/>
    <x v="0"/>
    <x v="1"/>
    <x v="1"/>
    <x v="5"/>
    <x v="5"/>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n v="20250177"/>
    <x v="1"/>
    <x v="7"/>
    <s v="OMER MAURICIO RIVERA RUIZ "/>
    <s v="Prestar servicios de apoyo a la gestión en actividades administrativas y documentales que se desarrollen en la Subdirección Logística – . - SBLG"/>
    <s v="26 - contrato de prestacion de servicios de apoyo a la gestion"/>
    <n v="80111600"/>
    <n v="2"/>
    <n v="10"/>
    <n v="0"/>
    <n v="37895200"/>
    <x v="0"/>
    <s v="09 - contratación directa"/>
    <x v="7"/>
    <x v="0"/>
    <x v="1"/>
    <x v="1"/>
    <x v="5"/>
    <x v="5"/>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n v="20250178"/>
    <x v="1"/>
    <x v="7"/>
    <s v="OMER MAURICIO RIVERA RUIZ "/>
    <s v="Prestar servicios profesionales para apoyar la gestión financiera y presupuestal de los proyectos y planes a cargo de la Subdirección Logística - .  - SBLG"/>
    <s v="25 - contrato de prestacion de servicios profesionales"/>
    <n v="80111600"/>
    <n v="2"/>
    <n v="10"/>
    <n v="0"/>
    <n v="52000000"/>
    <x v="0"/>
    <s v="09 - contratación directa"/>
    <x v="7"/>
    <x v="0"/>
    <x v="1"/>
    <x v="1"/>
    <x v="5"/>
    <x v="5"/>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n v="20250179"/>
    <x v="1"/>
    <x v="7"/>
    <s v="OMER MAURICIO RIVERA RUIZ "/>
    <s v="Prestar servicios de apoyo a la gestión en el seguimiento, control y finalización del trámite de siniestros a cargo de la Subdirección Logística - SBLG"/>
    <s v="26 - contrato de prestacion de servicios de apoyo a la gestion"/>
    <n v="80111600"/>
    <n v="2"/>
    <n v="10"/>
    <n v="0"/>
    <n v="31000000"/>
    <x v="0"/>
    <s v="09 - contratación directa"/>
    <x v="7"/>
    <x v="0"/>
    <x v="1"/>
    <x v="1"/>
    <x v="5"/>
    <x v="5"/>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n v="20250180"/>
    <x v="1"/>
    <x v="7"/>
    <s v="OMER MAURICIO RIVERA RUIZ "/>
    <s v="Prestar servicios profesionales en la formulación e implementación de estrategias de comunicación, capacitación y gestión administrativa que promueva el uso y apropiación de los programas desarrollados en cada una de las lineas de la  Subdirección Logística -  - SBLG"/>
    <s v="25 - contrato de prestacion de servicios profesionales"/>
    <n v="80111600"/>
    <n v="2"/>
    <n v="10"/>
    <n v="0"/>
    <n v="60000000"/>
    <x v="0"/>
    <s v="09 - contratación directa"/>
    <x v="7"/>
    <x v="0"/>
    <x v="1"/>
    <x v="1"/>
    <x v="5"/>
    <x v="5"/>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n v="20250181"/>
    <x v="1"/>
    <x v="7"/>
    <s v="OMER MAURICIO RIVERA RUIZ "/>
    <s v="Prestar servicios profesionales en la definición y gestión de procedimientos, lineamientos ambientales y de SST de los procesos, así como del sistema de Gestión de Calidad . – SBGL - SBLG"/>
    <s v="25 - contrato de prestacion de servicios profesionales"/>
    <n v="80111600"/>
    <n v="2"/>
    <n v="11"/>
    <n v="0"/>
    <n v="60500000"/>
    <x v="0"/>
    <s v="09 - contratación directa"/>
    <x v="7"/>
    <x v="0"/>
    <x v="1"/>
    <x v="1"/>
    <x v="5"/>
    <x v="5"/>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n v="20250182"/>
    <x v="1"/>
    <x v="7"/>
    <s v="OMER MAURICIO RIVERA RUIZ "/>
    <s v="Prestación de servicios de apoyo a la gestión en el proceso de mantenimiento del equipo menor a cargo de la Subdirección Logística --. - SBLG"/>
    <s v="26 - contrato de prestacion de servicios de apoyo a la gestion"/>
    <n v="80111600"/>
    <n v="2"/>
    <n v="11"/>
    <n v="0"/>
    <n v="38500000"/>
    <x v="0"/>
    <s v="09 - contratación directa"/>
    <x v="7"/>
    <x v="0"/>
    <x v="1"/>
    <x v="1"/>
    <x v="4"/>
    <x v="4"/>
    <s v="09-Servicio de mantenimiento, dotación (HEA´s y equipo menor) y adquisición de vehiculos   especializados para la atención de emergencias."/>
    <x v="6"/>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x v="6"/>
    <x v="0"/>
    <s v="Si Secop "/>
  </r>
  <r>
    <n v="20250183"/>
    <x v="1"/>
    <x v="7"/>
    <s v="OMER MAURICIO RIVERA RUIZ "/>
    <s v="Prestar los servicios profesionales para apoyar la implementación, sostenibilidad y seguimiento al programa de seguridad vial PESV, así como a los demás programas que se requieran y estén a cargo de la Subdirección Logística - . - SBLG"/>
    <s v="25 - contrato de prestacion de servicios profesionales"/>
    <n v="80111600"/>
    <n v="2"/>
    <n v="11"/>
    <n v="0"/>
    <n v="60500000"/>
    <x v="0"/>
    <s v="09 - contratación directa"/>
    <x v="7"/>
    <x v="0"/>
    <x v="1"/>
    <x v="1"/>
    <x v="5"/>
    <x v="5"/>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n v="20250184"/>
    <x v="1"/>
    <x v="7"/>
    <s v="OMER MAURICIO RIVERA RUIZ "/>
    <s v="Prestar servicios profesionales, en apoyo a la política de Compras y Contratación Pública del Modelo Integrado de Planeación y Gestión, para la gestión de los aspectos jurídicos de la Subdirección Logística -. - SBLG"/>
    <s v="25 - contrato de prestacion de servicios profesionales"/>
    <n v="80111600"/>
    <n v="2"/>
    <n v="10"/>
    <n v="0"/>
    <n v="80000000"/>
    <x v="0"/>
    <s v="09 - contratación directa"/>
    <x v="7"/>
    <x v="0"/>
    <x v="1"/>
    <x v="1"/>
    <x v="5"/>
    <x v="5"/>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n v="20250185"/>
    <x v="1"/>
    <x v="7"/>
    <s v="OMER MAURICIO RIVERA RUIZ "/>
    <s v="Prestación de servicio como conductor para apoyar en la gestión administrativa y logística de la Subdirección Logistica- . - SBLG"/>
    <s v="26 - contrato de prestacion de servicios de apoyo a la gestion"/>
    <n v="80111600"/>
    <n v="2"/>
    <n v="11"/>
    <n v="0"/>
    <n v="34840960"/>
    <x v="0"/>
    <s v="09 - contratación directa"/>
    <x v="7"/>
    <x v="0"/>
    <x v="1"/>
    <x v="1"/>
    <x v="5"/>
    <x v="5"/>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n v="20250186"/>
    <x v="1"/>
    <x v="7"/>
    <s v="OMER MAURICIO RIVERA RUIZ "/>
    <s v="Prestar servicios profesionales para apoyar en los diferentes trámites administrativos, documental e inventario de la Subdirección Logística – .  - SBLG"/>
    <s v="25 - contrato de prestacion de servicios profesionales"/>
    <n v="80111600"/>
    <n v="2"/>
    <n v="11"/>
    <n v="0"/>
    <n v="60500000"/>
    <x v="0"/>
    <s v="09 - contratación directa"/>
    <x v="7"/>
    <x v="0"/>
    <x v="1"/>
    <x v="1"/>
    <x v="5"/>
    <x v="5"/>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n v="20250187"/>
    <x v="1"/>
    <x v="7"/>
    <s v="OMER MAURICIO RIVERA RUIZ "/>
    <s v="Prestar servicios profesionales en temas transversales de los procesos de planeación, logísticos, administrativos y financieros que se deriven de las competencias a cargo de la Subdirección Logística - .  - SBLG"/>
    <s v="25 - contrato de prestacion de servicios profesionales"/>
    <n v="80111600"/>
    <n v="2"/>
    <n v="10"/>
    <n v="0"/>
    <n v="85000000"/>
    <x v="0"/>
    <s v="09 - contratación directa"/>
    <x v="7"/>
    <x v="0"/>
    <x v="1"/>
    <x v="1"/>
    <x v="5"/>
    <x v="5"/>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n v="20250188"/>
    <x v="1"/>
    <x v="7"/>
    <s v="OMER MAURICIO RIVERA RUIZ "/>
    <s v="Contrato de Prestación de servicios de apoyo a la gestión en_x000a_actividades Técnicas, administrativas y documentales de la_x000a_Subdirección Logística -  - SBLG"/>
    <s v="26 - contrato de prestacion de servicios de apoyo a la gestion"/>
    <n v="80111600"/>
    <n v="2"/>
    <n v="10"/>
    <n v="0"/>
    <n v="33000000"/>
    <x v="0"/>
    <s v="09 - contratación directa"/>
    <x v="7"/>
    <x v="0"/>
    <x v="1"/>
    <x v="1"/>
    <x v="4"/>
    <x v="4"/>
    <s v="09-Servicio de mantenimiento, dotación (HEA´s y equipo menor) y adquisición de vehiculos   especializados para la atención de emergencias."/>
    <x v="6"/>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x v="6"/>
    <x v="0"/>
    <s v="Si Secop "/>
  </r>
  <r>
    <n v="20250189"/>
    <x v="1"/>
    <x v="7"/>
    <s v="OMER MAURICIO RIVERA RUIZ "/>
    <s v="Prestar servicios de apoyo a la gestión en el seguimiento y control de los suministros y consumibles garantizando la disponibilidad para la atención de emergencias  -. - SBLG"/>
    <s v="26 - contrato de prestacion de servicios de apoyo a la gestion"/>
    <n v="80111600"/>
    <n v="2"/>
    <n v="11"/>
    <n v="0"/>
    <n v="35420000"/>
    <x v="0"/>
    <s v="09 - contratación directa"/>
    <x v="7"/>
    <x v="0"/>
    <x v="1"/>
    <x v="1"/>
    <x v="5"/>
    <x v="5"/>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n v="20250190"/>
    <x v="1"/>
    <x v="7"/>
    <s v="OMER MAURICIO RIVERA RUIZ "/>
    <s v="Prestar servicio de apoyo a la gestión para acompañar a la subdirección logística en el seguimiento técnico y administrativo del mantenimiento de los vehículos pertenecientes al parque automotor de la UAECOB. - SBLG"/>
    <s v="26 - contrato de prestacion de servicios de apoyo a la gestion"/>
    <n v="80111600"/>
    <n v="2"/>
    <n v="11"/>
    <n v="0"/>
    <n v="36300000"/>
    <x v="0"/>
    <s v="09 - contratación directa"/>
    <x v="7"/>
    <x v="0"/>
    <x v="1"/>
    <x v="1"/>
    <x v="5"/>
    <x v="5"/>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n v="20250191"/>
    <x v="1"/>
    <x v="7"/>
    <s v="OMER MAURICIO RIVERA RUIZ "/>
    <s v="Prestación de servicios de apoyo a la gestión como  conductor para realizar el transporte de personas, materiales y alimentos de acuerdo a las necesidades e instrucciones de la Subdirección Logística - SBLG"/>
    <s v="26 - contrato de prestacion de servicios de apoyo a la gestion"/>
    <n v="80111600"/>
    <n v="2"/>
    <n v="10"/>
    <n v="0"/>
    <n v="31000000"/>
    <x v="0"/>
    <s v="09 - contratación directa"/>
    <x v="7"/>
    <x v="0"/>
    <x v="1"/>
    <x v="1"/>
    <x v="5"/>
    <x v="5"/>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n v="20250192"/>
    <x v="1"/>
    <x v="7"/>
    <s v="OMER MAURICIO RIVERA RUIZ "/>
    <s v="Prestación de servicios profesionales para la gestión y seguimiento administrativo, técnico, operativo y de control del proceso de mantenimiento del parque automotor, a cargo de la Subdirección Logística, con el objetivo de garantizar su operatividad -  - SBLG"/>
    <s v="25 - contrato de prestacion de servicios profesionales"/>
    <n v="80111600"/>
    <n v="2"/>
    <n v="11"/>
    <n v="0"/>
    <n v="96800000"/>
    <x v="0"/>
    <s v="09 - contratación directa"/>
    <x v="7"/>
    <x v="0"/>
    <x v="1"/>
    <x v="1"/>
    <x v="4"/>
    <x v="4"/>
    <s v="09-Servicio de mantenimiento, dotación (HEA´s y equipo menor) y adquisición de vehiculos   especializados para la atención de emergencias."/>
    <x v="6"/>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x v="6"/>
    <x v="0"/>
    <s v="Si Secop "/>
  </r>
  <r>
    <n v="20250193"/>
    <x v="1"/>
    <x v="7"/>
    <s v="OMER MAURICIO RIVERA RUIZ "/>
    <s v="Prestación de servicios de apoyo a la gestión en la recepción, trámite, gestión y resolución de todas las incidencias o solicitudes reportadas a través de la herramienta de la mesa logística de la Subdirección Logística de la UAECOB. – . - SBLG"/>
    <s v="26 - contrato de prestacion de servicios de apoyo a la gestion"/>
    <n v="80111600"/>
    <n v="2"/>
    <n v="10"/>
    <n v="0"/>
    <n v="32000000"/>
    <x v="0"/>
    <s v="09 - contratación directa"/>
    <x v="7"/>
    <x v="0"/>
    <x v="1"/>
    <x v="1"/>
    <x v="5"/>
    <x v="5"/>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n v="20250194"/>
    <x v="1"/>
    <x v="7"/>
    <s v="OMER MAURICIO RIVERA RUIZ "/>
    <s v="Prestar servicios profesionales en la seguimiento,verificación y control administrativo financiero de los procesos contractuales en la etapa de ejecución a cargo de la Subdirección Logistica – . - SBLG"/>
    <s v="25 - contrato de prestacion de servicios profesionales"/>
    <n v="80111600"/>
    <n v="2"/>
    <n v="11"/>
    <n v="0"/>
    <n v="67980000"/>
    <x v="0"/>
    <s v="09 - contratación directa"/>
    <x v="7"/>
    <x v="0"/>
    <x v="1"/>
    <x v="1"/>
    <x v="5"/>
    <x v="5"/>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n v="20250195"/>
    <x v="1"/>
    <x v="7"/>
    <s v="OMER MAURICIO RIVERA RUIZ "/>
    <s v="Prestación de servicios profesionales en el control legal de los procesos y acciones, especialmente la gestión contractual requerida por la Subdirección Logística -  - SBLG"/>
    <s v="25 - contrato de prestacion de servicios profesionales"/>
    <n v="80111600"/>
    <n v="2"/>
    <n v="11"/>
    <n v="0"/>
    <n v="101970000"/>
    <x v="0"/>
    <s v="09 - contratación directa"/>
    <x v="7"/>
    <x v="0"/>
    <x v="1"/>
    <x v="1"/>
    <x v="5"/>
    <x v="5"/>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n v="20250196"/>
    <x v="1"/>
    <x v="7"/>
    <s v="OMER MAURICIO RIVERA RUIZ "/>
    <s v="Prestación de servicios profesionales para realizar el seguimiento y monitoreo a los diferentes procesos y procedimientos del equipo menor a cargo de la Subdirección Logística -  - SBLG"/>
    <s v="25 - contrato de prestacion de servicios profesionales"/>
    <n v="80111600"/>
    <n v="2"/>
    <n v="11"/>
    <n v="0"/>
    <n v="42679520"/>
    <x v="0"/>
    <s v="09 - contratación directa"/>
    <x v="7"/>
    <x v="0"/>
    <x v="1"/>
    <x v="1"/>
    <x v="5"/>
    <x v="5"/>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n v="20250197"/>
    <x v="1"/>
    <x v="7"/>
    <s v="OMER MAURICIO RIVERA RUIZ "/>
    <s v="Prestar servicios profesionales para el seguimiento y control a los insumos y suministros de la Subdirección Logística.  - SBLG"/>
    <s v="25 - contrato de prestacion de servicios profesionales"/>
    <n v="80111600"/>
    <n v="2"/>
    <n v="11"/>
    <n v="0"/>
    <n v="47300000"/>
    <x v="0"/>
    <s v="09 - contratación directa"/>
    <x v="7"/>
    <x v="0"/>
    <x v="1"/>
    <x v="1"/>
    <x v="5"/>
    <x v="5"/>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n v="20250198"/>
    <x v="1"/>
    <x v="7"/>
    <s v="OMER MAURICIO RIVERA RUIZ "/>
    <s v="Prestación de servicios profesionales en la administración, gestión integral y mantenimiento del equipo menor a cargo de la Subdirección Logística -. - SBLG"/>
    <s v="25 - contrato de prestacion de servicios profesionales"/>
    <n v="80111600"/>
    <n v="2"/>
    <n v="11"/>
    <n v="0"/>
    <n v="88000000"/>
    <x v="0"/>
    <s v="09 - contratación directa"/>
    <x v="7"/>
    <x v="0"/>
    <x v="1"/>
    <x v="1"/>
    <x v="4"/>
    <x v="4"/>
    <s v="09-Servicio de mantenimiento, dotación (HEA´s y equipo menor) y adquisición de vehiculos   especializados para la atención de emergencias."/>
    <x v="6"/>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x v="6"/>
    <x v="0"/>
    <s v="Si Secop "/>
  </r>
  <r>
    <n v="20250199"/>
    <x v="1"/>
    <x v="7"/>
    <s v="OMER MAURICIO RIVERA RUIZ "/>
    <s v="Prestar servicios profesionales en la gestión administrativa, contractual y financiera del mantenimiento de los vehículos pertenecientes parque automotor de la Subdirección Logística - . - SBLG"/>
    <s v="25 - contrato de prestacion de servicios profesionales"/>
    <n v="80111600"/>
    <n v="2"/>
    <n v="11"/>
    <n v="0"/>
    <n v="60500000"/>
    <x v="0"/>
    <s v="09 - contratación directa"/>
    <x v="7"/>
    <x v="0"/>
    <x v="1"/>
    <x v="1"/>
    <x v="5"/>
    <x v="5"/>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n v="20250200"/>
    <x v="1"/>
    <x v="7"/>
    <s v="OMER MAURICIO RIVERA RUIZ "/>
    <s v="Prestar servicios de apoyo a la gestión para la organización, clasificación, foliación, digitalización e indexación de documentos de la Subdirección Logística - , en el marco del modelo integrado de planeación y gestión. - SBLG"/>
    <s v="26 - contrato de prestacion de servicios de apoyo a la gestion"/>
    <n v="80111600"/>
    <n v="2"/>
    <n v="11"/>
    <n v="0"/>
    <n v="34100000"/>
    <x v="0"/>
    <s v="09 - contratación directa"/>
    <x v="7"/>
    <x v="0"/>
    <x v="1"/>
    <x v="1"/>
    <x v="5"/>
    <x v="5"/>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n v="20250201"/>
    <x v="1"/>
    <x v="7"/>
    <s v="OMER MAURICIO RIVERA RUIZ "/>
    <s v="Prestación de servicios profesionales para la gestión administrativa de las herramientas tecnológicas de la Subdirección Logística asociados a la mesa logística -  - SBLG"/>
    <s v="25 - contrato de prestacion de servicios profesionales"/>
    <n v="80111600"/>
    <n v="2"/>
    <n v="11"/>
    <n v="0"/>
    <n v="44000000"/>
    <x v="0"/>
    <s v="09 - contratación directa"/>
    <x v="7"/>
    <x v="0"/>
    <x v="1"/>
    <x v="1"/>
    <x v="5"/>
    <x v="5"/>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n v="20250202"/>
    <x v="1"/>
    <x v="7"/>
    <s v="OMER MAURICIO RIVERA RUIZ "/>
    <s v="Prestación de servicios de apoyo a la gestión para seguimiento y control admistrativos y financieros de los insumos, suministros y consumibles a cargo de la Subdirección logística.  -  - SBLG"/>
    <s v="26 - contrato de prestacion de servicios de apoyo a la gestion"/>
    <n v="80111600"/>
    <n v="2"/>
    <n v="11"/>
    <n v="0"/>
    <n v="38500000"/>
    <x v="0"/>
    <s v="09 - contratación directa"/>
    <x v="7"/>
    <x v="0"/>
    <x v="1"/>
    <x v="1"/>
    <x v="5"/>
    <x v="5"/>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n v="20250203"/>
    <x v="1"/>
    <x v="7"/>
    <s v="OMER MAURICIO RIVERA RUIZ "/>
    <s v="Prestación de servicios profesionales como residente de talleres para gestionar y garantizar el funcionamiento y operación del parque automotor asignado a la  Subdirección Logística - . - SBLG"/>
    <s v="25 - contrato de prestacion de servicios profesionales"/>
    <n v="80111600"/>
    <n v="2"/>
    <n v="11"/>
    <n v="0"/>
    <n v="81730000"/>
    <x v="0"/>
    <s v="09 - contratación directa"/>
    <x v="7"/>
    <x v="0"/>
    <x v="1"/>
    <x v="1"/>
    <x v="4"/>
    <x v="4"/>
    <s v="09-Servicio de mantenimiento, dotación (HEA´s y equipo menor) y adquisición de vehiculos   especializados para la atención de emergencias."/>
    <x v="6"/>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x v="6"/>
    <x v="0"/>
    <s v="Si Secop "/>
  </r>
  <r>
    <n v="20250204"/>
    <x v="1"/>
    <x v="7"/>
    <s v="OMER MAURICIO RIVERA RUIZ "/>
    <s v="Prestar servicios de apoyo a la gestión para realizar seguimiento y control en el analisis de datos de los diferentes aplicativos tecnologicos de la Subdirección Logistica.   - SBLG"/>
    <s v="26 - contrato de prestacion de servicios de apoyo a la gestion"/>
    <n v="80111600"/>
    <n v="2"/>
    <n v="11"/>
    <n v="0"/>
    <n v="35200000"/>
    <x v="0"/>
    <s v="09 - contratación directa"/>
    <x v="7"/>
    <x v="0"/>
    <x v="1"/>
    <x v="1"/>
    <x v="5"/>
    <x v="5"/>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n v="20250205"/>
    <x v="1"/>
    <x v="7"/>
    <s v="OMER MAURICIO RIVERA RUIZ "/>
    <s v="Prestar servicios profesionales para acompañar a la Subdirección logística, en el diseño, implementación, reporte y monitoreo de los diferentes planes, programas, proyectos administrativos, financieros, y funciones a cargo de la subdirección -   - SBLG"/>
    <s v="25 - contrato de prestacion de servicios profesionales"/>
    <n v="80111600"/>
    <n v="2"/>
    <n v="10"/>
    <n v="0"/>
    <n v="92700000"/>
    <x v="0"/>
    <s v="09 - contratación directa"/>
    <x v="7"/>
    <x v="0"/>
    <x v="1"/>
    <x v="1"/>
    <x v="5"/>
    <x v="5"/>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n v="20250206"/>
    <x v="1"/>
    <x v="7"/>
    <s v="OMER MAURICIO RIVERA RUIZ "/>
    <s v="Prestación de servicios profesionales en el seguimiento y gestión de los insumos y suministros a cargo de la subdirección logística garantizando la disponibilidad para la atención de emergencias   - SBLG"/>
    <s v="25 - contrato de prestacion de servicios profesionales"/>
    <n v="80111600"/>
    <n v="2"/>
    <n v="11"/>
    <n v="0"/>
    <n v="82500000"/>
    <x v="0"/>
    <s v="09 - contratación directa"/>
    <x v="7"/>
    <x v="0"/>
    <x v="1"/>
    <x v="1"/>
    <x v="5"/>
    <x v="5"/>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n v="20250207"/>
    <x v="1"/>
    <x v="7"/>
    <s v="OMER MAURICIO RIVERA RUIZ "/>
    <s v="Prestación de servicios profesionales en la planificación, control y seguimiento de los insumos y suministros para la atención de emergencias  - SBLG"/>
    <s v="25 - contrato de prestacion de servicios profesionales"/>
    <n v="80111600"/>
    <n v="2"/>
    <n v="11"/>
    <n v="0"/>
    <n v="71500000"/>
    <x v="0"/>
    <s v="09 - contratación directa"/>
    <x v="7"/>
    <x v="0"/>
    <x v="1"/>
    <x v="1"/>
    <x v="5"/>
    <x v="5"/>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n v="20250208"/>
    <x v="1"/>
    <x v="7"/>
    <s v="OMER MAURICIO RIVERA RUIZ "/>
    <s v="Prestación de servicios profesionales, para apoyar la política de Compras y Contratación Pública del Modelo Integrado de Planeación y Gestión, en la elaboración, tramite e impulso de los procesos de contratación en sus diferentes etapas a cargo de la Subdirección Logística - . - SBLG"/>
    <s v="25 - contrato de prestacion de servicios profesionales"/>
    <n v="80111600"/>
    <n v="2"/>
    <n v="11"/>
    <n v="0"/>
    <n v="66000000"/>
    <x v="0"/>
    <s v="09 - contratación directa"/>
    <x v="7"/>
    <x v="0"/>
    <x v="1"/>
    <x v="1"/>
    <x v="5"/>
    <x v="5"/>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n v="20250209"/>
    <x v="1"/>
    <x v="7"/>
    <s v="OMER MAURICIO RIVERA RUIZ "/>
    <s v="Prestar servicios de apoyo en la gestión documental, física y digital, administrando y diligenciando las bases de datos, y demás documentos a cargo de la Subdirección logística. -, en el marco del modelo integrado de planeación y gestión. - SBLG"/>
    <s v="26 - contrato de prestacion de servicios de apoyo a la gestion"/>
    <n v="80111600"/>
    <n v="2"/>
    <n v="11"/>
    <n v="0"/>
    <n v="33000000"/>
    <x v="0"/>
    <s v="09 - contratación directa"/>
    <x v="7"/>
    <x v="0"/>
    <x v="1"/>
    <x v="1"/>
    <x v="5"/>
    <x v="5"/>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n v="20250210"/>
    <x v="1"/>
    <x v="7"/>
    <s v="OMER MAURICIO RIVERA RUIZ "/>
    <s v="Prestación de servicios profesionales en la proyección, impulso, sustentación y control de las etapas precontractuales, contractuales y postcontractuales  que desarrolle la Subdirección Logística en el ámbito de su competencia.-  - SBLG"/>
    <s v="25 - contrato de prestacion de servicios profesionales"/>
    <n v="80111600"/>
    <n v="2"/>
    <n v="11"/>
    <n v="0"/>
    <n v="68200000"/>
    <x v="0"/>
    <s v="09 - contratación directa"/>
    <x v="7"/>
    <x v="0"/>
    <x v="1"/>
    <x v="1"/>
    <x v="5"/>
    <x v="5"/>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n v="20250211"/>
    <x v="1"/>
    <x v="7"/>
    <s v="OMER MAURICIO RIVERA RUIZ "/>
    <s v="Prestar servicios de apoyo a la gestión en el manejo de las herramientas tecnológicas a cargo de la Subdirección Logística, y en diligenciamiento, seguimiento y control de las herramientas de gestión asociadas a la mesa logística. –  - SBLG"/>
    <s v="26 - contrato de prestacion de servicios de apoyo a la gestion"/>
    <n v="80111600"/>
    <n v="2"/>
    <n v="11"/>
    <n v="0"/>
    <n v="33000000"/>
    <x v="0"/>
    <s v="09 - contratación directa"/>
    <x v="7"/>
    <x v="0"/>
    <x v="1"/>
    <x v="1"/>
    <x v="5"/>
    <x v="5"/>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n v="20250212"/>
    <x v="1"/>
    <x v="7"/>
    <s v="OMER MAURICIO RIVERA RUIZ "/>
    <s v="Prestar servicios profesionales para realizar seguimiento y control de los diferentes procesos administrativos a cargo de la Subdirección Logística - , en el marco del modelo integrado de planeación y gestión. - SBLG"/>
    <s v="25 - contrato de prestacion de servicios profesionales"/>
    <n v="80111600"/>
    <n v="2"/>
    <n v="11"/>
    <n v="0"/>
    <n v="67980000"/>
    <x v="0"/>
    <s v="09 - contratación directa"/>
    <x v="7"/>
    <x v="0"/>
    <x v="1"/>
    <x v="1"/>
    <x v="5"/>
    <x v="5"/>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n v="20250213"/>
    <x v="1"/>
    <x v="7"/>
    <s v="OMER MAURICIO RIVERA RUIZ "/>
    <s v="Prestación de servicios profesionales de seguimiento operativo del equipo menor a través del, monitoreo, la programación y cumplimiento de los mantenimientos preventivos y correctivos del equipo menor.  - SBLG"/>
    <s v="25 - contrato de prestacion de servicios profesionales"/>
    <n v="80111600"/>
    <n v="2"/>
    <n v="11"/>
    <n v="0"/>
    <n v="55000000"/>
    <x v="0"/>
    <s v="09 - contratación directa"/>
    <x v="7"/>
    <x v="0"/>
    <x v="1"/>
    <x v="1"/>
    <x v="4"/>
    <x v="4"/>
    <s v="09-Servicio de mantenimiento, dotación (HEA´s y equipo menor) y adquisición de vehiculos   especializados para la atención de emergencias."/>
    <x v="6"/>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x v="6"/>
    <x v="0"/>
    <s v="Si Secop "/>
  </r>
  <r>
    <n v="20250214"/>
    <x v="1"/>
    <x v="7"/>
    <s v="OMER MAURICIO RIVERA RUIZ "/>
    <s v="Prestar servicios profesionales en las actividades administrativas y financieras que requieran los procesos de la Subdirección Logística-  - SBLG"/>
    <s v="25 - contrato de prestacion de servicios profesionales"/>
    <n v="80111600"/>
    <n v="2"/>
    <n v="11"/>
    <n v="0"/>
    <n v="41800000"/>
    <x v="0"/>
    <s v="09 - contratación directa"/>
    <x v="7"/>
    <x v="0"/>
    <x v="1"/>
    <x v="1"/>
    <x v="5"/>
    <x v="5"/>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n v="20250215"/>
    <x v="1"/>
    <x v="7"/>
    <s v="OMER MAURICIO RIVERA RUIZ "/>
    <s v="Prestar los servicios profesionales para la gestión, financiera de los   proyectos y procesos de la Subdirección - , en el marco del modelo integrado de planeación y gestión. - SBLG"/>
    <s v="25 - contrato de prestacion de servicios profesionales"/>
    <n v="80111600"/>
    <n v="2"/>
    <n v="11"/>
    <n v="0"/>
    <n v="66000000"/>
    <x v="0"/>
    <s v="09 - contratación directa"/>
    <x v="7"/>
    <x v="0"/>
    <x v="1"/>
    <x v="1"/>
    <x v="5"/>
    <x v="5"/>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n v="20250216"/>
    <x v="1"/>
    <x v="7"/>
    <s v="OMER MAURICIO RIVERA RUIZ "/>
    <s v="Prestar servicios profesionales para el seguimiento y gestión de las actividades establecidas en los planes de acción y estratégicos; así como, de los procedimientos administrativos y financieros propios de Subdirección Logística - , en el marco del modelo integrado de planeación y gestión. - SBLG"/>
    <s v="25 - contrato de prestacion de servicios profesionales"/>
    <n v="80111600"/>
    <n v="2"/>
    <n v="11"/>
    <n v="0"/>
    <n v="82500000"/>
    <x v="0"/>
    <s v="09 - contratación directa"/>
    <x v="7"/>
    <x v="0"/>
    <x v="1"/>
    <x v="1"/>
    <x v="5"/>
    <x v="5"/>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n v="20250217"/>
    <x v="1"/>
    <x v="7"/>
    <s v="OMER MAURICIO RIVERA RUIZ "/>
    <s v="Prestación de servicios profesionales técnicos y administrativos en el seguimiento y control en los diferentes procesos y procedimiemtos incluyendo el sistema de Gestión ambiental de la Subdirección Logística . -  SBLG"/>
    <s v="25 - contrato de prestacion de servicios profesionales"/>
    <n v="80111600"/>
    <n v="2"/>
    <n v="11"/>
    <n v="0"/>
    <n v="46420000"/>
    <x v="0"/>
    <s v="09 - contratación directa"/>
    <x v="7"/>
    <x v="0"/>
    <x v="1"/>
    <x v="1"/>
    <x v="5"/>
    <x v="5"/>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n v="20250218"/>
    <x v="1"/>
    <x v="7"/>
    <s v="OMER MAURICIO RIVERA RUIZ "/>
    <s v="Prestación de servicios de apoyo a la gestión administrativa, en el marco del MIPG, en especial a lo concerniente al parque automotor a cargo de la Subdirección Logística - . - SBLG"/>
    <s v="26 - contrato de prestacion de servicios de apoyo a la gestion"/>
    <n v="80111600"/>
    <n v="2"/>
    <n v="10"/>
    <n v="0"/>
    <n v="30000000"/>
    <x v="0"/>
    <s v="09 - contratación directa"/>
    <x v="7"/>
    <x v="0"/>
    <x v="1"/>
    <x v="1"/>
    <x v="5"/>
    <x v="5"/>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n v="20250219"/>
    <x v="1"/>
    <x v="7"/>
    <s v="OMER MAURICIO RIVERA RUIZ "/>
    <s v="Prestación de servicios profesionales técnicos, administrativos y operativos en la gestión de mantenimientos a cargo de la subdirección logística. - SBLG"/>
    <s v="25 - contrato de prestacion de servicios profesionales"/>
    <n v="80111600"/>
    <n v="2"/>
    <n v="11"/>
    <n v="0"/>
    <n v="46420000"/>
    <x v="0"/>
    <s v="09 - contratación directa"/>
    <x v="7"/>
    <x v="0"/>
    <x v="1"/>
    <x v="1"/>
    <x v="4"/>
    <x v="4"/>
    <s v="09-Servicio de mantenimiento, dotación (HEA´s y equipo menor) y adquisición de vehiculos   especializados para la atención de emergencias."/>
    <x v="6"/>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x v="6"/>
    <x v="0"/>
    <s v="Si Secop "/>
  </r>
  <r>
    <n v="20250220"/>
    <x v="1"/>
    <x v="7"/>
    <s v="OMER MAURICIO RIVERA RUIZ "/>
    <s v="Prestación de servicios profesionales a la gestión administrativa, financiera y documental para la atención del cuerpo uniformado a cargo de la Subdirección - SBLG"/>
    <s v="25 - contrato de prestacion de servicios profesionales"/>
    <n v="80111600"/>
    <n v="2"/>
    <n v="11"/>
    <n v="0"/>
    <n v="41800000"/>
    <x v="0"/>
    <s v="09 - contratación directa"/>
    <x v="7"/>
    <x v="0"/>
    <x v="1"/>
    <x v="1"/>
    <x v="5"/>
    <x v="5"/>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n v="20250221"/>
    <x v="1"/>
    <x v="7"/>
    <s v="OMER MAURICIO RIVERA RUIZ "/>
    <s v="Prestación de servicios profesionales para gestionar las solicitudes y requerimientos recibidos por las herramientas tecnológicas de la Subdirección Logística -  - SBLG"/>
    <s v="25 - contrato de prestacion de servicios profesionales"/>
    <n v="80111600"/>
    <n v="2"/>
    <n v="10"/>
    <n v="0"/>
    <n v="50000000"/>
    <x v="0"/>
    <s v="09 - contratación directa"/>
    <x v="7"/>
    <x v="0"/>
    <x v="1"/>
    <x v="1"/>
    <x v="5"/>
    <x v="5"/>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n v="20250222"/>
    <x v="1"/>
    <x v="7"/>
    <s v="OMER MAURICIO RIVERA RUIZ "/>
    <s v="Prestar servicios profesionales para el trámite, revisión y validación de los documentos previos para pago que se generen con ocasión de la ejecución de los contratos a cargo de la subdirección logística. - SBLG"/>
    <s v="25 - contrato de prestacion de servicios profesionales"/>
    <n v="80111600"/>
    <n v="2"/>
    <n v="10"/>
    <n v="0"/>
    <n v="44000000"/>
    <x v="0"/>
    <s v="09 - contratación directa"/>
    <x v="7"/>
    <x v="0"/>
    <x v="1"/>
    <x v="1"/>
    <x v="5"/>
    <x v="5"/>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n v="20250223"/>
    <x v="2"/>
    <x v="7"/>
    <s v="Omer Mauricio Rivera Ruiz"/>
    <s v="Contratar el servicio de revision técnico mecánica y de emision de gases contaminantes para los vehiculos que forman parte del parque automotor de la Unidad Administrativa Especial Cuerpo Oficial de Bomberos de Bogotá - UAECOB-SBLG"/>
    <s v="03 - contrato de prestacion de servicios"/>
    <n v="78181505"/>
    <d v="1900-01-02T00:00:00"/>
    <n v="3"/>
    <n v="0"/>
    <n v="48795000"/>
    <x v="1"/>
    <s v="04 - contratación mínima cuantía"/>
    <x v="6"/>
    <x v="1"/>
    <x v="2"/>
    <x v="2"/>
    <x v="3"/>
    <x v="3"/>
    <s v="N/A-N/A"/>
    <x v="5"/>
    <s v="N/A"/>
    <s v="N/A_N/A"/>
    <s v="N/A-N/A N/A_N/A"/>
    <x v="5"/>
    <x v="5"/>
    <x v="9"/>
    <s v="Si Secop "/>
  </r>
  <r>
    <n v="20250224"/>
    <x v="1"/>
    <x v="8"/>
    <s v="William Tovar Segura"/>
    <s v="“Adquisición de elementos de apoyo didáctico y pedagógico para actividades, programas y campañas requeridas en la Subdirección de Gestión del Riesgo_SGR”"/>
    <s v="06 - contrato de compraventa"/>
    <s v="60141000_x000a_60141100_x000a_60141200_x000a_60141400_x000a_73101500_x000a_73151500"/>
    <n v="1"/>
    <n v="3"/>
    <n v="0"/>
    <n v="30000000"/>
    <x v="0"/>
    <s v="5 - contratación mínima cuantía"/>
    <x v="8"/>
    <x v="0"/>
    <x v="1"/>
    <x v="1"/>
    <x v="6"/>
    <x v="6"/>
    <s v="05-Servicio de capacitaciones en gestión del riesgo de incendios  a la ciudadania."/>
    <x v="7"/>
    <s v="Servicio prevención y control de incendios"/>
    <s v="035_Servicio prevención y control de incendios"/>
    <s v="05-Servicio de capacitaciones en gestión del riesgo de incendios  a la ciudadania. 035_Servicio prevención y control de incendios"/>
    <x v="8"/>
    <x v="8"/>
    <x v="0"/>
    <s v="Si Secop "/>
  </r>
  <r>
    <n v="20250225"/>
    <x v="1"/>
    <x v="8"/>
    <s v="William Tovar Segura"/>
    <s v="Adquisición de insumos y materias primas para la producción de impresos de artes gráficas_ SGR."/>
    <s v="06 - contrato de compraventa"/>
    <s v="60121104_x000a_60121708_x000a_44111515_x000a_24121503_x000a_24112404"/>
    <n v="1"/>
    <n v="3"/>
    <n v="0"/>
    <n v="35000000"/>
    <x v="0"/>
    <s v="6 - contratación mínima cuantía"/>
    <x v="8"/>
    <x v="0"/>
    <x v="1"/>
    <x v="1"/>
    <x v="7"/>
    <x v="7"/>
    <s v="11-Infraestructura Tecnológica   (Sistemas de Información y Tecnologia)"/>
    <x v="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9"/>
    <x v="9"/>
    <x v="0"/>
    <s v="Si Secop "/>
  </r>
  <r>
    <n v="20250226"/>
    <x v="1"/>
    <x v="8"/>
    <s v="William Tovar Segura"/>
    <s v="Prestar servicios profesionales a la Subdirección de Gestión del Riesgo liderando las actividades del proceso de Reducción del Riesgo._SGR"/>
    <s v="25 - contrato de prestacion de servicios profesionales"/>
    <n v="80111600"/>
    <n v="1"/>
    <n v="10"/>
    <n v="0"/>
    <n v="100000000"/>
    <x v="0"/>
    <s v="09 - contratación directa"/>
    <x v="8"/>
    <x v="0"/>
    <x v="1"/>
    <x v="1"/>
    <x v="6"/>
    <x v="6"/>
    <s v="05-Servicio de capacitaciones en gestión del riesgo de incendios  a la ciudadania."/>
    <x v="4"/>
    <s v="Servicio de educación informal"/>
    <s v="002_Servicio de educación informal"/>
    <s v="05-Servicio de capacitaciones en gestión del riesgo de incendios  a la ciudadania. 002_Servicio de educación informal"/>
    <x v="10"/>
    <x v="10"/>
    <x v="0"/>
    <s v="Si Secop "/>
  </r>
  <r>
    <n v="20250227"/>
    <x v="1"/>
    <x v="8"/>
    <s v="William Tovar Segura"/>
    <s v="Prestar servicios profesionales a la Subdirección de Gestión del Riesgo coordinando las actividades del proceso de Conocimiento del Riesgo._SGR"/>
    <s v="25 - contrato de prestacion de servicios profesionales"/>
    <n v="80111600"/>
    <n v="1"/>
    <n v="10"/>
    <n v="0"/>
    <n v="100000000"/>
    <x v="0"/>
    <s v="09 - contratación directa"/>
    <x v="8"/>
    <x v="0"/>
    <x v="1"/>
    <x v="1"/>
    <x v="7"/>
    <x v="7"/>
    <s v="11-Infraestructura Tecnológica   (Sistemas de Información y Tecnologia)"/>
    <x v="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9"/>
    <x v="9"/>
    <x v="0"/>
    <s v="Si Secop "/>
  </r>
  <r>
    <n v="20250228"/>
    <x v="1"/>
    <x v="8"/>
    <s v="William Tovar Segura"/>
    <s v="Prestar servicios profesionales a la Subdirección de Gestión del Riesgo para la definicion de lineamientos de infraestructura de la UAECOB_SGR."/>
    <s v="25 - contrato de prestacion de servicios profesionales"/>
    <n v="80111600"/>
    <n v="1"/>
    <n v="10"/>
    <n v="0"/>
    <n v="100000000"/>
    <x v="0"/>
    <s v="9 - contratación directa"/>
    <x v="8"/>
    <x v="0"/>
    <x v="1"/>
    <x v="1"/>
    <x v="6"/>
    <x v="6"/>
    <s v="05-Servicio de capacitaciones en gestión del riesgo de incendios  a la ciudadania."/>
    <x v="4"/>
    <s v="Servicio de educación informal"/>
    <s v="002_Servicio de educación informal"/>
    <s v="05-Servicio de capacitaciones en gestión del riesgo de incendios  a la ciudadania. 002_Servicio de educación informal"/>
    <x v="10"/>
    <x v="10"/>
    <x v="0"/>
    <s v="Si Secop "/>
  </r>
  <r>
    <n v="20250229"/>
    <x v="1"/>
    <x v="8"/>
    <s v="William Tovar Segura"/>
    <s v="Prestar servicios profesionales a la Subdirección de Gestión del Riesgo para la coordinación y establecimiento de los planes intersectoriales en materia de prevención y atención de incendios e incidentes con materiales peligrosos._SGR"/>
    <s v="25 - contrato de prestacion de servicios profesionales"/>
    <n v="80111600"/>
    <n v="1"/>
    <n v="10"/>
    <n v="0"/>
    <n v="90000000"/>
    <x v="0"/>
    <s v="9 - contratación directa"/>
    <x v="8"/>
    <x v="0"/>
    <x v="1"/>
    <x v="1"/>
    <x v="7"/>
    <x v="7"/>
    <s v="11-Infraestructura Tecnológica   (Sistemas de Información y Tecnologia)"/>
    <x v="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9"/>
    <x v="9"/>
    <x v="0"/>
    <s v="Si Secop "/>
  </r>
  <r>
    <n v="20250230"/>
    <x v="1"/>
    <x v="8"/>
    <s v="William Tovar Segura"/>
    <s v="Prestar servicios profesionales en las actividades del MIPG de la Subdirección de Gestión del riesgo."/>
    <s v="25 - contrato de prestacion de servicios profesionales"/>
    <n v="80111600"/>
    <n v="1"/>
    <n v="10"/>
    <n v="0"/>
    <n v="90000000"/>
    <x v="0"/>
    <s v="9 - contratación directa"/>
    <x v="8"/>
    <x v="0"/>
    <x v="1"/>
    <x v="1"/>
    <x v="6"/>
    <x v="6"/>
    <s v="05-Servicio de capacitaciones en gestión del riesgo de incendios  a la ciudadania."/>
    <x v="4"/>
    <s v="Servicio de educación informal"/>
    <s v="002_Servicio de educación informal"/>
    <s v="05-Servicio de capacitaciones en gestión del riesgo de incendios  a la ciudadania. 002_Servicio de educación informal"/>
    <x v="10"/>
    <x v="10"/>
    <x v="0"/>
    <s v="Si Secop "/>
  </r>
  <r>
    <n v="20250231"/>
    <x v="1"/>
    <x v="8"/>
    <s v="William Tovar Segura"/>
    <s v="Prestar servicios profesionales para el desarrollo de actividades de planeación y desarrollo de programas y proyectos para la Subdirección de Gestión del Riesgo._SGR"/>
    <s v="25 - contrato de prestacion de servicios profesionales"/>
    <n v="80111600"/>
    <n v="1"/>
    <n v="10"/>
    <n v="0"/>
    <n v="70000000"/>
    <x v="0"/>
    <s v="9 - contratación directa"/>
    <x v="8"/>
    <x v="0"/>
    <x v="1"/>
    <x v="1"/>
    <x v="6"/>
    <x v="6"/>
    <s v="05-Servicio de capacitaciones en gestión del riesgo de incendios  a la ciudadania."/>
    <x v="7"/>
    <s v="Servicio prevención y control de incendios"/>
    <s v="035_Servicio prevención y control de incendios"/>
    <s v="05-Servicio de capacitaciones en gestión del riesgo de incendios  a la ciudadania. 035_Servicio prevención y control de incendios"/>
    <x v="8"/>
    <x v="8"/>
    <x v="0"/>
    <s v="Si Secop "/>
  </r>
  <r>
    <n v="20250232"/>
    <x v="1"/>
    <x v="8"/>
    <s v="William Tovar Segura"/>
    <s v="Prestar servicios profesionales para la gestión de la SGR, estructurando el seguimiento de los procesos contractuales y demás aspectos jurídicos._SGR"/>
    <s v="25 - contrato de prestacion de servicios profesionales"/>
    <n v="80111600"/>
    <n v="1"/>
    <n v="10"/>
    <n v="0"/>
    <n v="70000000"/>
    <x v="0"/>
    <s v="9 - contratación directa"/>
    <x v="8"/>
    <x v="0"/>
    <x v="1"/>
    <x v="1"/>
    <x v="6"/>
    <x v="6"/>
    <s v="05-Servicio de capacitaciones en gestión del riesgo de incendios  a la ciudadania."/>
    <x v="4"/>
    <s v="Servicio de educación informal"/>
    <s v="002_Servicio de educación informal"/>
    <s v="05-Servicio de capacitaciones en gestión del riesgo de incendios  a la ciudadania. 002_Servicio de educación informal"/>
    <x v="10"/>
    <x v="10"/>
    <x v="0"/>
    <s v="Si Secop "/>
  </r>
  <r>
    <n v="20250233"/>
    <x v="1"/>
    <x v="8"/>
    <s v="William Tovar Segura"/>
    <s v="Prestar servicios profesionales para la gestión de la SGR, estructurando el seguimiento de los procesos contractuales y demás aspectos jurídicos._SGR"/>
    <s v="25 - contrato de prestacion de servicios profesionales"/>
    <n v="80111600"/>
    <n v="1"/>
    <n v="10"/>
    <n v="0"/>
    <n v="70000000"/>
    <x v="0"/>
    <s v="9 - contratación directa"/>
    <x v="8"/>
    <x v="0"/>
    <x v="1"/>
    <x v="1"/>
    <x v="6"/>
    <x v="6"/>
    <s v="05-Servicio de capacitaciones en gestión del riesgo de incendios  a la ciudadania."/>
    <x v="4"/>
    <s v="Servicio de educación informal"/>
    <s v="002_Servicio de educación informal"/>
    <s v="05-Servicio de capacitaciones en gestión del riesgo de incendios  a la ciudadania. 002_Servicio de educación informal"/>
    <x v="10"/>
    <x v="10"/>
    <x v="0"/>
    <s v="Si Secop "/>
  </r>
  <r>
    <n v="20250234"/>
    <x v="1"/>
    <x v="8"/>
    <s v="William Tovar Segura"/>
    <s v="Prestar servicios profesionales para la estructuracion y seguimiento de los procesos contractuales y demas aspectos juridicos de la Subdirección de Gestión del riesgo._SGR"/>
    <s v="25 - contrato de prestacion de servicios profesionales"/>
    <n v="80111600"/>
    <n v="1"/>
    <n v="10"/>
    <n v="0"/>
    <n v="60000000"/>
    <x v="0"/>
    <s v="9 - contratación directa"/>
    <x v="8"/>
    <x v="0"/>
    <x v="1"/>
    <x v="1"/>
    <x v="6"/>
    <x v="6"/>
    <s v="05-Servicio de capacitaciones en gestión del riesgo de incendios  a la ciudadania."/>
    <x v="4"/>
    <s v="Servicio de educación informal"/>
    <s v="002_Servicio de educación informal"/>
    <s v="05-Servicio de capacitaciones en gestión del riesgo de incendios  a la ciudadania. 002_Servicio de educación informal"/>
    <x v="10"/>
    <x v="10"/>
    <x v="0"/>
    <s v="Si Secop "/>
  </r>
  <r>
    <n v="20250235"/>
    <x v="1"/>
    <x v="8"/>
    <s v="William Tovar Segura"/>
    <s v="Prestar servicios profesionales para el desarrollo de los contenidos graficos, piezas comunicativa y de imagen institucional para la Subdirección de Gestión del riesgo._SGR"/>
    <s v="25 - contrato de prestacion de servicios profesionales"/>
    <n v="80111600"/>
    <n v="1"/>
    <n v="10"/>
    <n v="0"/>
    <n v="40000000"/>
    <x v="0"/>
    <s v="9 - contratación directa"/>
    <x v="8"/>
    <x v="0"/>
    <x v="1"/>
    <x v="1"/>
    <x v="6"/>
    <x v="6"/>
    <s v="05-Servicio de capacitaciones en gestión del riesgo de incendios  a la ciudadania."/>
    <x v="4"/>
    <s v="Servicio de educación informal"/>
    <s v="002_Servicio de educación informal"/>
    <s v="05-Servicio de capacitaciones en gestión del riesgo de incendios  a la ciudadania. 002_Servicio de educación informal"/>
    <x v="10"/>
    <x v="10"/>
    <x v="0"/>
    <s v="Si Secop "/>
  </r>
  <r>
    <n v="20250236"/>
    <x v="1"/>
    <x v="8"/>
    <s v="William Tovar Segura"/>
    <s v="Prestar servicios profesionales para las actividades de la Subdireccion de Gestion del Riesgo relacionadas con la gestion de los aspectos tecnologicos e informaticos._SGR"/>
    <s v="25 - contrato de prestacion de servicios profesionales"/>
    <n v="80111600"/>
    <n v="1"/>
    <n v="10"/>
    <n v="0"/>
    <n v="50000000"/>
    <x v="0"/>
    <s v="9 - contratación directa"/>
    <x v="8"/>
    <x v="0"/>
    <x v="1"/>
    <x v="1"/>
    <x v="6"/>
    <x v="6"/>
    <s v="05-Servicio de capacitaciones en gestión del riesgo de incendios  a la ciudadania."/>
    <x v="4"/>
    <s v="Servicio de educación informal"/>
    <s v="002_Servicio de educación informal"/>
    <s v="05-Servicio de capacitaciones en gestión del riesgo de incendios  a la ciudadania. 002_Servicio de educación informal"/>
    <x v="10"/>
    <x v="10"/>
    <x v="0"/>
    <s v="Si Secop "/>
  </r>
  <r>
    <n v="20250237"/>
    <x v="1"/>
    <x v="8"/>
    <s v="William Tovar Segura"/>
    <s v="Prestar servicios profesionales para el desarrollo de actividades de planeación y gestión para la Subdirección de Gestión del Riesgo._SGR"/>
    <s v="25 - contrato de prestacion de servicios profesionales"/>
    <n v="80111600"/>
    <n v="1"/>
    <n v="11"/>
    <n v="0"/>
    <n v="55000000"/>
    <x v="0"/>
    <s v="9 - contratación directa"/>
    <x v="8"/>
    <x v="0"/>
    <x v="1"/>
    <x v="1"/>
    <x v="6"/>
    <x v="6"/>
    <s v="05-Servicio de capacitaciones en gestión del riesgo de incendios  a la ciudadania."/>
    <x v="4"/>
    <s v="Servicio de educación informal"/>
    <s v="002_Servicio de educación informal"/>
    <s v="05-Servicio de capacitaciones en gestión del riesgo de incendios  a la ciudadania. 002_Servicio de educación informal"/>
    <x v="10"/>
    <x v="10"/>
    <x v="0"/>
    <s v="Si Secop "/>
  </r>
  <r>
    <n v="20250238"/>
    <x v="1"/>
    <x v="8"/>
    <s v="William Tovar Segura"/>
    <s v="Prestar servicios de apoyo a la gestión como conductor en la Subdirección de Gestión del Riesgo._SGR"/>
    <s v="26 - contrato de prestacion de servicios de apoyo a la gestion"/>
    <n v="80111600"/>
    <n v="1"/>
    <n v="12"/>
    <n v="0"/>
    <n v="42000000"/>
    <x v="0"/>
    <s v="9 - contratación directa"/>
    <x v="8"/>
    <x v="0"/>
    <x v="1"/>
    <x v="1"/>
    <x v="7"/>
    <x v="7"/>
    <s v="11-Infraestructura Tecnológica   (Sistemas de Información y Tecnologia)"/>
    <x v="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9"/>
    <x v="9"/>
    <x v="0"/>
    <s v="Si Secop "/>
  </r>
  <r>
    <n v="20250239"/>
    <x v="1"/>
    <x v="8"/>
    <s v="William Tovar Segura"/>
    <s v="Prestar servicios de apoyo administrativos apoyando a la Subdirección de Gestión del Riesgo con lo relacionado al seguimiento y control de sus solicitudes y peticiones._SGR "/>
    <s v="26 - contrato de prestacion de servicios de apoyo a la gestion"/>
    <n v="80111600"/>
    <n v="1"/>
    <n v="11"/>
    <n v="0"/>
    <n v="44000000"/>
    <x v="0"/>
    <s v="9 - contratación directa"/>
    <x v="8"/>
    <x v="0"/>
    <x v="1"/>
    <x v="1"/>
    <x v="6"/>
    <x v="6"/>
    <s v="05-Servicio de capacitaciones en gestión del riesgo de incendios  a la ciudadania."/>
    <x v="4"/>
    <s v="Servicio de educación informal"/>
    <s v="002_Servicio de educación informal"/>
    <s v="05-Servicio de capacitaciones en gestión del riesgo de incendios  a la ciudadania. 002_Servicio de educación informal"/>
    <x v="10"/>
    <x v="10"/>
    <x v="0"/>
    <s v="Si Secop "/>
  </r>
  <r>
    <n v="20250240"/>
    <x v="1"/>
    <x v="8"/>
    <s v="William Tovar Segura"/>
    <s v="Prestar  servicios profesionales en las actividades de proyeccion e innovacion para la Subdirección de Gestión del Riesgo._SGR"/>
    <s v="25 - contrato de prestacion de servicios profesionales"/>
    <n v="80111600"/>
    <n v="1"/>
    <n v="11"/>
    <n v="0"/>
    <n v="77000000"/>
    <x v="0"/>
    <s v="9 - contratación directa"/>
    <x v="9"/>
    <x v="0"/>
    <x v="1"/>
    <x v="1"/>
    <x v="7"/>
    <x v="7"/>
    <s v="11-Infraestructura Tecnológica   (Sistemas de Información y Tecnologia)"/>
    <x v="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9"/>
    <x v="9"/>
    <x v="0"/>
    <s v="Si Secop "/>
  </r>
  <r>
    <n v="20250241"/>
    <x v="1"/>
    <x v="8"/>
    <s v="William Tovar Segura"/>
    <s v="Prestar  servicios profesionales en las actividades de proyeccion e innovacion para la Subdirección de Gestión del Riesgo._SGR"/>
    <s v="25 - contrato de prestacion de servicios profesionales"/>
    <n v="80111600"/>
    <n v="1"/>
    <n v="11"/>
    <n v="0"/>
    <n v="77000000"/>
    <x v="0"/>
    <s v="9 - contratación directa"/>
    <x v="9"/>
    <x v="0"/>
    <x v="1"/>
    <x v="1"/>
    <x v="7"/>
    <x v="7"/>
    <s v="11-Infraestructura Tecnológica   (Sistemas de Información y Tecnologia)"/>
    <x v="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9"/>
    <x v="9"/>
    <x v="0"/>
    <s v="Si Secop "/>
  </r>
  <r>
    <n v="20250242"/>
    <x v="1"/>
    <x v="8"/>
    <s v="William Tovar Segura"/>
    <s v="Prestar  servicios profesionales en las actividades de proyeccion e innovacion para la Subdirección de Gestión del Riesgo._SGR"/>
    <s v="25 - contrato de prestacion de servicios profesionales"/>
    <n v="80111600"/>
    <n v="1"/>
    <n v="11"/>
    <n v="0"/>
    <n v="77000000"/>
    <x v="0"/>
    <s v="9 - contratación directa"/>
    <x v="9"/>
    <x v="0"/>
    <x v="1"/>
    <x v="1"/>
    <x v="7"/>
    <x v="7"/>
    <s v="11-Infraestructura Tecnológica   (Sistemas de Información y Tecnologia)"/>
    <x v="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9"/>
    <x v="9"/>
    <x v="0"/>
    <s v="Si Secop "/>
  </r>
  <r>
    <n v="20250243"/>
    <x v="1"/>
    <x v="8"/>
    <s v="William Tovar Segura"/>
    <s v="Prestar los servicios profesionales en las actividades de proyeccion e innovacion para la Subdirección de Gestión del Riesgo._SGR"/>
    <s v="25 - contrato de prestacion de servicios profesionales"/>
    <n v="80111600"/>
    <n v="1"/>
    <n v="11"/>
    <n v="0"/>
    <n v="77000000"/>
    <x v="0"/>
    <s v="9 - contratación directa"/>
    <x v="9"/>
    <x v="0"/>
    <x v="1"/>
    <x v="1"/>
    <x v="7"/>
    <x v="7"/>
    <s v="11-Infraestructura Tecnológica   (Sistemas de Información y Tecnologia)"/>
    <x v="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9"/>
    <x v="9"/>
    <x v="0"/>
    <s v="Si Secop "/>
  </r>
  <r>
    <n v="20250244"/>
    <x v="1"/>
    <x v="8"/>
    <s v="William Tovar Segura"/>
    <s v="Prestar los servicios profesionales en las actividades de proyeccion e innovacion para la Subdirección de Gestión del Riesgo._SGR"/>
    <s v="25 - contrato de prestacion de servicios profesionales"/>
    <n v="80111600"/>
    <n v="1"/>
    <n v="11"/>
    <n v="0"/>
    <n v="55000000"/>
    <x v="0"/>
    <s v="9 - contratación directa"/>
    <x v="9"/>
    <x v="0"/>
    <x v="1"/>
    <x v="1"/>
    <x v="7"/>
    <x v="7"/>
    <s v="11-Infraestructura Tecnológica   (Sistemas de Información y Tecnologia)"/>
    <x v="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9"/>
    <x v="9"/>
    <x v="0"/>
    <s v="Si Secop "/>
  </r>
  <r>
    <n v="20250245"/>
    <x v="1"/>
    <x v="8"/>
    <s v="William Tovar Segura"/>
    <s v="Prestar  servicios profesionales en las actividades de proyeccion e innovacion para la Subdirección de Gestión del Riesgo._SGR"/>
    <s v="25 - contrato de prestacion de servicios profesionales"/>
    <n v="80111600"/>
    <n v="1"/>
    <n v="11"/>
    <n v="0"/>
    <n v="55000000"/>
    <x v="0"/>
    <s v="9 - contratación directa"/>
    <x v="9"/>
    <x v="0"/>
    <x v="1"/>
    <x v="1"/>
    <x v="7"/>
    <x v="7"/>
    <s v="11-Infraestructura Tecnológica   (Sistemas de Información y Tecnologia)"/>
    <x v="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9"/>
    <x v="9"/>
    <x v="0"/>
    <s v="Si Secop "/>
  </r>
  <r>
    <n v="20250246"/>
    <x v="1"/>
    <x v="8"/>
    <s v="William Tovar Segura"/>
    <s v="Prestar servicios profesionales en las actividades de identificacion de escenarios a cargo de la Subdirección de Gestión del Riesgo._SGR"/>
    <s v="25 - contrato de prestacion de servicios profesionales"/>
    <n v="80111600"/>
    <n v="1"/>
    <n v="11"/>
    <n v="0"/>
    <n v="77000000"/>
    <x v="0"/>
    <s v="9 - contratación directa"/>
    <x v="10"/>
    <x v="0"/>
    <x v="1"/>
    <x v="1"/>
    <x v="7"/>
    <x v="7"/>
    <s v="11-Infraestructura Tecnológica   (Sistemas de Información y Tecnologia)"/>
    <x v="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9"/>
    <x v="9"/>
    <x v="0"/>
    <s v="Si Secop "/>
  </r>
  <r>
    <n v="20250247"/>
    <x v="1"/>
    <x v="8"/>
    <s v="William Tovar Segura"/>
    <s v="Prestar servicios profesionales en las actividades de identificacion de escenarios a cargo de la Subdirección de Gestión del Riesgo._SGR"/>
    <s v="25 - contrato de prestacion de servicios profesionales"/>
    <n v="80111600"/>
    <n v="1"/>
    <n v="11"/>
    <n v="0"/>
    <n v="77000000"/>
    <x v="0"/>
    <s v="9 - contratación directa"/>
    <x v="10"/>
    <x v="0"/>
    <x v="1"/>
    <x v="1"/>
    <x v="7"/>
    <x v="7"/>
    <s v="11-Infraestructura Tecnológica   (Sistemas de Información y Tecnologia)"/>
    <x v="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9"/>
    <x v="9"/>
    <x v="0"/>
    <s v="Si Secop "/>
  </r>
  <r>
    <n v="20250248"/>
    <x v="1"/>
    <x v="8"/>
    <s v="William Tovar Segura"/>
    <s v="Prestar servicios profesionales en las actividades de identificacion de escenarios a cargo de la Subdirección de Gestión del Riesgo._SGR"/>
    <s v="25 - contrato de prestacion de servicios profesionales"/>
    <n v="80111600"/>
    <n v="1"/>
    <n v="11"/>
    <n v="0"/>
    <n v="77000000"/>
    <x v="0"/>
    <s v="9 - contratación directa"/>
    <x v="10"/>
    <x v="0"/>
    <x v="1"/>
    <x v="1"/>
    <x v="7"/>
    <x v="7"/>
    <s v="11-Infraestructura Tecnológica   (Sistemas de Información y Tecnologia)"/>
    <x v="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9"/>
    <x v="9"/>
    <x v="0"/>
    <s v="Si Secop "/>
  </r>
  <r>
    <n v="20250249"/>
    <x v="1"/>
    <x v="8"/>
    <s v="William Tovar Segura"/>
    <s v="Prestar servicios profesionales en las actividades de identificacion de escenarios a cargo de la Subdirección de Gestión del Riesgo._SGR"/>
    <s v="25 - contrato de prestacion de servicios profesionales"/>
    <n v="80111600"/>
    <n v="1"/>
    <n v="11"/>
    <n v="0"/>
    <n v="49500000"/>
    <x v="0"/>
    <s v="9 - contratación directa"/>
    <x v="10"/>
    <x v="0"/>
    <x v="1"/>
    <x v="1"/>
    <x v="7"/>
    <x v="7"/>
    <s v="11-Infraestructura Tecnológica   (Sistemas de Información y Tecnologia)"/>
    <x v="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9"/>
    <x v="9"/>
    <x v="0"/>
    <s v="Si Secop "/>
  </r>
  <r>
    <n v="20250250"/>
    <x v="1"/>
    <x v="8"/>
    <s v="William Tovar Segura"/>
    <s v="Prestar servicios profesionales en las actividades de identificacion de escenarios a cargo de la Subdirección de Gestión del Riesgo._SGR"/>
    <s v="25 - contrato de prestacion de servicios profesionales"/>
    <n v="80111600"/>
    <n v="1"/>
    <n v="11"/>
    <n v="0"/>
    <n v="49500000"/>
    <x v="0"/>
    <s v="9 - contratación directa"/>
    <x v="10"/>
    <x v="0"/>
    <x v="1"/>
    <x v="1"/>
    <x v="7"/>
    <x v="7"/>
    <s v="11-Infraestructura Tecnológica   (Sistemas de Información y Tecnologia)"/>
    <x v="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9"/>
    <x v="9"/>
    <x v="0"/>
    <s v="Si Secop "/>
  </r>
  <r>
    <n v="20250251"/>
    <x v="1"/>
    <x v="8"/>
    <s v="William Tovar Segura"/>
    <s v="Prestar servicios profesionales en las actividades de monitoreo del riesgo para la Subdirección de Gestión del Riesgo._SGR"/>
    <s v="25 - contrato de prestacion de servicios profesionales"/>
    <n v="80111600"/>
    <n v="1"/>
    <n v="11"/>
    <n v="0"/>
    <n v="55000000"/>
    <x v="0"/>
    <s v="9 - contratación directa"/>
    <x v="10"/>
    <x v="0"/>
    <x v="1"/>
    <x v="1"/>
    <x v="7"/>
    <x v="7"/>
    <s v="11-Infraestructura Tecnológica   (Sistemas de Información y Tecnologia)"/>
    <x v="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9"/>
    <x v="9"/>
    <x v="0"/>
    <s v="Si Secop "/>
  </r>
  <r>
    <n v="20250252"/>
    <x v="1"/>
    <x v="8"/>
    <s v="William Tovar Segura"/>
    <s v="Prestar servicios de apoyo a la gestion en las actividades de monitoreo del riesgo para la Subdirección de Gestión del Riesgo._SGR"/>
    <s v="26 - contrato de prestacion de servicios de apoyo a la gestion"/>
    <n v="80111600"/>
    <n v="1"/>
    <n v="10"/>
    <n v="0"/>
    <n v="30000000"/>
    <x v="0"/>
    <s v="9 - contratación directa"/>
    <x v="10"/>
    <x v="0"/>
    <x v="1"/>
    <x v="1"/>
    <x v="7"/>
    <x v="7"/>
    <s v="11-Infraestructura Tecnológica   (Sistemas de Información y Tecnologia)"/>
    <x v="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9"/>
    <x v="9"/>
    <x v="0"/>
    <s v="Si Secop "/>
  </r>
  <r>
    <n v="20250253"/>
    <x v="1"/>
    <x v="8"/>
    <s v="William Tovar Segura"/>
    <s v="Prestar servicios de apoyo a la gestion en las actividades de monitoreo del riesgo para la Subdirección de Gestión del Riesgo._SGR"/>
    <s v="26 - contrato de prestacion de servicios de apoyo a la gestion"/>
    <n v="80111600"/>
    <n v="1"/>
    <n v="11"/>
    <n v="0"/>
    <n v="33000000"/>
    <x v="0"/>
    <s v="9 - contratación directa"/>
    <x v="10"/>
    <x v="0"/>
    <x v="1"/>
    <x v="1"/>
    <x v="7"/>
    <x v="7"/>
    <s v="11-Infraestructura Tecnológica   (Sistemas de Información y Tecnologia)"/>
    <x v="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9"/>
    <x v="9"/>
    <x v="0"/>
    <s v="Si Secop "/>
  </r>
  <r>
    <n v="20250254"/>
    <x v="1"/>
    <x v="8"/>
    <s v="William Tovar Segura"/>
    <s v="Prestar servicios de apoyo a la gestion en las actividades de monitoreo del riesgo para la Subdirección de Gestión del Riesgo._SGR"/>
    <s v="26 - contrato de prestacion de servicios de apoyo a la gestion"/>
    <n v="80111600"/>
    <n v="1"/>
    <n v="11"/>
    <n v="0"/>
    <n v="33000000"/>
    <x v="0"/>
    <s v="9 - contratación directa"/>
    <x v="10"/>
    <x v="0"/>
    <x v="1"/>
    <x v="1"/>
    <x v="7"/>
    <x v="7"/>
    <s v="11-Infraestructura Tecnológica   (Sistemas de Información y Tecnologia)"/>
    <x v="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9"/>
    <x v="9"/>
    <x v="0"/>
    <s v="Si Secop "/>
  </r>
  <r>
    <n v="20250255"/>
    <x v="1"/>
    <x v="8"/>
    <s v="William Tovar Segura"/>
    <s v="Prestar servicios de apoyo a la gestion en las actividades de monitoreo del riesgo para la Subdirección de Gestión del Riesgo._SGR"/>
    <s v="26 - contrato de prestacion de servicios de apoyo a la gestion"/>
    <n v="80111600"/>
    <n v="1"/>
    <n v="11"/>
    <n v="0"/>
    <n v="33000000"/>
    <x v="0"/>
    <s v="9 - contratación directa"/>
    <x v="10"/>
    <x v="0"/>
    <x v="1"/>
    <x v="1"/>
    <x v="7"/>
    <x v="7"/>
    <s v="11-Infraestructura Tecnológica   (Sistemas de Información y Tecnologia)"/>
    <x v="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9"/>
    <x v="9"/>
    <x v="0"/>
    <s v="Si Secop "/>
  </r>
  <r>
    <n v="20250256"/>
    <x v="1"/>
    <x v="8"/>
    <s v="William Tovar Segura"/>
    <s v="Prestar servicios de apoyo a la gestion en las actividades de monitoreo del riesgo para la Subdirección de Gestión del Riesgo._SGR"/>
    <s v="26 - contrato de prestacion de servicios de apoyo a la gestion"/>
    <n v="80111600"/>
    <n v="1"/>
    <n v="11"/>
    <n v="0"/>
    <n v="33000000"/>
    <x v="0"/>
    <s v="9 - contratación directa"/>
    <x v="10"/>
    <x v="0"/>
    <x v="1"/>
    <x v="1"/>
    <x v="7"/>
    <x v="7"/>
    <s v="11-Infraestructura Tecnológica   (Sistemas de Información y Tecnologia)"/>
    <x v="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9"/>
    <x v="9"/>
    <x v="0"/>
    <s v="Si Secop "/>
  </r>
  <r>
    <n v="20250257"/>
    <x v="1"/>
    <x v="8"/>
    <s v="William Tovar Segura"/>
    <s v="Prestar servicios de apoyo a la gestion en las actividades de monitoreo del riesgo para la Subdirección de Gestión del Riesgo._SGR"/>
    <s v="26 - contrato de prestacion de servicios de apoyo a la gestion"/>
    <n v="80111600"/>
    <n v="1"/>
    <n v="11"/>
    <n v="0"/>
    <n v="33000000"/>
    <x v="0"/>
    <s v="9 - contratación directa"/>
    <x v="10"/>
    <x v="0"/>
    <x v="1"/>
    <x v="1"/>
    <x v="7"/>
    <x v="7"/>
    <s v="11-Infraestructura Tecnológica   (Sistemas de Información y Tecnologia)"/>
    <x v="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9"/>
    <x v="9"/>
    <x v="0"/>
    <s v="Si Secop "/>
  </r>
  <r>
    <n v="20250258"/>
    <x v="1"/>
    <x v="8"/>
    <s v="William Tovar Segura"/>
    <s v="Prestar servicios de apoyo a la gestion en las actividades de monitoreo del riesgo para la Subdirección de Gestión del Riesgo._SGR"/>
    <s v="26 - contrato de prestacion de servicios de apoyo a la gestion"/>
    <n v="80111600"/>
    <n v="1"/>
    <n v="11"/>
    <n v="0"/>
    <n v="33000000"/>
    <x v="0"/>
    <s v="9 - contratación directa"/>
    <x v="10"/>
    <x v="0"/>
    <x v="1"/>
    <x v="1"/>
    <x v="7"/>
    <x v="7"/>
    <s v="11-Infraestructura Tecnológica   (Sistemas de Información y Tecnologia)"/>
    <x v="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9"/>
    <x v="9"/>
    <x v="0"/>
    <s v="Si Secop "/>
  </r>
  <r>
    <n v="20250259"/>
    <x v="1"/>
    <x v="8"/>
    <s v="William Tovar Segura"/>
    <s v="Prestar servicios de apoyo a la gestion en las actividades de monitoreo del riesgo para la Subdirección de Gestión del Riesgo._SGR"/>
    <s v="26 - contrato de prestacion de servicios de apoyo a la gestion"/>
    <n v="80111600"/>
    <n v="1"/>
    <n v="11"/>
    <n v="0"/>
    <n v="33000000"/>
    <x v="0"/>
    <s v="9 - contratación directa"/>
    <x v="10"/>
    <x v="0"/>
    <x v="1"/>
    <x v="1"/>
    <x v="7"/>
    <x v="7"/>
    <s v="11-Infraestructura Tecnológica   (Sistemas de Información y Tecnologia)"/>
    <x v="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9"/>
    <x v="9"/>
    <x v="0"/>
    <s v="Si Secop "/>
  </r>
  <r>
    <n v="20250260"/>
    <x v="1"/>
    <x v="8"/>
    <s v="William Tovar Segura"/>
    <s v="Prestar servicios profesionales en las actividades de Programas y Campañas de Prevención para la Subdirección de Gestión del Riesgo._SGR"/>
    <s v="25 - contrato de prestacion de servicios profesionales"/>
    <n v="80111600"/>
    <n v="1"/>
    <n v="11"/>
    <n v="0"/>
    <n v="77000000"/>
    <x v="0"/>
    <s v="9 - contratación directa"/>
    <x v="8"/>
    <x v="0"/>
    <x v="1"/>
    <x v="1"/>
    <x v="6"/>
    <x v="6"/>
    <s v="05-Servicio de capacitaciones en gestión del riesgo de incendios  a la ciudadania."/>
    <x v="7"/>
    <s v="Servicio prevención y control de incendios"/>
    <s v="035_Servicio prevención y control de incendios"/>
    <s v="05-Servicio de capacitaciones en gestión del riesgo de incendios  a la ciudadania. 035_Servicio prevención y control de incendios"/>
    <x v="8"/>
    <x v="8"/>
    <x v="0"/>
    <s v="Si Secop "/>
  </r>
  <r>
    <n v="20250261"/>
    <x v="1"/>
    <x v="8"/>
    <s v="William Tovar Segura"/>
    <s v="Prestar servicios profesionales en las actividades de Programas y Campañas de Prevención para la Subdirección de Gestión del Riesgo._SGR"/>
    <s v="25 - contrato de prestacion de servicios profesionales"/>
    <n v="80111600"/>
    <n v="1"/>
    <n v="11"/>
    <n v="0"/>
    <n v="77000000"/>
    <x v="0"/>
    <s v="9 - contratación directa"/>
    <x v="8"/>
    <x v="0"/>
    <x v="1"/>
    <x v="1"/>
    <x v="6"/>
    <x v="6"/>
    <s v="05-Servicio de capacitaciones en gestión del riesgo de incendios  a la ciudadania."/>
    <x v="7"/>
    <s v="Servicio prevención y control de incendios"/>
    <s v="035_Servicio prevención y control de incendios"/>
    <s v="05-Servicio de capacitaciones en gestión del riesgo de incendios  a la ciudadania. 035_Servicio prevención y control de incendios"/>
    <x v="8"/>
    <x v="8"/>
    <x v="0"/>
    <s v="Si Secop "/>
  </r>
  <r>
    <n v="20250262"/>
    <x v="1"/>
    <x v="8"/>
    <s v="William Tovar Segura"/>
    <s v="Prestar servicios profesionales en las actividades de Programas y Campañas de Prevención para la Subdirección de Gestión del Riesgo._SGR"/>
    <s v="25 - contrato de prestacion de servicios profesionales"/>
    <n v="80111600"/>
    <n v="1"/>
    <n v="11"/>
    <n v="0"/>
    <n v="55000000"/>
    <x v="0"/>
    <s v="9 - contratación directa"/>
    <x v="8"/>
    <x v="0"/>
    <x v="1"/>
    <x v="1"/>
    <x v="6"/>
    <x v="6"/>
    <s v="05-Servicio de capacitaciones en gestión del riesgo de incendios  a la ciudadania."/>
    <x v="7"/>
    <s v="Servicio prevención y control de incendios"/>
    <s v="035_Servicio prevención y control de incendios"/>
    <s v="05-Servicio de capacitaciones en gestión del riesgo de incendios  a la ciudadania. 035_Servicio prevención y control de incendios"/>
    <x v="8"/>
    <x v="8"/>
    <x v="0"/>
    <s v="Si Secop "/>
  </r>
  <r>
    <n v="20250263"/>
    <x v="1"/>
    <x v="8"/>
    <s v="William Tovar Segura"/>
    <s v="Prestar servicios profesionales en las actividades de Programas y Campañas de Prevención para la Subdirección de Gestión del Riesgo._SGR"/>
    <s v="25 - contrato de prestacion de servicios profesionales"/>
    <n v="80111600"/>
    <n v="1"/>
    <n v="11"/>
    <n v="0"/>
    <n v="55000000"/>
    <x v="0"/>
    <s v="9 - contratación directa"/>
    <x v="8"/>
    <x v="0"/>
    <x v="1"/>
    <x v="1"/>
    <x v="6"/>
    <x v="6"/>
    <s v="05-Servicio de capacitaciones en gestión del riesgo de incendios  a la ciudadania."/>
    <x v="7"/>
    <s v="Servicio prevención y control de incendios"/>
    <s v="035_Servicio prevención y control de incendios"/>
    <s v="05-Servicio de capacitaciones en gestión del riesgo de incendios  a la ciudadania. 035_Servicio prevención y control de incendios"/>
    <x v="8"/>
    <x v="8"/>
    <x v="0"/>
    <s v="Si Secop "/>
  </r>
  <r>
    <n v="20250264"/>
    <x v="1"/>
    <x v="8"/>
    <s v="William Tovar Segura"/>
    <s v="Prestar servicios de apoyo en las actividades de Programas y Campañas de Prevención para la Subdirección de Gestión del Riesgo._SGR"/>
    <s v="26 - contrato de prestacion de servicios de apoyo a la gestion"/>
    <n v="80111600"/>
    <n v="1"/>
    <n v="11"/>
    <n v="0"/>
    <n v="44000000"/>
    <x v="0"/>
    <s v="9 - contratación directa"/>
    <x v="8"/>
    <x v="0"/>
    <x v="1"/>
    <x v="1"/>
    <x v="6"/>
    <x v="6"/>
    <s v="05-Servicio de capacitaciones en gestión del riesgo de incendios  a la ciudadania."/>
    <x v="7"/>
    <s v="Servicio prevención y control de incendios"/>
    <s v="035_Servicio prevención y control de incendios"/>
    <s v="05-Servicio de capacitaciones en gestión del riesgo de incendios  a la ciudadania. 035_Servicio prevención y control de incendios"/>
    <x v="8"/>
    <x v="8"/>
    <x v="0"/>
    <s v="Si Secop "/>
  </r>
  <r>
    <n v="20250265"/>
    <x v="1"/>
    <x v="8"/>
    <s v="William Tovar Segura"/>
    <s v="Prestar servicios de apoyo en las actividades de Programas y Campañas de Prevención para la Subdirección de Gestión del Riesgo._SGR"/>
    <s v="26 - contrato de prestacion de servicios de apoyo a la gestion"/>
    <n v="80111600"/>
    <n v="1"/>
    <n v="11"/>
    <n v="0"/>
    <n v="44000000"/>
    <x v="0"/>
    <s v="9 - contratación directa"/>
    <x v="8"/>
    <x v="0"/>
    <x v="1"/>
    <x v="1"/>
    <x v="6"/>
    <x v="6"/>
    <s v="05-Servicio de capacitaciones en gestión del riesgo de incendios  a la ciudadania."/>
    <x v="7"/>
    <s v="Servicio prevención y control de incendios"/>
    <s v="035_Servicio prevención y control de incendios"/>
    <s v="05-Servicio de capacitaciones en gestión del riesgo de incendios  a la ciudadania. 035_Servicio prevención y control de incendios"/>
    <x v="8"/>
    <x v="8"/>
    <x v="0"/>
    <s v="Si Secop "/>
  </r>
  <r>
    <n v="20250266"/>
    <x v="1"/>
    <x v="8"/>
    <s v="William Tovar Segura"/>
    <s v="Contratar los servicios de recolección, manipulación, almacenamiento temporal, transporte y disposición final (destrucción o devolución) de pólvora, fuegos artificiales, globos y demás artículos pirotécnicos incautados por las autoridades competentes en el Distrito Capital&quot;_SGR."/>
    <s v="11 - orden de prestacion de servicios"/>
    <s v="78121600_x000a_78131800_x000a_92111600_x000a_72141500"/>
    <n v="1"/>
    <n v="12"/>
    <n v="0"/>
    <n v="500000000"/>
    <x v="0"/>
    <s v="02 - selec. abrev. menor cuantía"/>
    <x v="8"/>
    <x v="0"/>
    <x v="1"/>
    <x v="1"/>
    <x v="6"/>
    <x v="6"/>
    <s v="05-Servicio de capacitaciones en gestión del riesgo de incendios  a la ciudadania."/>
    <x v="4"/>
    <s v="Servicio de educación informal"/>
    <s v="002_Servicio de educación informal"/>
    <s v="05-Servicio de capacitaciones en gestión del riesgo de incendios  a la ciudadania. 002_Servicio de educación informal"/>
    <x v="10"/>
    <x v="10"/>
    <x v="0"/>
    <s v="Si Secop "/>
  </r>
  <r>
    <n v="20250267"/>
    <x v="1"/>
    <x v="8"/>
    <s v="William Tovar Segura"/>
    <s v="Prestación de servicios como operador logístico, relacionados con la organización, administración, ejecución y demás acciones logísticas con el fin de promover temáticas que fortalezcan la misionalidad de la entidad a través de la protección de la vida, el medio ambiente y el patrimonio_SGR"/>
    <s v="11 - orden de prestacion de servicios"/>
    <s v="80141900_x000a_90111500_x000a_90111600_x000a_80141600_x000a_80161502"/>
    <n v="1"/>
    <n v="12"/>
    <n v="0"/>
    <n v="107000000"/>
    <x v="0"/>
    <s v="02 - selec. abrev. menor cuantía"/>
    <x v="8"/>
    <x v="0"/>
    <x v="1"/>
    <x v="1"/>
    <x v="7"/>
    <x v="7"/>
    <s v="11-Infraestructura Tecnológica   (Sistemas de Información y Tecnologia)"/>
    <x v="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9"/>
    <x v="9"/>
    <x v="0"/>
    <s v="Si Secop "/>
  </r>
  <r>
    <n v="20250268"/>
    <x v="1"/>
    <x v="8"/>
    <s v="William Tovar Segura"/>
    <s v="Adquisición de elementos de identificación institucional para el programa de Bomberitos_SGR."/>
    <s v="08 - contrato de suministro"/>
    <s v="60141000_x000a_60141100_x000a_60141200_x000a_60141400_x000a_73101500_x000a_73151500"/>
    <n v="1"/>
    <n v="3"/>
    <n v="0"/>
    <n v="50000000"/>
    <x v="0"/>
    <s v="04 - contratación mínima cuantía"/>
    <x v="10"/>
    <x v="0"/>
    <x v="1"/>
    <x v="1"/>
    <x v="7"/>
    <x v="7"/>
    <s v="11-Infraestructura Tecnológica   (Sistemas de Información y Tecnologia)"/>
    <x v="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9"/>
    <x v="9"/>
    <x v="0"/>
    <s v="Si Secop "/>
  </r>
  <r>
    <n v="20250269"/>
    <x v="1"/>
    <x v="8"/>
    <s v="William Tovar Segura"/>
    <s v="Prestar servicios profesionales para la gestión de la SGR, en su compomente técnico, administrativo y análisis financiero._SGR."/>
    <s v="25 - contrato de prestacion de servicios profesionales"/>
    <n v="80111600"/>
    <n v="1"/>
    <n v="11"/>
    <n v="0"/>
    <n v="66000000"/>
    <x v="0"/>
    <s v="9 - contratación directa"/>
    <x v="8"/>
    <x v="0"/>
    <x v="1"/>
    <x v="1"/>
    <x v="6"/>
    <x v="6"/>
    <s v="05-Servicio de capacitaciones en gestión del riesgo de incendios  a la ciudadania."/>
    <x v="4"/>
    <s v="Servicio de educación informal"/>
    <s v="002_Servicio de educación informal"/>
    <s v="05-Servicio de capacitaciones en gestión del riesgo de incendios  a la ciudadania. 002_Servicio de educación informal"/>
    <x v="10"/>
    <x v="10"/>
    <x v="0"/>
    <s v="Si Secop "/>
  </r>
  <r>
    <n v="20250270"/>
    <x v="1"/>
    <x v="8"/>
    <s v="William Tovar Segura"/>
    <s v="Prestar sus servicios profesionales en las actividades relacionadas con la emision de conceptos a cargo de la Subdirección de Gestión del Riesgo._SGR"/>
    <s v="25 - contrato de prestacion de servicios profesionales"/>
    <n v="80111600"/>
    <n v="1"/>
    <n v="11"/>
    <n v="0"/>
    <n v="77000000"/>
    <x v="0"/>
    <s v="9 - contratación directa"/>
    <x v="8"/>
    <x v="0"/>
    <x v="1"/>
    <x v="1"/>
    <x v="7"/>
    <x v="7"/>
    <s v="11-Infraestructura Tecnológica   (Sistemas de Información y Tecnologia)"/>
    <x v="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9"/>
    <x v="9"/>
    <x v="0"/>
    <s v="Si Secop "/>
  </r>
  <r>
    <n v="20250271"/>
    <x v="1"/>
    <x v="8"/>
    <s v="William Tovar Segura"/>
    <s v="Prestar sus servicios de apoyo tecnico para realizar las inspecciones relacionadas con la emision de conceptos a cargo de la Subdirección de Gestión del Riesgo._SGR"/>
    <s v="26 - contrato de prestacion de servicios de apoyo a la gestion"/>
    <n v="80111600"/>
    <n v="1"/>
    <n v="11"/>
    <n v="0"/>
    <n v="77000000"/>
    <x v="0"/>
    <s v="9 - contratación directa"/>
    <x v="8"/>
    <x v="0"/>
    <x v="1"/>
    <x v="1"/>
    <x v="8"/>
    <x v="8"/>
    <s v="06-Servicio de inspecciones técnicas realizadas"/>
    <x v="7"/>
    <s v="Servicio prevención y control de incendios"/>
    <s v="035_Servicio prevención y control de incendios"/>
    <s v="06-Servicio de inspecciones técnicas realizadas 035_Servicio prevención y control de incendios"/>
    <x v="11"/>
    <x v="11"/>
    <x v="0"/>
    <s v="Si Secop "/>
  </r>
  <r>
    <n v="20250272"/>
    <x v="1"/>
    <x v="8"/>
    <s v="William Tovar Segura"/>
    <s v="Prestar sus servicios profesionales en las actividades relacionadas con la emision de conceptos a cargo de la Subdirección de Gestión del Riesgo._SGR"/>
    <s v="25 - contrato de prestacion de servicios profesionales"/>
    <n v="80111600"/>
    <n v="1"/>
    <n v="11"/>
    <n v="0"/>
    <n v="77000000"/>
    <x v="0"/>
    <s v="9 - contratación directa"/>
    <x v="8"/>
    <x v="0"/>
    <x v="1"/>
    <x v="1"/>
    <x v="7"/>
    <x v="7"/>
    <s v="11-Infraestructura Tecnológica   (Sistemas de Información y Tecnologia)"/>
    <x v="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9"/>
    <x v="9"/>
    <x v="0"/>
    <s v="Si Secop "/>
  </r>
  <r>
    <n v="20250273"/>
    <x v="1"/>
    <x v="8"/>
    <s v="William Tovar Segura"/>
    <s v="Prestar sus servicios profesionales en las actividades relacionadas con la emision de conceptos a cargo de la Subdirección de Gestión del Riesgo._SGR"/>
    <s v="25 - contrato de prestacion de servicios profesionales"/>
    <n v="80111600"/>
    <n v="1"/>
    <n v="11"/>
    <n v="0"/>
    <n v="77000000"/>
    <x v="0"/>
    <s v="9 - contratación directa"/>
    <x v="8"/>
    <x v="0"/>
    <x v="1"/>
    <x v="1"/>
    <x v="7"/>
    <x v="7"/>
    <s v="11-Infraestructura Tecnológica   (Sistemas de Información y Tecnologia)"/>
    <x v="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9"/>
    <x v="9"/>
    <x v="0"/>
    <s v="Si Secop "/>
  </r>
  <r>
    <n v="20250274"/>
    <x v="1"/>
    <x v="8"/>
    <s v="William Tovar Segura"/>
    <s v="Prestar sus servicios profesionales en las actividades relacionadas con la emision de conceptos a cargo de la Subdirección de Gestión del Riesgo._SGR"/>
    <s v="25 - contrato de prestacion de servicios profesionales"/>
    <n v="80111600"/>
    <n v="1"/>
    <n v="11"/>
    <n v="0"/>
    <n v="77000000"/>
    <x v="0"/>
    <s v="9 - contratación directa"/>
    <x v="8"/>
    <x v="0"/>
    <x v="1"/>
    <x v="1"/>
    <x v="7"/>
    <x v="7"/>
    <s v="11-Infraestructura Tecnológica   (Sistemas de Información y Tecnologia)"/>
    <x v="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9"/>
    <x v="9"/>
    <x v="0"/>
    <s v="Si Secop "/>
  </r>
  <r>
    <n v="20250275"/>
    <x v="1"/>
    <x v="8"/>
    <s v="William Tovar Segura"/>
    <s v="Prestar sus servicios de apoyo tecnico para realizar las inspecciones relacionadas con la emision de conceptos a cargo de la Subdirección de Gestión del Riesgo._SGR"/>
    <s v="26 - contrato de prestacion de servicios de apoyo a la gestion"/>
    <n v="80111600"/>
    <n v="1"/>
    <n v="11"/>
    <n v="0"/>
    <n v="44000000"/>
    <x v="0"/>
    <s v="9 - contratación directa"/>
    <x v="8"/>
    <x v="0"/>
    <x v="1"/>
    <x v="1"/>
    <x v="8"/>
    <x v="8"/>
    <s v="06-Servicio de inspecciones técnicas realizadas"/>
    <x v="7"/>
    <s v="Servicio prevención y control de incendios"/>
    <s v="035_Servicio prevención y control de incendios"/>
    <s v="06-Servicio de inspecciones técnicas realizadas 035_Servicio prevención y control de incendios"/>
    <x v="11"/>
    <x v="11"/>
    <x v="0"/>
    <s v="Si Secop "/>
  </r>
  <r>
    <n v="20250276"/>
    <x v="1"/>
    <x v="8"/>
    <s v="William Tovar Segura"/>
    <s v="Prestar sus servicios de apoyo tecnico para realizar las inspecciones relacionadas con la emision de conceptos a cargo de la Subdirección de Gestión del Riesgo._SGR"/>
    <s v="26 - contrato de prestacion de servicios de apoyo a la gestion"/>
    <n v="80111600"/>
    <n v="1"/>
    <n v="11"/>
    <n v="0"/>
    <n v="44000000"/>
    <x v="0"/>
    <s v="9 - contratación directa"/>
    <x v="8"/>
    <x v="0"/>
    <x v="1"/>
    <x v="1"/>
    <x v="8"/>
    <x v="8"/>
    <s v="06-Servicio de inspecciones técnicas realizadas"/>
    <x v="7"/>
    <s v="Servicio prevención y control de incendios"/>
    <s v="035_Servicio prevención y control de incendios"/>
    <s v="06-Servicio de inspecciones técnicas realizadas 035_Servicio prevención y control de incendios"/>
    <x v="11"/>
    <x v="11"/>
    <x v="0"/>
    <s v="Si Secop "/>
  </r>
  <r>
    <n v="20250277"/>
    <x v="1"/>
    <x v="8"/>
    <s v="William Tovar Segura"/>
    <s v="Prestar sus servicios de apoyo tecnico para realizar las inspecciones relacionadas con la emision de conceptos a cargo de la Subdirección de Gestión del Riesgo._SGR"/>
    <s v="26 - contrato de prestacion de servicios de apoyo a la gestion"/>
    <n v="80111600"/>
    <n v="1"/>
    <n v="11"/>
    <n v="0"/>
    <n v="44000000"/>
    <x v="0"/>
    <s v="9 - contratación directa"/>
    <x v="8"/>
    <x v="0"/>
    <x v="1"/>
    <x v="1"/>
    <x v="8"/>
    <x v="8"/>
    <s v="06-Servicio de inspecciones técnicas realizadas"/>
    <x v="7"/>
    <s v="Servicio prevención y control de incendios"/>
    <s v="035_Servicio prevención y control de incendios"/>
    <s v="06-Servicio de inspecciones técnicas realizadas 035_Servicio prevención y control de incendios"/>
    <x v="11"/>
    <x v="11"/>
    <x v="0"/>
    <s v="Si Secop "/>
  </r>
  <r>
    <n v="20250278"/>
    <x v="1"/>
    <x v="8"/>
    <s v="William Tovar Segura"/>
    <s v="Prestar sus servicios de apoyo tecnico para realizar las inspecciones relacionadas con la emision de conceptos a cargo de la Subdirección de Gestión del Riesgo._SGR"/>
    <s v="26 - contrato de prestacion de servicios de apoyo a la gestion"/>
    <n v="80111600"/>
    <n v="1"/>
    <n v="11"/>
    <n v="0"/>
    <n v="44000000"/>
    <x v="0"/>
    <s v="9 - contratación directa"/>
    <x v="8"/>
    <x v="0"/>
    <x v="1"/>
    <x v="1"/>
    <x v="8"/>
    <x v="8"/>
    <s v="06-Servicio de inspecciones técnicas realizadas"/>
    <x v="7"/>
    <s v="Servicio prevención y control de incendios"/>
    <s v="035_Servicio prevención y control de incendios"/>
    <s v="06-Servicio de inspecciones técnicas realizadas 035_Servicio prevención y control de incendios"/>
    <x v="11"/>
    <x v="11"/>
    <x v="0"/>
    <s v="Si Secop "/>
  </r>
  <r>
    <n v="20250279"/>
    <x v="1"/>
    <x v="8"/>
    <s v="William Tovar Segura"/>
    <s v="Prestar sus servicios de apoyo tecnico para realizar las inspecciones relacionadas con la emision de conceptos a cargo de la Subdirección de Gestión del Riesgo._SGR"/>
    <s v="26 - contrato de prestacion de servicios de apoyo a la gestion"/>
    <n v="80111600"/>
    <n v="1"/>
    <n v="11"/>
    <n v="0"/>
    <n v="44000000"/>
    <x v="0"/>
    <s v="9 - contratación directa"/>
    <x v="8"/>
    <x v="0"/>
    <x v="1"/>
    <x v="1"/>
    <x v="8"/>
    <x v="8"/>
    <s v="06-Servicio de inspecciones técnicas realizadas"/>
    <x v="7"/>
    <s v="Servicio prevención y control de incendios"/>
    <s v="035_Servicio prevención y control de incendios"/>
    <s v="06-Servicio de inspecciones técnicas realizadas 035_Servicio prevención y control de incendios"/>
    <x v="11"/>
    <x v="11"/>
    <x v="0"/>
    <s v="Si Secop "/>
  </r>
  <r>
    <n v="20250280"/>
    <x v="1"/>
    <x v="8"/>
    <s v="William Tovar Segura"/>
    <s v="Prestar sus servicios de apoyo tecnico para realizar las inspecciones relacionadas con la emision de conceptos a cargo de la Subdirección de Gestión del Riesgo._SGR"/>
    <s v="26 - contrato de prestacion de servicios de apoyo a la gestion"/>
    <n v="80111600"/>
    <n v="1"/>
    <n v="11"/>
    <n v="0"/>
    <n v="44000000"/>
    <x v="0"/>
    <s v="9 - contratación directa"/>
    <x v="8"/>
    <x v="0"/>
    <x v="1"/>
    <x v="1"/>
    <x v="8"/>
    <x v="8"/>
    <s v="06-Servicio de inspecciones técnicas realizadas"/>
    <x v="7"/>
    <s v="Servicio prevención y control de incendios"/>
    <s v="035_Servicio prevención y control de incendios"/>
    <s v="06-Servicio de inspecciones técnicas realizadas 035_Servicio prevención y control de incendios"/>
    <x v="11"/>
    <x v="11"/>
    <x v="0"/>
    <s v="Si Secop "/>
  </r>
  <r>
    <n v="20250281"/>
    <x v="1"/>
    <x v="8"/>
    <s v="William Tovar Segura"/>
    <s v="Prestar sus servicios de apoyo tecnico para realizar las inspecciones relacionadas con la emision de conceptos a cargo de la Subdirección de Gestión del Riesgo._SGR"/>
    <s v="26 - contrato de prestacion de servicios de apoyo a la gestion"/>
    <n v="80111600"/>
    <n v="1"/>
    <n v="11"/>
    <n v="0"/>
    <n v="44000000"/>
    <x v="0"/>
    <s v="9 - contratación directa"/>
    <x v="8"/>
    <x v="0"/>
    <x v="1"/>
    <x v="1"/>
    <x v="8"/>
    <x v="8"/>
    <s v="06-Servicio de inspecciones técnicas realizadas"/>
    <x v="7"/>
    <s v="Servicio prevención y control de incendios"/>
    <s v="035_Servicio prevención y control de incendios"/>
    <s v="06-Servicio de inspecciones técnicas realizadas 035_Servicio prevención y control de incendios"/>
    <x v="11"/>
    <x v="11"/>
    <x v="0"/>
    <s v="Si Secop "/>
  </r>
  <r>
    <n v="20250282"/>
    <x v="1"/>
    <x v="8"/>
    <s v="William Tovar Segura"/>
    <s v="Prestar sus servicios de apoyo tecnico para realizar las inspecciones relacionadas con la emision de conceptos a cargo de la Subdirección de Gestión del Riesgo._SGR"/>
    <s v="26 - contrato de prestacion de servicios de apoyo a la gestion"/>
    <n v="80111600"/>
    <n v="1"/>
    <n v="11"/>
    <n v="0"/>
    <n v="44000000"/>
    <x v="0"/>
    <s v="9 - contratación directa"/>
    <x v="8"/>
    <x v="0"/>
    <x v="1"/>
    <x v="1"/>
    <x v="8"/>
    <x v="8"/>
    <s v="06-Servicio de inspecciones técnicas realizadas"/>
    <x v="7"/>
    <s v="Servicio prevención y control de incendios"/>
    <s v="035_Servicio prevención y control de incendios"/>
    <s v="06-Servicio de inspecciones técnicas realizadas 035_Servicio prevención y control de incendios"/>
    <x v="11"/>
    <x v="11"/>
    <x v="0"/>
    <s v="Si Secop "/>
  </r>
  <r>
    <n v="20250283"/>
    <x v="1"/>
    <x v="8"/>
    <s v="William Tovar Segura"/>
    <s v="Prestar sus servicios de apoyo tecnico para realizar las inspecciones relacionadas con la emision de conceptos a cargo de la Subdirección de Gestión del Riesgo._SGR"/>
    <s v="26 - contrato de prestacion de servicios de apoyo a la gestion"/>
    <n v="80111600"/>
    <n v="1"/>
    <n v="11"/>
    <n v="0"/>
    <n v="44000000"/>
    <x v="0"/>
    <s v="9 - contratación directa"/>
    <x v="8"/>
    <x v="0"/>
    <x v="1"/>
    <x v="1"/>
    <x v="8"/>
    <x v="8"/>
    <s v="06-Servicio de inspecciones técnicas realizadas"/>
    <x v="7"/>
    <s v="Servicio prevención y control de incendios"/>
    <s v="035_Servicio prevención y control de incendios"/>
    <s v="06-Servicio de inspecciones técnicas realizadas 035_Servicio prevención y control de incendios"/>
    <x v="11"/>
    <x v="11"/>
    <x v="0"/>
    <s v="Si Secop "/>
  </r>
  <r>
    <n v="20250284"/>
    <x v="1"/>
    <x v="8"/>
    <s v="William Tovar Segura"/>
    <s v="Prestar sus servicios de apoyo tecnico para realizar las inspecciones relacionadas con la emision de conceptos a cargo de la Subdirección de Gestión del Riesgo._SGR"/>
    <s v="26 - contrato de prestacion de servicios de apoyo a la gestion"/>
    <n v="80111600"/>
    <n v="1"/>
    <n v="11"/>
    <n v="0"/>
    <n v="44000000"/>
    <x v="0"/>
    <s v="9 - contratación directa"/>
    <x v="8"/>
    <x v="0"/>
    <x v="1"/>
    <x v="1"/>
    <x v="8"/>
    <x v="8"/>
    <s v="06-Servicio de inspecciones técnicas realizadas"/>
    <x v="7"/>
    <s v="Servicio prevención y control de incendios"/>
    <s v="035_Servicio prevención y control de incendios"/>
    <s v="06-Servicio de inspecciones técnicas realizadas 035_Servicio prevención y control de incendios"/>
    <x v="11"/>
    <x v="11"/>
    <x v="0"/>
    <s v="Si Secop "/>
  </r>
  <r>
    <n v="20250285"/>
    <x v="1"/>
    <x v="8"/>
    <s v="William Tovar Segura"/>
    <s v="Prestar sus servicios de apoyo tecnico para realizar las inspecciones relacionadas con la emision de conceptos a cargo de la Subdirección de Gestión del Riesgo._SGR"/>
    <s v="26 - contrato de prestacion de servicios de apoyo a la gestion"/>
    <n v="80111600"/>
    <n v="1"/>
    <n v="11"/>
    <n v="0"/>
    <n v="44000000"/>
    <x v="0"/>
    <s v="9 - contratación directa"/>
    <x v="8"/>
    <x v="0"/>
    <x v="1"/>
    <x v="1"/>
    <x v="8"/>
    <x v="8"/>
    <s v="06-Servicio de inspecciones técnicas realizadas"/>
    <x v="7"/>
    <s v="Servicio prevención y control de incendios"/>
    <s v="035_Servicio prevención y control de incendios"/>
    <s v="06-Servicio de inspecciones técnicas realizadas 035_Servicio prevención y control de incendios"/>
    <x v="11"/>
    <x v="11"/>
    <x v="0"/>
    <s v="Si Secop "/>
  </r>
  <r>
    <n v="20250286"/>
    <x v="1"/>
    <x v="8"/>
    <s v="William Tovar Segura"/>
    <s v="Prestar sus servicios de apoyo tecnico para realizar las inspecciones relacionadas con la emision de conceptos a cargo de la Subdirección de Gestión del Riesgo._SGR"/>
    <s v="26 - contrato de prestacion de servicios de apoyo a la gestion"/>
    <n v="80111600"/>
    <n v="1"/>
    <n v="11"/>
    <n v="0"/>
    <n v="44000000"/>
    <x v="0"/>
    <s v="9 - contratación directa"/>
    <x v="8"/>
    <x v="0"/>
    <x v="1"/>
    <x v="1"/>
    <x v="8"/>
    <x v="8"/>
    <s v="06-Servicio de inspecciones técnicas realizadas"/>
    <x v="7"/>
    <s v="Servicio prevención y control de incendios"/>
    <s v="035_Servicio prevención y control de incendios"/>
    <s v="06-Servicio de inspecciones técnicas realizadas 035_Servicio prevención y control de incendios"/>
    <x v="11"/>
    <x v="11"/>
    <x v="0"/>
    <s v="Si Secop "/>
  </r>
  <r>
    <n v="20250287"/>
    <x v="1"/>
    <x v="8"/>
    <s v="William Tovar Segura"/>
    <s v="Prestar sus servicios profesionales en los procesos de formacion y capacitacion de la Subdirección de Gestión del Riesgo para las acciones derivadas de la plataforma virtual._SGR"/>
    <s v="25 - contrato de prestacion de servicios profesionales"/>
    <n v="80111600"/>
    <n v="1"/>
    <n v="11"/>
    <n v="0"/>
    <n v="77000000"/>
    <x v="0"/>
    <s v="9 - contratación directa"/>
    <x v="8"/>
    <x v="0"/>
    <x v="1"/>
    <x v="1"/>
    <x v="6"/>
    <x v="6"/>
    <s v="05-Servicio de capacitaciones en gestión del riesgo de incendios  a la ciudadania."/>
    <x v="7"/>
    <s v="Servicio prevención y control de incendios"/>
    <s v="035_Servicio prevención y control de incendios"/>
    <s v="05-Servicio de capacitaciones en gestión del riesgo de incendios  a la ciudadania. 035_Servicio prevención y control de incendios"/>
    <x v="8"/>
    <x v="8"/>
    <x v="0"/>
    <s v="Si Secop "/>
  </r>
  <r>
    <n v="20250288"/>
    <x v="1"/>
    <x v="8"/>
    <s v="William Tovar Segura"/>
    <s v="Prestar servicios profesionales en los procesos de formacion y capacitacion de la subdirección de gestión del riesgo._SGR"/>
    <s v="25 - contrato de prestacion de servicios profesionales"/>
    <n v="80111600"/>
    <n v="1"/>
    <n v="10"/>
    <n v="0"/>
    <n v="90000000"/>
    <x v="0"/>
    <s v="9 - contratación directa"/>
    <x v="8"/>
    <x v="0"/>
    <x v="1"/>
    <x v="1"/>
    <x v="6"/>
    <x v="6"/>
    <s v="05-Servicio de capacitaciones en gestión del riesgo de incendios  a la ciudadania."/>
    <x v="7"/>
    <s v="Servicio prevención y control de incendios"/>
    <s v="035_Servicio prevención y control de incendios"/>
    <s v="05-Servicio de capacitaciones en gestión del riesgo de incendios  a la ciudadania. 035_Servicio prevención y control de incendios"/>
    <x v="8"/>
    <x v="8"/>
    <x v="0"/>
    <s v="Si Secop "/>
  </r>
  <r>
    <n v="20250289"/>
    <x v="1"/>
    <x v="8"/>
    <s v="William Tovar Segura"/>
    <s v="Prestar servicios profesionales en los procesos de formacion y capacitacion de la subdirección de gestión del riesgo._SGR"/>
    <s v="25 - contrato de prestacion de servicios profesionales"/>
    <n v="80111600"/>
    <n v="1"/>
    <n v="11"/>
    <n v="0"/>
    <n v="44000000"/>
    <x v="0"/>
    <s v="9 - contratación directa"/>
    <x v="8"/>
    <x v="0"/>
    <x v="1"/>
    <x v="1"/>
    <x v="6"/>
    <x v="6"/>
    <s v="05-Servicio de capacitaciones en gestión del riesgo de incendios  a la ciudadania."/>
    <x v="7"/>
    <s v="Servicio prevención y control de incendios"/>
    <s v="035_Servicio prevención y control de incendios"/>
    <s v="05-Servicio de capacitaciones en gestión del riesgo de incendios  a la ciudadania. 035_Servicio prevención y control de incendios"/>
    <x v="8"/>
    <x v="8"/>
    <x v="0"/>
    <s v="Si Secop "/>
  </r>
  <r>
    <n v="20250290"/>
    <x v="1"/>
    <x v="8"/>
    <s v="William Tovar Segura"/>
    <s v="Prestar servicios profesionales para las actividades de aglomeraciones de público y Eventos con Pirotecnia  desarrollados en el Distrito._SGR"/>
    <s v="25 - contrato de prestacion de servicios profesionales"/>
    <n v="80111600"/>
    <n v="1"/>
    <n v="11"/>
    <n v="0"/>
    <n v="77000000"/>
    <x v="0"/>
    <s v="9 - contratación directa"/>
    <x v="8"/>
    <x v="0"/>
    <x v="1"/>
    <x v="1"/>
    <x v="8"/>
    <x v="8"/>
    <s v="06-Servicio de inspecciones técnicas realizadas"/>
    <x v="7"/>
    <s v="Servicio prevención y control de incendios"/>
    <s v="035_Servicio prevención y control de incendios"/>
    <s v="06-Servicio de inspecciones técnicas realizadas 035_Servicio prevención y control de incendios"/>
    <x v="11"/>
    <x v="11"/>
    <x v="0"/>
    <s v="Si Secop "/>
  </r>
  <r>
    <n v="20250291"/>
    <x v="1"/>
    <x v="8"/>
    <s v="William Tovar Segura"/>
    <s v="Prestar servicios profesionales para las actividades de aglomeraciones de público y Eventos con Pirotecnia  desarrollados en el Distrito._SGR"/>
    <s v="25 - contrato de prestacion de servicios profesionales"/>
    <n v="80111600"/>
    <n v="1"/>
    <n v="10"/>
    <n v="0"/>
    <n v="70000000"/>
    <x v="0"/>
    <s v="9 - contratación directa"/>
    <x v="8"/>
    <x v="0"/>
    <x v="1"/>
    <x v="1"/>
    <x v="8"/>
    <x v="8"/>
    <s v="06-Servicio de inspecciones técnicas realizadas"/>
    <x v="7"/>
    <s v="Servicio prevención y control de incendios"/>
    <s v="035_Servicio prevención y control de incendios"/>
    <s v="06-Servicio de inspecciones técnicas realizadas 035_Servicio prevención y control de incendios"/>
    <x v="11"/>
    <x v="11"/>
    <x v="0"/>
    <s v="Si Secop "/>
  </r>
  <r>
    <n v="20250292"/>
    <x v="1"/>
    <x v="8"/>
    <s v="William Tovar Segura"/>
    <s v="Apoyar las actividades de la Subdirección de Gestión del riesgo relacionadas con las aglomeraciones de público  y Eventos con Pirotecnia  desarrollados en el Distrito._SGR"/>
    <s v="26 - contrato de prestacion de servicios de apoyo a la gestion"/>
    <n v="80111600"/>
    <n v="1"/>
    <n v="11"/>
    <n v="0"/>
    <n v="44000000"/>
    <x v="0"/>
    <s v="9 - contratación directa"/>
    <x v="8"/>
    <x v="0"/>
    <x v="1"/>
    <x v="1"/>
    <x v="8"/>
    <x v="8"/>
    <s v="06-Servicio de inspecciones técnicas realizadas"/>
    <x v="7"/>
    <s v="Servicio prevención y control de incendios"/>
    <s v="035_Servicio prevención y control de incendios"/>
    <s v="06-Servicio de inspecciones técnicas realizadas 035_Servicio prevención y control de incendios"/>
    <x v="11"/>
    <x v="11"/>
    <x v="0"/>
    <s v="Si Secop "/>
  </r>
  <r>
    <n v="20250293"/>
    <x v="1"/>
    <x v="9"/>
    <s v="Mauricio Ayála Vásquez"/>
    <s v="prestación de servicios como apoyo para gestionar y ejecutar las actividades que dan soporte al proceso de comunicaciones en emergencias, del centro de coordinación y comunicaciones (c.c.c.) a cargo de la subdirección operativa. s.o."/>
    <s v="26 - contrato de prestacion de servicios de apoyo a la gestion"/>
    <n v="80111600"/>
    <n v="2"/>
    <n v="10"/>
    <n v="15"/>
    <n v="29767500"/>
    <x v="0"/>
    <s v="09 - contratación directa"/>
    <x v="11"/>
    <x v="0"/>
    <x v="1"/>
    <x v="1"/>
    <x v="9"/>
    <x v="9"/>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294"/>
    <x v="1"/>
    <x v="9"/>
    <s v="Mauricio Ayála Vásquez"/>
    <s v="prestación de servicios como apoyo para gestionar y ejecutar las actividades que dan soporte al proceso de comunicaciones en emergencias, del centro de coordinación y comunicaciones (c.c.c.) a cargo de la subdirección operativa. s.o."/>
    <s v="26 - contrato de prestacion de servicios de apoyo a la gestion"/>
    <n v="80111600"/>
    <n v="2"/>
    <n v="10"/>
    <n v="15"/>
    <n v="29767500"/>
    <x v="0"/>
    <s v="09 - contratación directa"/>
    <x v="11"/>
    <x v="0"/>
    <x v="1"/>
    <x v="1"/>
    <x v="9"/>
    <x v="9"/>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295"/>
    <x v="1"/>
    <x v="9"/>
    <s v="Mauricio Ayála Vásquez"/>
    <s v="prestación de servicios como apoyo para gestionar y ejecutar las actividades que dan soporte al proceso de comunicaciones en emergencias, del centro de coordinación y comunicaciones (c.c.c.) a cargo de la subdirección operativa. s.o."/>
    <s v="26 - contrato de prestacion de servicios de apoyo a la gestion"/>
    <n v="80111600"/>
    <n v="2"/>
    <n v="10"/>
    <n v="15"/>
    <n v="29767500"/>
    <x v="0"/>
    <s v="09 - contratación directa"/>
    <x v="11"/>
    <x v="0"/>
    <x v="1"/>
    <x v="1"/>
    <x v="9"/>
    <x v="9"/>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296"/>
    <x v="1"/>
    <x v="9"/>
    <s v="Mauricio Ayála Vásquez"/>
    <s v="prestación de servicios como apoyo para gestionar y ejecutar las actividades que dan soporte al proceso de comunicaciones en emergencias, del centro de coordinación y comunicaciones (c.c.c.) a cargo de la subdirección operativa. s.o."/>
    <s v="26 - contrato de prestacion de servicios de apoyo a la gestion"/>
    <n v="80111600"/>
    <n v="2"/>
    <n v="10"/>
    <n v="15"/>
    <n v="29767500"/>
    <x v="0"/>
    <s v="09 - contratación directa"/>
    <x v="11"/>
    <x v="0"/>
    <x v="1"/>
    <x v="1"/>
    <x v="9"/>
    <x v="9"/>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297"/>
    <x v="1"/>
    <x v="9"/>
    <s v="Mauricio Ayála Vásquez"/>
    <s v="prestación de servicios como apoyo para gestionar y ejecutar las actividades que dan soporte al proceso de comunicaciones en emergencias, del centro de coordinación y comunicaciones (c.c.c.) a cargo de la subdirección operativa. s.o."/>
    <s v="26 - contrato de prestacion de servicios de apoyo a la gestion"/>
    <n v="80111600"/>
    <n v="3"/>
    <n v="10"/>
    <n v="0"/>
    <n v="28350000"/>
    <x v="0"/>
    <s v="09 - contratación directa"/>
    <x v="11"/>
    <x v="0"/>
    <x v="1"/>
    <x v="1"/>
    <x v="9"/>
    <x v="9"/>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298"/>
    <x v="1"/>
    <x v="9"/>
    <s v="Mauricio Ayála Vásquez"/>
    <s v="prestación de servicios como apoyo para gestionar y ejecutar las actividades que dan soporte al proceso de comunicaciones en emergencias, del centro de coordinación y comunicaciones (c.c.c.) a cargo de la subdirección operativa. s.o."/>
    <s v="26 - contrato de prestacion de servicios de apoyo a la gestion"/>
    <n v="80111600"/>
    <n v="3"/>
    <n v="10"/>
    <n v="0"/>
    <n v="28350000"/>
    <x v="0"/>
    <s v="09 - contratación directa"/>
    <x v="11"/>
    <x v="0"/>
    <x v="1"/>
    <x v="1"/>
    <x v="9"/>
    <x v="9"/>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299"/>
    <x v="1"/>
    <x v="9"/>
    <s v="Mauricio Ayála Vásquez"/>
    <s v="prestación de servicios como apoyo para gestionar y ejecutar las actividades que dan soporte al proceso de comunicaciones en emergencias, del centro de coordinación y comunicaciones (c.c.c.) a cargo de la subdirección operativa. s.o."/>
    <s v="26 - contrato de prestacion de servicios de apoyo a la gestion"/>
    <n v="80111600"/>
    <n v="3"/>
    <n v="10"/>
    <n v="0"/>
    <n v="28350000"/>
    <x v="0"/>
    <s v="09 - contratación directa"/>
    <x v="11"/>
    <x v="0"/>
    <x v="1"/>
    <x v="1"/>
    <x v="9"/>
    <x v="9"/>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300"/>
    <x v="1"/>
    <x v="9"/>
    <s v="Mauricio Ayála Vásquez"/>
    <s v="prestación de servicios para dar el apoyo y realizar  la gestión administrativa requerida  en la estación de bomberos asignada y a cargo de la subdirección operativa  s.o."/>
    <s v="26 - contrato de prestacion de servicios de apoyo a la gestion"/>
    <n v="80111600"/>
    <n v="2"/>
    <n v="11"/>
    <n v="0"/>
    <n v="26565000"/>
    <x v="0"/>
    <s v="09 - contratación directa"/>
    <x v="11"/>
    <x v="0"/>
    <x v="1"/>
    <x v="1"/>
    <x v="9"/>
    <x v="9"/>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301"/>
    <x v="1"/>
    <x v="9"/>
    <s v="Mauricio Ayála Vásquez"/>
    <s v="prestación de servicios para dar el apoyo y realizar  la gestión administrativa requerida  en la estación de bomberos asignada y a cargo de la subdirección operativa  s.o."/>
    <s v="26 - contrato de prestacion de servicios de apoyo a la gestion"/>
    <n v="80111600"/>
    <n v="2"/>
    <n v="11"/>
    <n v="0"/>
    <n v="26565000"/>
    <x v="0"/>
    <s v="09 - contratación directa"/>
    <x v="11"/>
    <x v="0"/>
    <x v="1"/>
    <x v="1"/>
    <x v="9"/>
    <x v="9"/>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302"/>
    <x v="1"/>
    <x v="9"/>
    <s v="Mauricio Ayála Vásquez"/>
    <s v="prestación de servicios para dar el apoyo y realizar  la gestión administrativa requerida  en la estación de bomberos asignada y a cargo de la subdirección operativa  s.o."/>
    <s v="26 - contrato de prestacion de servicios de apoyo a la gestion"/>
    <n v="80111600"/>
    <n v="2"/>
    <n v="11"/>
    <n v="0"/>
    <n v="26565000"/>
    <x v="0"/>
    <s v="09 - contratación directa"/>
    <x v="11"/>
    <x v="0"/>
    <x v="1"/>
    <x v="1"/>
    <x v="9"/>
    <x v="9"/>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303"/>
    <x v="1"/>
    <x v="9"/>
    <s v="Mauricio Ayála Vásquez"/>
    <s v="prestación de servicios para dar el apoyo y realizar  la gestión administrativa requerida  en la estación de bomberos asignada y a cargo de la subdirección operativa  s.o."/>
    <s v="26 - contrato de prestacion de servicios de apoyo a la gestion"/>
    <n v="80111600"/>
    <n v="2"/>
    <n v="11"/>
    <n v="0"/>
    <n v="26565000"/>
    <x v="0"/>
    <s v="09 - contratación directa"/>
    <x v="11"/>
    <x v="0"/>
    <x v="1"/>
    <x v="1"/>
    <x v="9"/>
    <x v="9"/>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304"/>
    <x v="1"/>
    <x v="9"/>
    <s v="Mauricio Ayála Vásquez"/>
    <s v="prestación de servicios para dar el apoyo y realizar  la gestión administrativa requerida  en la estación de bomberos asignada y a cargo de la subdirección operativa  s.o."/>
    <s v="26 - contrato de prestacion de servicios de apoyo a la gestion"/>
    <n v="80111600"/>
    <n v="2"/>
    <n v="11"/>
    <n v="0"/>
    <n v="26565000"/>
    <x v="0"/>
    <s v="09 - contratación directa"/>
    <x v="11"/>
    <x v="0"/>
    <x v="1"/>
    <x v="1"/>
    <x v="9"/>
    <x v="9"/>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305"/>
    <x v="1"/>
    <x v="9"/>
    <s v="Mauricio Ayála Vásquez"/>
    <s v="prestación de servicios para dar el apoyo y realizar  la gestión administrativa requerida  en la estación de bomberos asignada y a cargo de la subdirección operativa  s.o."/>
    <s v="26 - contrato de prestacion de servicios de apoyo a la gestion"/>
    <n v="80111600"/>
    <n v="2"/>
    <n v="10"/>
    <n v="15"/>
    <n v="25357500"/>
    <x v="0"/>
    <s v="09 - contratación directa"/>
    <x v="11"/>
    <x v="0"/>
    <x v="1"/>
    <x v="1"/>
    <x v="9"/>
    <x v="9"/>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306"/>
    <x v="1"/>
    <x v="9"/>
    <s v="Mauricio Ayála Vásquez"/>
    <s v="prestación de servicios para dar el apoyo y realizar  la gestión administrativa requerida  en la estación de bomberos asignada y a cargo de la subdirección operativa  s.o."/>
    <s v="26 - contrato de prestacion de servicios de apoyo a la gestion"/>
    <n v="80111600"/>
    <n v="2"/>
    <n v="10"/>
    <n v="15"/>
    <n v="25357500"/>
    <x v="0"/>
    <s v="09 - contratación directa"/>
    <x v="11"/>
    <x v="0"/>
    <x v="1"/>
    <x v="1"/>
    <x v="9"/>
    <x v="9"/>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307"/>
    <x v="1"/>
    <x v="9"/>
    <s v="Mauricio Ayála Vásquez"/>
    <s v="prestación de servicios para dar el apoyo y realizar  la gestión administrativa requerida  en la estación de bomberos asignada y a cargo de la subdirección operativa  s.o."/>
    <s v="26 - contrato de prestacion de servicios de apoyo a la gestion"/>
    <n v="80111600"/>
    <n v="2"/>
    <n v="10"/>
    <n v="15"/>
    <n v="25357500"/>
    <x v="0"/>
    <s v="09 - contratación directa"/>
    <x v="11"/>
    <x v="0"/>
    <x v="1"/>
    <x v="1"/>
    <x v="9"/>
    <x v="9"/>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308"/>
    <x v="1"/>
    <x v="9"/>
    <s v="Mauricio Ayála Vásquez"/>
    <s v="prestación de servicios para dar el apoyo y realizar  la gestión administrativa requerida  en la estación de bomberos asignada y a cargo de la subdirección operativa  s.o."/>
    <s v="26 - contrato de prestacion de servicios de apoyo a la gestion"/>
    <n v="80111600"/>
    <n v="2"/>
    <n v="10"/>
    <n v="15"/>
    <n v="25357500"/>
    <x v="0"/>
    <s v="09 - contratación directa"/>
    <x v="11"/>
    <x v="0"/>
    <x v="1"/>
    <x v="1"/>
    <x v="9"/>
    <x v="9"/>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309"/>
    <x v="1"/>
    <x v="9"/>
    <s v="Mauricio Ayála Vásquez"/>
    <s v="prestación de servicios para dar el apoyo y realizar  la gestión administrativa requerida  en la estación de bomberos asignada y a cargo de la subdirección operativa  s.o."/>
    <s v="26 - contrato de prestacion de servicios de apoyo a la gestion"/>
    <n v="80111600"/>
    <n v="3"/>
    <n v="10"/>
    <n v="0"/>
    <n v="24150000"/>
    <x v="0"/>
    <s v="09 - contratación directa"/>
    <x v="11"/>
    <x v="0"/>
    <x v="1"/>
    <x v="1"/>
    <x v="9"/>
    <x v="9"/>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310"/>
    <x v="1"/>
    <x v="9"/>
    <s v="Mauricio Ayála Vásquez"/>
    <s v="prestación de servicios para dar el apoyo y realizar  la gestión administrativa requerida  en la estación de bomberos asignada y a cargo de la subdirección operativa  s.o."/>
    <s v="26 - contrato de prestacion de servicios de apoyo a la gestion"/>
    <n v="80111600"/>
    <n v="2"/>
    <n v="10"/>
    <n v="15"/>
    <n v="25357500"/>
    <x v="0"/>
    <s v="09 - contratación directa"/>
    <x v="11"/>
    <x v="0"/>
    <x v="1"/>
    <x v="1"/>
    <x v="9"/>
    <x v="9"/>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311"/>
    <x v="1"/>
    <x v="9"/>
    <s v="Mauricio Ayála Vásquez"/>
    <s v="prestación de servicios para dar el apoyo y realizar  la gestión administrativa requerida  en la estación de bomberos asignada y a cargo de la subdirección operativa  s.o."/>
    <s v="26 - contrato de prestacion de servicios de apoyo a la gestion"/>
    <n v="80111600"/>
    <n v="3"/>
    <n v="10"/>
    <n v="0"/>
    <n v="24150000"/>
    <x v="0"/>
    <s v="09 - contratación directa"/>
    <x v="11"/>
    <x v="0"/>
    <x v="1"/>
    <x v="1"/>
    <x v="9"/>
    <x v="9"/>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312"/>
    <x v="1"/>
    <x v="9"/>
    <s v="Mauricio Ayála Vásquez"/>
    <s v="prestación de servicios para dar el apoyo y realizar  la gestión administrativa requerida  en la estación de bomberos asignada y a cargo de la subdirección operativa  s.o."/>
    <s v="26 - contrato de prestacion de servicios de apoyo a la gestion"/>
    <n v="80111600"/>
    <n v="3"/>
    <n v="10"/>
    <n v="0"/>
    <n v="24150000"/>
    <x v="0"/>
    <s v="09 - contratación directa"/>
    <x v="11"/>
    <x v="0"/>
    <x v="1"/>
    <x v="1"/>
    <x v="9"/>
    <x v="9"/>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313"/>
    <x v="1"/>
    <x v="9"/>
    <s v="Mauricio Ayála Vásquez"/>
    <s v="prestación de servicios para dar el apoyo y realizar  la gestión administrativa requerida  en la estación de bomberos asignada y a cargo de la subdirección operativa  s.o."/>
    <s v="26 - contrato de prestacion de servicios de apoyo a la gestion"/>
    <n v="80111600"/>
    <n v="3"/>
    <n v="10"/>
    <n v="0"/>
    <n v="24150000"/>
    <x v="0"/>
    <s v="09 - contratación directa"/>
    <x v="11"/>
    <x v="0"/>
    <x v="1"/>
    <x v="1"/>
    <x v="9"/>
    <x v="9"/>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314"/>
    <x v="1"/>
    <x v="9"/>
    <s v="Mauricio Ayála Vásquez"/>
    <s v="prestación de servicios para dar el apoyo y realizar  la gestión administrativa requerida  en la estación de bomberos asignada y a cargo de la subdirección operativa  s.o."/>
    <s v="26 - contrato de prestacion de servicios de apoyo a la gestion"/>
    <n v="80111600"/>
    <n v="3"/>
    <n v="10"/>
    <n v="0"/>
    <n v="24150000"/>
    <x v="0"/>
    <s v="09 - contratación directa"/>
    <x v="11"/>
    <x v="0"/>
    <x v="1"/>
    <x v="1"/>
    <x v="9"/>
    <x v="9"/>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315"/>
    <x v="1"/>
    <x v="9"/>
    <s v="Mauricio Ayála Vásquez"/>
    <s v="prestación de servicios para dar el apoyo y realizar  la gestión administrativa requerida  en la estación de bomberos asignada y a cargo de la subdirección operativa  s.o."/>
    <s v="26 - contrato de prestacion de servicios de apoyo a la gestion"/>
    <n v="80111600"/>
    <n v="3"/>
    <n v="10"/>
    <n v="0"/>
    <n v="24150000"/>
    <x v="0"/>
    <s v="09 - contratación directa"/>
    <x v="11"/>
    <x v="0"/>
    <x v="1"/>
    <x v="1"/>
    <x v="9"/>
    <x v="9"/>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316"/>
    <x v="1"/>
    <x v="9"/>
    <s v="Mauricio Ayála Vásquez"/>
    <s v="prestación de servicios para dar el apoyo y realizar  la gestión administrativa requerida  en la estación de bomberos asignada y a cargo de la subdirección operativa  s.o."/>
    <s v="26 - contrato de prestacion de servicios de apoyo a la gestion"/>
    <n v="80111600"/>
    <n v="3"/>
    <n v="10"/>
    <m/>
    <n v="24150000"/>
    <x v="0"/>
    <s v="09 - contratación directa"/>
    <x v="11"/>
    <x v="0"/>
    <x v="1"/>
    <x v="1"/>
    <x v="9"/>
    <x v="9"/>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317"/>
    <x v="1"/>
    <x v="9"/>
    <s v="Mauricio Ayála Vásquez"/>
    <s v="prestación de servicios profesionales para atender las actividades y condiciones básicas de bienestar tanto de los animales recuperados y rescatados y de los caninos del programa brae a cargo de la subdirección operativa s.o."/>
    <s v="25 - contrato de prestacion de servicios profesionales"/>
    <n v="80111600"/>
    <n v="2"/>
    <n v="11"/>
    <n v="0"/>
    <n v="58905000"/>
    <x v="0"/>
    <s v="09 - contratación directa"/>
    <x v="11"/>
    <x v="0"/>
    <x v="1"/>
    <x v="1"/>
    <x v="9"/>
    <x v="9"/>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318"/>
    <x v="1"/>
    <x v="9"/>
    <s v="Mauricio Ayála Vásquez"/>
    <s v="prestación de servicios de apoyo para desarrollar y mantener las condiciones básicas de bienestar de los caninos y de  animales rescatados o recuperados que atiende el grupo brae_x000a_ a cargo de la subdirección operativa  s.o."/>
    <s v="26 - contrato de prestacion de servicios de apoyo a la gestion"/>
    <n v="80111600"/>
    <n v="2"/>
    <n v="11"/>
    <n v="0"/>
    <n v="32065000"/>
    <x v="0"/>
    <s v="09 - contratación directa"/>
    <x v="11"/>
    <x v="0"/>
    <x v="1"/>
    <x v="1"/>
    <x v="9"/>
    <x v="9"/>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319"/>
    <x v="1"/>
    <x v="9"/>
    <s v="Mauricio Ayála Vásquez"/>
    <s v="prestación de servicios profesionales para atender las actividades y condiciones básicas de bienestar tanto de los animales recuperados y rescatados y de los caninos del programa brae a cargo de la subdirección operativa s.o."/>
    <s v="25 - contrato de prestacion de servicios profesionales"/>
    <n v="80111600"/>
    <n v="2"/>
    <n v="10"/>
    <n v="15"/>
    <n v="56227500"/>
    <x v="0"/>
    <s v="09 - contratación directa"/>
    <x v="11"/>
    <x v="0"/>
    <x v="1"/>
    <x v="1"/>
    <x v="9"/>
    <x v="9"/>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320"/>
    <x v="1"/>
    <x v="9"/>
    <s v="Mauricio Ayála Vásquez"/>
    <s v="prestación de servicios de apoyo para ejecutar las actividades administrativas, de gestión , trámite, seguimiento y verificación de solicitudes recibidas en el canal de comunicación de gestión operativa. - s.o."/>
    <s v="26 - contrato de prestacion de servicios de apoyo a la gestion"/>
    <n v="80111600"/>
    <n v="2"/>
    <n v="11"/>
    <n v="0"/>
    <n v="31185000"/>
    <x v="0"/>
    <s v="09 - contratación directa"/>
    <x v="11"/>
    <x v="0"/>
    <x v="1"/>
    <x v="1"/>
    <x v="9"/>
    <x v="9"/>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321"/>
    <x v="1"/>
    <x v="9"/>
    <s v="Mauricio Ayála Vásquez"/>
    <s v="prestación de servicios de apoyo para transportar los recursos para el cumplimiento de las funciones y  brindar la atención en los diferentes requerimientos y gestiones a cargo de la dependencia."/>
    <s v="26 - contrato de prestacion de servicios de apoyo a la gestion"/>
    <n v="80111600"/>
    <n v="2"/>
    <n v="11"/>
    <n v="0"/>
    <n v="36590400"/>
    <x v="0"/>
    <s v="09 - contratación directa"/>
    <x v="11"/>
    <x v="0"/>
    <x v="1"/>
    <x v="1"/>
    <x v="9"/>
    <x v="9"/>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322"/>
    <x v="1"/>
    <x v="9"/>
    <s v="Mauricio Ayála Vásquez"/>
    <s v="prestación de servicios profesionales  para generar información de valor e instrumentos de seguimiento y control a partir de los datos asociados a la ejecución  de los procesos, planes y proyectos adelantados en la dependencia. s.o."/>
    <s v="25 - contrato de prestacion de servicios profesionales"/>
    <n v="80111600"/>
    <n v="2"/>
    <n v="10"/>
    <n v="15"/>
    <n v="99225000"/>
    <x v="0"/>
    <s v="09 - contratación directa"/>
    <x v="11"/>
    <x v="0"/>
    <x v="1"/>
    <x v="1"/>
    <x v="9"/>
    <x v="9"/>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323"/>
    <x v="1"/>
    <x v="9"/>
    <s v="Mauricio Ayála Vásquez"/>
    <s v="prestación de servicios profesionales para realizar  la consolidación, seguimiento, control y  reporte de los planes, proyectos y programas de inversión e indicadores a cargo de la subdirección operativa s.o."/>
    <s v="25 - contrato de prestacion de servicios profesionales"/>
    <n v="80111600"/>
    <n v="2"/>
    <n v="11"/>
    <n v="0"/>
    <n v="92400000"/>
    <x v="0"/>
    <s v="09 - contratación directa"/>
    <x v="11"/>
    <x v="0"/>
    <x v="1"/>
    <x v="1"/>
    <x v="9"/>
    <x v="9"/>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324"/>
    <x v="1"/>
    <x v="9"/>
    <s v="Mauricio Ayála Vásquez"/>
    <s v="prestación de servicios profesionales para  el fortalecimiento de los procesos de comunicaciones y análisis de información en articulación con otras dependencias de la entidad, s.o."/>
    <s v="25 - contrato de prestacion de servicios profesionales"/>
    <n v="80111600"/>
    <n v="2"/>
    <n v="10"/>
    <n v="15"/>
    <n v="55125000"/>
    <x v="0"/>
    <s v="09 - contratación directa"/>
    <x v="11"/>
    <x v="0"/>
    <x v="1"/>
    <x v="1"/>
    <x v="9"/>
    <x v="9"/>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325"/>
    <x v="1"/>
    <x v="9"/>
    <s v="Mauricio Ayála Vásquez"/>
    <s v="prestación de servicios profesionales para  la consolidación, seguimiento y reporte de las actividades del plan de mejoramiento, normograma y mapa de riesgos relacionados con los procesos y procedimientos misionales de la dependencia. s.o."/>
    <s v="25 - contrato de prestacion de servicios profesionales"/>
    <n v="80111600"/>
    <n v="2"/>
    <n v="11"/>
    <n v="0"/>
    <n v="77385001"/>
    <x v="0"/>
    <s v="09 - contratación directa"/>
    <x v="11"/>
    <x v="0"/>
    <x v="1"/>
    <x v="1"/>
    <x v="9"/>
    <x v="9"/>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326"/>
    <x v="1"/>
    <x v="9"/>
    <s v="Mauricio Ayála Vásquez"/>
    <s v="prestación de servicios profesionales con plena autonomía técnica y administrativa  para el diseño, implementación, reporte y monitoreo de los diferentes procesos, procedimientos y funciones a cargo de la dependencia. - s.o."/>
    <s v="25 - contrato de prestacion de servicios profesionales"/>
    <n v="80111600"/>
    <n v="3"/>
    <n v="10"/>
    <n v="0"/>
    <n v="89250000"/>
    <x v="0"/>
    <s v="09 - contratación directa"/>
    <x v="11"/>
    <x v="0"/>
    <x v="1"/>
    <x v="1"/>
    <x v="9"/>
    <x v="9"/>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327"/>
    <x v="1"/>
    <x v="9"/>
    <s v="Mauricio Ayála Vásquez"/>
    <s v="prestación de servicios profesionales para realizar  el diligenciamiento y seguimiento de las solicitudes en las herramientas de gestión de los procedimientos a cargo de la  subdirección operativa -s.o."/>
    <s v="25 - contrato de prestacion de servicios profesionales"/>
    <n v="80111600"/>
    <n v="2"/>
    <n v="11"/>
    <n v="0"/>
    <n v="46200000"/>
    <x v="0"/>
    <s v="09 - contratación directa"/>
    <x v="11"/>
    <x v="0"/>
    <x v="1"/>
    <x v="1"/>
    <x v="9"/>
    <x v="9"/>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328"/>
    <x v="1"/>
    <x v="9"/>
    <s v="Mauricio Ayála Vásquez"/>
    <s v="prestación de servicios profesionales para realizar la planeación, trámite y seguimiento de los aspectos presupuestales, financieros y contractuales a cargo de la dependencia - s.o."/>
    <s v="25 - contrato de prestacion de servicios profesionales"/>
    <n v="80111600"/>
    <n v="2"/>
    <n v="10"/>
    <n v="15"/>
    <n v="77175000"/>
    <x v="0"/>
    <s v="09 - contratación directa"/>
    <x v="11"/>
    <x v="0"/>
    <x v="1"/>
    <x v="1"/>
    <x v="9"/>
    <x v="9"/>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329"/>
    <x v="1"/>
    <x v="9"/>
    <s v="Mauricio Ayála Vásquez"/>
    <s v="prestación de servicios profesionales para ejecutar los  aspectos jurídicos de  la subdirección operativa, frente a la estructuración, sustanciación, revisión y trámite de los actos administrativos y los documentos que deba emitir para la dependencia - s.o."/>
    <s v="25 - contrato de prestacion de servicios profesionales"/>
    <n v="80111600"/>
    <n v="2"/>
    <n v="11"/>
    <n v="0"/>
    <n v="54747000"/>
    <x v="0"/>
    <s v="09 - contratación directa"/>
    <x v="11"/>
    <x v="0"/>
    <x v="1"/>
    <x v="1"/>
    <x v="9"/>
    <x v="9"/>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330"/>
    <x v="1"/>
    <x v="9"/>
    <s v="Mauricio Ayála Vásquez"/>
    <s v="prestación de servicios profesionales para  estructurar, definir y verificar en los  aspectos técnicos de los diferentes procesos de contratación de bienes y servicios de la subdirección operativa en las etapas precontractual, contractual y postcontractual-s.o."/>
    <s v="25 - contrato de prestacion de servicios profesionales"/>
    <n v="80111600"/>
    <n v="3"/>
    <n v="10"/>
    <n v="0"/>
    <n v="57750000"/>
    <x v="0"/>
    <s v="09 - contratación directa"/>
    <x v="11"/>
    <x v="0"/>
    <x v="1"/>
    <x v="1"/>
    <x v="9"/>
    <x v="9"/>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331"/>
    <x v="1"/>
    <x v="9"/>
    <s v="Mauricio Ayála Vásquez"/>
    <s v="prestación de servicios profesionales para ejecutar el componente de información geográfica, georreferenciación y generación de alertas mediante las herramientas, sistemas de información y recursos disponibles y a cargo de la subdirección operativa-s.o."/>
    <s v="25 - contrato de prestacion de servicios profesionales"/>
    <n v="80111600"/>
    <n v="2"/>
    <n v="10"/>
    <n v="15"/>
    <n v="60637500"/>
    <x v="0"/>
    <s v="09 - contratación directa"/>
    <x v="11"/>
    <x v="0"/>
    <x v="1"/>
    <x v="1"/>
    <x v="9"/>
    <x v="9"/>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332"/>
    <x v="1"/>
    <x v="9"/>
    <s v="Mauricio Ayála Vásquez"/>
    <s v="prestación de servicios profesionales para la a estructuración, revisión, seguimiento y verificación de los procesos contractuales en las diferentes etapas y brindar el acompañamiento jurídico en el desarrollo de las actividades inherentes a los procesos y procedimientos que son competencia de la dependencia. - s.o."/>
    <s v="25 - contrato de prestacion de servicios profesionales"/>
    <n v="80111600"/>
    <n v="3"/>
    <n v="10"/>
    <n v="0"/>
    <n v="94500000"/>
    <x v="0"/>
    <s v="09 - contratación directa"/>
    <x v="11"/>
    <x v="0"/>
    <x v="1"/>
    <x v="1"/>
    <x v="9"/>
    <x v="9"/>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333"/>
    <x v="1"/>
    <x v="9"/>
    <s v="Mauricio Ayála Vásquez"/>
    <s v="prestación de servicios profesionales para la elaboración, diagramación, orto tipografía y estilos de textos e informes referentes a los diferentes procesos a cargo de la subdirección operativa - s.o."/>
    <s v="25 - contrato de prestacion de servicios profesionales"/>
    <n v="80111600"/>
    <n v="2"/>
    <n v="10"/>
    <n v="15"/>
    <n v="47407500"/>
    <x v="0"/>
    <s v="09 - contratación directa"/>
    <x v="11"/>
    <x v="0"/>
    <x v="1"/>
    <x v="1"/>
    <x v="9"/>
    <x v="9"/>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334"/>
    <x v="1"/>
    <x v="9"/>
    <s v="Mauricio Ayála Vásquez"/>
    <s v="prestación de servicios profesionales para la sustanciación, revisión y trámite de solicitudes dirigidas a autoridades administrativas, respuestas a pqrs, derechos de petición,  requerimientos que efectúen los entes de control, así como brindar acompañamiento juridico en la estructuración de los procesos y procedimientos que sea requerido por la dependencia s.o."/>
    <s v="25 - contrato de prestacion de servicios profesionales"/>
    <n v="80111600"/>
    <n v="3"/>
    <n v="10"/>
    <n v="0"/>
    <n v="68250000"/>
    <x v="0"/>
    <s v="09 - contratación directa"/>
    <x v="11"/>
    <x v="0"/>
    <x v="1"/>
    <x v="1"/>
    <x v="9"/>
    <x v="9"/>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335"/>
    <x v="1"/>
    <x v="9"/>
    <s v="Mauricio Ayála Vásquez"/>
    <s v="prestación de  servicios profesionales para proyectar las solicitudes dirigidas a autoridades administrativas, respuestas a pqr s, derechos de petición, requerimientos efectuados por  los entes de control y autoridades administrativas o que lleguen por los diferentes canales de atención de la entidad, en el marco de los procesos y procedimientos a cargo de la dependencia-s.o."/>
    <s v="25 - contrato de prestacion de servicios profesionales"/>
    <n v="80111600"/>
    <n v="2"/>
    <n v="11"/>
    <n v="0"/>
    <n v="50242500"/>
    <x v="0"/>
    <s v="09 - contratación directa"/>
    <x v="11"/>
    <x v="0"/>
    <x v="1"/>
    <x v="1"/>
    <x v="9"/>
    <x v="9"/>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336"/>
    <x v="1"/>
    <x v="9"/>
    <s v="Mauricio Ayála Vásquez"/>
    <s v="prestación de servicios profesionales para ejecutar las actividades misionales en la elaboración, diseño y diagramación de piezas requeridas para los planes, programas, proyectos y procedimientos- s.o."/>
    <s v="25 - contrato de prestacion de servicios profesionales"/>
    <n v="80111600"/>
    <n v="2"/>
    <n v="10"/>
    <n v="15"/>
    <n v="66150000"/>
    <x v="0"/>
    <s v="09 - contratación directa"/>
    <x v="11"/>
    <x v="0"/>
    <x v="1"/>
    <x v="1"/>
    <x v="9"/>
    <x v="9"/>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337"/>
    <x v="1"/>
    <x v="9"/>
    <s v="Mauricio Ayála Vásquez"/>
    <s v="prestación de servicios profesionales para ejecutar las actividades relacionadas con el sistema de gestión de calidad, el sistema ambiental y el sistema de control interno-s.o."/>
    <s v="25 - contrato de prestacion de servicios profesionales"/>
    <n v="80111600"/>
    <n v="2"/>
    <n v="10"/>
    <n v="15"/>
    <n v="60637496"/>
    <x v="0"/>
    <s v="09 - contratación directa"/>
    <x v="11"/>
    <x v="0"/>
    <x v="1"/>
    <x v="1"/>
    <x v="9"/>
    <x v="9"/>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338"/>
    <x v="1"/>
    <x v="9"/>
    <s v="Mauricio Ayála Vásquez"/>
    <s v="prestación de servicios profesionales para ejecutar las actividades de carácter administrativo y de apoyo de los procesos y procedimientos a cargo de la subdirección operativa-s.o."/>
    <s v="25 - contrato de prestacion de servicios profesionales"/>
    <n v="80111600"/>
    <n v="3"/>
    <n v="10"/>
    <n v="0"/>
    <n v="50400000"/>
    <x v="0"/>
    <s v="09 - contratación directa"/>
    <x v="11"/>
    <x v="0"/>
    <x v="1"/>
    <x v="1"/>
    <x v="9"/>
    <x v="9"/>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339"/>
    <x v="1"/>
    <x v="9"/>
    <s v="Mauricio Ayála Vásquez"/>
    <s v="prestación de servicios profesionales con plena autonomía técnica y administrativa en el seguimiento, verificación y alimentación de los sistemas de información y demás requerimientos de acuerdo con las funciones de la dependencia-s.o."/>
    <s v="25 - contrato de prestacion de servicios profesionales"/>
    <n v="80111600"/>
    <n v="3"/>
    <n v="10"/>
    <n v="0"/>
    <n v="57750000"/>
    <x v="0"/>
    <s v="09 - contratación directa"/>
    <x v="11"/>
    <x v="0"/>
    <x v="1"/>
    <x v="1"/>
    <x v="9"/>
    <x v="9"/>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340"/>
    <x v="1"/>
    <x v="9"/>
    <s v="Mauricio Ayála Vásquez"/>
    <s v="prestación de servicios profesionales para  la estructuación de fichas técnicas e identificación de necesidades técnicas requeridas por la entidad con base en la atención de emergencias y requerimientos internos y externos - s.o."/>
    <s v="25 - contrato de prestacion de servicios profesionales"/>
    <n v="80111600"/>
    <n v="2"/>
    <n v="10"/>
    <n v="15"/>
    <n v="77175000"/>
    <x v="0"/>
    <s v="09 - contratación directa"/>
    <x v="11"/>
    <x v="0"/>
    <x v="1"/>
    <x v="1"/>
    <x v="9"/>
    <x v="9"/>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341"/>
    <x v="1"/>
    <x v="9"/>
    <s v="Mauricio Ayála Vásquez"/>
    <s v="prestación de servicios profesionales para la elaboración de informes o documentos técnicos, infografías, reportes y consolidación de indicadores relacionados con los procesos, procedimientos y contratos a cargo de la dependencia-s.o."/>
    <s v="25 - contrato de prestacion de servicios profesionales"/>
    <n v="80111600"/>
    <n v="2"/>
    <n v="10"/>
    <n v="15"/>
    <n v="77175000"/>
    <x v="0"/>
    <s v="09 - contratación directa"/>
    <x v="11"/>
    <x v="0"/>
    <x v="1"/>
    <x v="1"/>
    <x v="9"/>
    <x v="9"/>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342"/>
    <x v="1"/>
    <x v="9"/>
    <s v="Mauricio Ayála Vásquez"/>
    <s v="prestación de servicios profesionales para llevar a cabo  el análisis de información,  elaboración de informes de gestión, documentos técnicos, reportes y demás productos relacionados con la atención de emergencias, gestión del conocimiento y procesos a cargo de la dependencia."/>
    <s v="25 - contrato de prestacion de servicios profesionales"/>
    <n v="80111600"/>
    <n v="2"/>
    <n v="10"/>
    <n v="15"/>
    <n v="77175000"/>
    <x v="0"/>
    <s v="09 - contratación directa"/>
    <x v="11"/>
    <x v="0"/>
    <x v="1"/>
    <x v="1"/>
    <x v="9"/>
    <x v="9"/>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343"/>
    <x v="1"/>
    <x v="9"/>
    <s v="Mauricio Ayála Vásquez"/>
    <s v="prestación de servicios profesionales para gestionar y ejecutar la  estrategia de preparativos de la uae cuerpo oficial de bomberos de bogotá s.o."/>
    <s v="25 - contrato de prestacion de servicios profesionales"/>
    <n v="80111600"/>
    <n v="2"/>
    <n v="10"/>
    <n v="15"/>
    <n v="93712500"/>
    <x v="0"/>
    <s v="09 - contratación directa"/>
    <x v="11"/>
    <x v="0"/>
    <x v="1"/>
    <x v="1"/>
    <x v="9"/>
    <x v="9"/>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344"/>
    <x v="1"/>
    <x v="9"/>
    <s v="Mauricio Ayála Vásquez"/>
    <s v="prestación de servicios profesionales en consolidación y reporte de la información técnica de la estrategia de preparativos de la uae cuerpo oficial de bomberos de bogotá s.o."/>
    <s v="25 - contrato de prestacion de servicios profesionales"/>
    <n v="80111600"/>
    <n v="2"/>
    <n v="10"/>
    <n v="15"/>
    <n v="65653875"/>
    <x v="0"/>
    <s v="09 - contratación directa"/>
    <x v="11"/>
    <x v="0"/>
    <x v="1"/>
    <x v="1"/>
    <x v="9"/>
    <x v="9"/>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345"/>
    <x v="1"/>
    <x v="9"/>
    <s v="Mauricio Ayála Vásquez"/>
    <s v="prestación de servicios profesionales en consolidación y reporte de la información técnica de la estrategia de preparativos de la uae cuerpo oficial de bomberos de bogotá s.o."/>
    <s v="25 - contrato de prestacion de servicios profesionales"/>
    <n v="80111600"/>
    <n v="2"/>
    <n v="10"/>
    <n v="15"/>
    <n v="65653875"/>
    <x v="0"/>
    <s v="09 - contratación directa"/>
    <x v="11"/>
    <x v="0"/>
    <x v="1"/>
    <x v="1"/>
    <x v="9"/>
    <x v="9"/>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346"/>
    <x v="1"/>
    <x v="9"/>
    <s v="Mauricio Ayála Vásquez"/>
    <s v="Adquisición de elementos de protección personal (E.P.P.) para la atención de emergencias de la UAE Cuerpo Oficial de Bomberos de Bogotá"/>
    <s v="08 - contrato de suministro"/>
    <n v="80111600"/>
    <n v="2"/>
    <n v="6"/>
    <n v="0"/>
    <n v="3000000000"/>
    <x v="0"/>
    <s v="03 - selec. abrev. subasta inversa"/>
    <x v="11"/>
    <x v="0"/>
    <x v="1"/>
    <x v="1"/>
    <x v="10"/>
    <x v="10"/>
    <s v="10-Servicio de dotación y equipamento para el personal operativo"/>
    <x v="6"/>
    <s v="Servicio de atención a emergencias y desastres"/>
    <s v="004_Servicio de atención a emergencias y desastres"/>
    <s v="10-Servicio de dotación y equipamento para el personal operativo 004_Servicio de atención a emergencias y desastres"/>
    <x v="13"/>
    <x v="13"/>
    <x v="0"/>
    <s v="Si Secop "/>
  </r>
  <r>
    <n v="20250347"/>
    <x v="1"/>
    <x v="9"/>
    <s v="Mauricio Ayála Vásquez"/>
    <s v="Adquisición de equipos, herramientas y accesorios (E.H.A.) para la atención de emergencias de la UAE Cuerpo Oficial de Bomberos de Bogotá"/>
    <s v="08 - contrato de suministro"/>
    <n v="80111600"/>
    <n v="2"/>
    <n v="3"/>
    <n v="0"/>
    <n v="1436467353"/>
    <x v="0"/>
    <s v="03 - selec. abrev. subasta inversa"/>
    <x v="11"/>
    <x v="0"/>
    <x v="1"/>
    <x v="1"/>
    <x v="10"/>
    <x v="10"/>
    <s v="10-Servicio de dotación y equipamento para el personal operativo"/>
    <x v="6"/>
    <s v="Servicio de atención a emergencias y desastres"/>
    <s v="004_Servicio de atención a emergencias y desastres"/>
    <s v="10-Servicio de dotación y equipamento para el personal operativo 004_Servicio de atención a emergencias y desastres"/>
    <x v="13"/>
    <x v="13"/>
    <x v="0"/>
    <s v="Si Secop "/>
  </r>
  <r>
    <n v="20250348"/>
    <x v="1"/>
    <x v="9"/>
    <s v="Mauricio Ayála Vásquez"/>
    <s v="Adquisición de vehículos operativos o especilizados para la atención de emergencias de la UAE  Cuerpo Oficial de Bomberos de Bogotá"/>
    <s v="06 - contrato de compraventa"/>
    <n v="80111600"/>
    <n v="2"/>
    <n v="12"/>
    <n v="0"/>
    <n v="8054000000"/>
    <x v="0"/>
    <s v="01 - licitación pública"/>
    <x v="12"/>
    <x v="0"/>
    <x v="1"/>
    <x v="1"/>
    <x v="9"/>
    <x v="9"/>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349"/>
    <x v="1"/>
    <x v="9"/>
    <s v="Mauricio Ayála Vásquez"/>
    <s v="Adquisición de tecnologia  especilizada para la atención de emergencias de la UAE  Cuerpo Oficial de Bomberos de Bogotá"/>
    <s v="06 - contrato de compraventa"/>
    <n v="80111600"/>
    <n v="2"/>
    <n v="12"/>
    <n v="0"/>
    <n v="994376507"/>
    <x v="0"/>
    <s v="01 - licitación pública"/>
    <x v="12"/>
    <x v="0"/>
    <x v="1"/>
    <x v="1"/>
    <x v="9"/>
    <x v="9"/>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10"/>
    <s v="Si Secop "/>
  </r>
  <r>
    <n v="20250350"/>
    <x v="2"/>
    <x v="9"/>
    <s v="Mauricio Ayala Vasquez"/>
    <s v="Adquisición de uniformes para el personal operativo de la UAECOB"/>
    <s v="06 - contrato de compraventa"/>
    <n v="53102710"/>
    <n v="2"/>
    <n v="6"/>
    <n v="0"/>
    <n v="300050000"/>
    <x v="1"/>
    <s v="03 - selec. abrev. subasta inversa"/>
    <x v="6"/>
    <x v="1"/>
    <x v="2"/>
    <x v="2"/>
    <x v="3"/>
    <x v="3"/>
    <s v="N/A-N/A"/>
    <x v="5"/>
    <s v="N/A"/>
    <s v="N/A_N/A"/>
    <s v="N/A-N/A N/A_N/A"/>
    <x v="5"/>
    <x v="5"/>
    <x v="11"/>
    <s v="Si Secop "/>
  </r>
  <r>
    <n v="20250351"/>
    <x v="0"/>
    <x v="10"/>
    <s v="Paula Ximena Henao Escobar"/>
    <s v="Prestar servicios profesionales para coordinar, controlar y ejercer seguimiento a las actividades de tecnología de Información y Comunicaciones de la UAE Cuerpo Oficial de bomberos de Bogotá.-TIC"/>
    <s v="25 - contrato de prestacion de servicios profesionales"/>
    <n v="80111600"/>
    <n v="2"/>
    <n v="11"/>
    <n v="0"/>
    <n v="104500000"/>
    <x v="0"/>
    <s v="09 - contratación directa"/>
    <x v="13"/>
    <x v="0"/>
    <x v="0"/>
    <x v="0"/>
    <x v="7"/>
    <x v="7"/>
    <s v="11-Infraestructura Tecnológica   (Sistemas de Información y Tecnologia)"/>
    <x v="9"/>
    <s v="Servicios tecnológicos"/>
    <s v="007_Servicios tecnológicos"/>
    <s v="11-Infraestructura Tecnológica   (Sistemas de Información y Tecnologia) 007_Servicios tecnológicos"/>
    <x v="14"/>
    <x v="14"/>
    <x v="0"/>
    <s v="Si Secop "/>
  </r>
  <r>
    <n v="20250352"/>
    <x v="0"/>
    <x v="10"/>
    <s v="Paula Ximena Henao Escobar"/>
    <s v="Prestar servicios profesionales en la planificación, administración y gestión de los proyectos TIC  de la UAE Cuerpo Oficial de Bomberos Bogotá, que fortalezcan la  ejecución y cumplimiento a los procesos de tecnología"/>
    <s v="25 - contrato de prestacion de servicios profesionales"/>
    <n v="80111600"/>
    <n v="2"/>
    <n v="11"/>
    <n v="0"/>
    <n v="85387500"/>
    <x v="0"/>
    <s v="09 - contratación directa"/>
    <x v="14"/>
    <x v="0"/>
    <x v="0"/>
    <x v="0"/>
    <x v="7"/>
    <x v="7"/>
    <s v="11-Infraestructura Tecnológica   (Sistemas de Información y Tecnologia)"/>
    <x v="9"/>
    <s v="Servicios tecnológicos"/>
    <s v="007_Servicios tecnológicos"/>
    <s v="11-Infraestructura Tecnológica   (Sistemas de Información y Tecnologia) 007_Servicios tecnológicos"/>
    <x v="14"/>
    <x v="14"/>
    <x v="0"/>
    <s v="Si Secop "/>
  </r>
  <r>
    <n v="20250353"/>
    <x v="0"/>
    <x v="10"/>
    <s v="Paula Ximena Henao Escobar"/>
    <s v="Prestar los servicios profesionales para apoyar  a la Dirección en la gestión juridica y contractual  relacionada con los proyectos y funciones TIC"/>
    <s v="25 - contrato de prestacion de servicios profesionales"/>
    <n v="80111600"/>
    <n v="2"/>
    <n v="11"/>
    <n v="0"/>
    <n v="79695000"/>
    <x v="0"/>
    <s v="09 - contratación directa"/>
    <x v="13"/>
    <x v="0"/>
    <x v="0"/>
    <x v="0"/>
    <x v="7"/>
    <x v="7"/>
    <s v="11-Infraestructura Tecnológica   (Sistemas de Información y Tecnologia)"/>
    <x v="9"/>
    <s v="Servicios tecnológicos"/>
    <s v="007_Servicios tecnológicos"/>
    <s v="11-Infraestructura Tecnológica   (Sistemas de Información y Tecnologia) 007_Servicios tecnológicos"/>
    <x v="14"/>
    <x v="14"/>
    <x v="1"/>
    <s v="Si Secop "/>
  </r>
  <r>
    <n v="20250354"/>
    <x v="0"/>
    <x v="10"/>
    <s v="Paula Ximena Henao Escobar"/>
    <s v="Prestar servicios profesionales para administrar, gestionar y mantener las bases de datos de la UAE Cuerpo Oficial de Bomberos Bogotá. -TIC"/>
    <s v="25 - contrato de prestacion de servicios profesionales"/>
    <n v="80111600"/>
    <n v="2"/>
    <n v="11"/>
    <n v="0"/>
    <n v="81972000"/>
    <x v="0"/>
    <s v="09 - contratación directa"/>
    <x v="15"/>
    <x v="0"/>
    <x v="0"/>
    <x v="0"/>
    <x v="7"/>
    <x v="7"/>
    <s v="11-Infraestructura Tecnológica   (Sistemas de Información y Tecnologia)"/>
    <x v="9"/>
    <s v="Servicios tecnológicos"/>
    <s v="007_Servicios tecnológicos"/>
    <s v="11-Infraestructura Tecnológica   (Sistemas de Información y Tecnologia) 007_Servicios tecnológicos"/>
    <x v="14"/>
    <x v="14"/>
    <x v="0"/>
    <s v="Si Secop "/>
  </r>
  <r>
    <n v="20250355"/>
    <x v="0"/>
    <x v="10"/>
    <s v="Paula Ximena Henao Escobar"/>
    <s v="Prestar servicios profesionales  como administrador y gestor de la infraestructura de las comunicaciones y red regulada  de la UAE Cuerpo Oficial de Bomberos Bogotá-TIC"/>
    <s v="25 - contrato de prestacion de servicios profesionales"/>
    <n v="80111600"/>
    <n v="2"/>
    <n v="11"/>
    <n v="0"/>
    <n v="91080000"/>
    <x v="0"/>
    <s v="09 - contratación directa"/>
    <x v="13"/>
    <x v="0"/>
    <x v="0"/>
    <x v="0"/>
    <x v="7"/>
    <x v="7"/>
    <s v="11-Infraestructura Tecnológica   (Sistemas de Información y Tecnologia)"/>
    <x v="9"/>
    <s v="Servicios tecnológicos"/>
    <s v="007_Servicios tecnológicos"/>
    <s v="11-Infraestructura Tecnológica   (Sistemas de Información y Tecnologia) 007_Servicios tecnológicos"/>
    <x v="14"/>
    <x v="14"/>
    <x v="0"/>
    <s v="Si Secop "/>
  </r>
  <r>
    <n v="20250356"/>
    <x v="0"/>
    <x v="10"/>
    <s v="Paula Ximena Henao Escobar"/>
    <s v="Prestar  servicios  profesionales  para administrar y gestionar la  seguridad  y privacidad de la información dentro de la infraestructura tecnológica y de comunicaciones  utilizada por UAE Cuerpo Oficial de Bomberos de Bogotá - TIC"/>
    <s v="26 - contrato de prestacion de servicios de apoyo a la gestion"/>
    <n v="80111600"/>
    <n v="2"/>
    <n v="11"/>
    <n v="0"/>
    <n v="48955500"/>
    <x v="0"/>
    <s v="09 - contratación directa"/>
    <x v="16"/>
    <x v="0"/>
    <x v="0"/>
    <x v="0"/>
    <x v="7"/>
    <x v="7"/>
    <s v="11-Infraestructura Tecnológica   (Sistemas de Información y Tecnologia)"/>
    <x v="9"/>
    <s v="Servicios tecnológicos"/>
    <s v="007_Servicios tecnológicos"/>
    <s v="11-Infraestructura Tecnológica   (Sistemas de Información y Tecnologia) 007_Servicios tecnológicos"/>
    <x v="14"/>
    <x v="14"/>
    <x v="0"/>
    <s v="Si Secop "/>
  </r>
  <r>
    <n v="20250357"/>
    <x v="0"/>
    <x v="10"/>
    <s v="Paula Ximena Henao Escobar"/>
    <s v="Prestar servicios profesionales para la administración y gestión de la infraestructura tecnológica de servidores, servicios de nube y componentes relacionados con los que cuenta la UAE Cuerpo Oficial de Bomberos de Bogotá - TIC"/>
    <s v="25 - contrato de prestacion de servicios profesionales"/>
    <n v="80111600"/>
    <n v="2"/>
    <n v="11"/>
    <n v="0"/>
    <n v="81972000"/>
    <x v="0"/>
    <s v="09 - contratación directa"/>
    <x v="13"/>
    <x v="0"/>
    <x v="0"/>
    <x v="0"/>
    <x v="7"/>
    <x v="7"/>
    <s v="11-Infraestructura Tecnológica   (Sistemas de Información y Tecnologia)"/>
    <x v="9"/>
    <s v="Servicios tecnológicos"/>
    <s v="007_Servicios tecnológicos"/>
    <s v="11-Infraestructura Tecnológica   (Sistemas de Información y Tecnologia) 007_Servicios tecnológicos"/>
    <x v="14"/>
    <x v="14"/>
    <x v="0"/>
    <s v="Si Secop "/>
  </r>
  <r>
    <n v="20250358"/>
    <x v="0"/>
    <x v="10"/>
    <s v="Paula Ximena Henao Escobar"/>
    <s v="Prestar Servicios Profesionales para administrar y gestionar los sistemas de información y aplicativos con los que cuenta la UAE Cuerpo Oficial de Bomberos Bogotá. -TIC"/>
    <s v="25 - contrato de prestacion de servicios profesionales"/>
    <n v="80111600"/>
    <n v="2"/>
    <n v="11"/>
    <n v="0"/>
    <n v="81972000"/>
    <x v="0"/>
    <s v="09 - contratación directa"/>
    <x v="15"/>
    <x v="0"/>
    <x v="0"/>
    <x v="0"/>
    <x v="7"/>
    <x v="7"/>
    <s v="11-Infraestructura Tecnológica   (Sistemas de Información y Tecnologia)"/>
    <x v="9"/>
    <s v="Servicios tecnológicos"/>
    <s v="007_Servicios tecnológicos"/>
    <s v="11-Infraestructura Tecnológica   (Sistemas de Información y Tecnologia) 007_Servicios tecnológicos"/>
    <x v="14"/>
    <x v="14"/>
    <x v="0"/>
    <s v="Si Secop "/>
  </r>
  <r>
    <n v="20250359"/>
    <x v="0"/>
    <x v="10"/>
    <s v="Paula Ximena Henao Escobar"/>
    <s v="Prestar servicios profesionales para apoyar la implementación y control del sistema de Gestión de Seguridad de la Información - SGSI y Gobierno Digital, así como el seguimiento a los planes institucionales asociados a TIC y construcción de procedimientos."/>
    <s v="25 - contrato de prestacion de servicios profesionales"/>
    <n v="80111600"/>
    <n v="2"/>
    <n v="11"/>
    <n v="0"/>
    <n v="81972000"/>
    <x v="0"/>
    <s v="09 - contratación directa"/>
    <x v="14"/>
    <x v="0"/>
    <x v="0"/>
    <x v="0"/>
    <x v="7"/>
    <x v="7"/>
    <s v="11-Infraestructura Tecnológica   (Sistemas de Información y Tecnologia)"/>
    <x v="9"/>
    <s v="Servicios tecnológicos"/>
    <s v="007_Servicios tecnológicos"/>
    <s v="11-Infraestructura Tecnológica   (Sistemas de Información y Tecnologia) 007_Servicios tecnológicos"/>
    <x v="14"/>
    <x v="14"/>
    <x v="0"/>
    <s v="Si Secop "/>
  </r>
  <r>
    <n v="20250360"/>
    <x v="0"/>
    <x v="10"/>
    <s v="Paula Ximena Henao Escobar"/>
    <s v="Prestar los servicios profesionales jurídicos para apoyar las actividades propias de la gestión contractual que adelanta la UAE Cuerpo Oficial de Bomberos"/>
    <s v="25 - contrato de prestacion de servicios profesionales"/>
    <n v="80111600"/>
    <n v="2"/>
    <n v="11"/>
    <n v="0"/>
    <n v="79695000"/>
    <x v="0"/>
    <s v="09 - contratación directa"/>
    <x v="13"/>
    <x v="0"/>
    <x v="0"/>
    <x v="0"/>
    <x v="7"/>
    <x v="7"/>
    <s v="11-Infraestructura Tecnológica   (Sistemas de Información y Tecnologia)"/>
    <x v="9"/>
    <s v="Servicios tecnológicos"/>
    <s v="007_Servicios tecnológicos"/>
    <s v="11-Infraestructura Tecnológica   (Sistemas de Información y Tecnologia) 007_Servicios tecnológicos"/>
    <x v="14"/>
    <x v="14"/>
    <x v="1"/>
    <s v="Si Secop "/>
  </r>
  <r>
    <n v="20250361"/>
    <x v="0"/>
    <x v="10"/>
    <s v="Paula Ximena Henao Escobar"/>
    <s v="Prestar los servicios profesionales administrativos y financieros en la gestión contractual relacionados con los proyectos y funciones TIC"/>
    <s v="25 - contrato de prestacion de servicios profesionales"/>
    <n v="80111600"/>
    <n v="2"/>
    <n v="11"/>
    <n v="0"/>
    <n v="81972000"/>
    <x v="0"/>
    <s v="09 - contratación directa"/>
    <x v="13"/>
    <x v="0"/>
    <x v="0"/>
    <x v="0"/>
    <x v="7"/>
    <x v="7"/>
    <s v="11-Infraestructura Tecnológica   (Sistemas de Información y Tecnologia)"/>
    <x v="9"/>
    <s v="Servicios tecnológicos"/>
    <s v="007_Servicios tecnológicos"/>
    <s v="11-Infraestructura Tecnológica   (Sistemas de Información y Tecnologia) 007_Servicios tecnológicos"/>
    <x v="14"/>
    <x v="14"/>
    <x v="0"/>
    <s v="Si Secop "/>
  </r>
  <r>
    <n v="20250362"/>
    <x v="0"/>
    <x v="10"/>
    <s v="Paula Ximena Henao Escobar"/>
    <s v="Prestar servicios profesionales en la administración, actualización, desarrollo y mantenimiento del Sistema Integrado de Administración de Personal - SIAP. -TIC"/>
    <s v="25 - contrato de prestacion de servicios profesionales"/>
    <n v="80111600"/>
    <n v="2"/>
    <n v="11"/>
    <n v="0"/>
    <n v="89941500"/>
    <x v="0"/>
    <s v="09 - contratación directa"/>
    <x v="15"/>
    <x v="0"/>
    <x v="0"/>
    <x v="0"/>
    <x v="7"/>
    <x v="7"/>
    <s v="11-Infraestructura Tecnológica   (Sistemas de Información y Tecnologia)"/>
    <x v="9"/>
    <s v="Servicios tecnológicos"/>
    <s v="007_Servicios tecnológicos"/>
    <s v="11-Infraestructura Tecnológica   (Sistemas de Información y Tecnologia) 007_Servicios tecnológicos"/>
    <x v="14"/>
    <x v="14"/>
    <x v="0"/>
    <s v="Si Secop "/>
  </r>
  <r>
    <n v="20250363"/>
    <x v="0"/>
    <x v="10"/>
    <s v="Paula Ximena Henao Escobar"/>
    <s v="Prestar servicios profesionales para administrar y gestionar los sitios web institucionales (internet e intranet) de la UAE Cuerpo Oficial de Bomberos de Bogotá -TIC"/>
    <s v="25 - contrato de prestacion de servicios profesionales"/>
    <n v="80111600"/>
    <n v="2"/>
    <n v="11"/>
    <n v="0"/>
    <n v="68310000"/>
    <x v="0"/>
    <s v="09 - contratación directa"/>
    <x v="14"/>
    <x v="0"/>
    <x v="0"/>
    <x v="0"/>
    <x v="7"/>
    <x v="7"/>
    <s v="11-Infraestructura Tecnológica   (Sistemas de Información y Tecnologia)"/>
    <x v="9"/>
    <s v="Servicios tecnológicos"/>
    <s v="007_Servicios tecnológicos"/>
    <s v="11-Infraestructura Tecnológica   (Sistemas de Información y Tecnologia) 007_Servicios tecnológicos"/>
    <x v="14"/>
    <x v="14"/>
    <x v="0"/>
    <s v="Si Secop "/>
  </r>
  <r>
    <n v="20250364"/>
    <x v="0"/>
    <x v="10"/>
    <s v="Paula Ximena Henao Escobar"/>
    <s v="Prestar servicios profesionales para administrar y gestionar los servicios tecnológicos relacionados con la herramienta de mesa de ayuda, directorio activo y herramientas colaborativas de microsoft que le sean asignados por la UAE Cuerpo Oficial de Bomberos de Bogotá - TIC."/>
    <s v="25 - contrato de prestacion de servicios profesionales"/>
    <n v="80111600"/>
    <n v="2"/>
    <n v="11"/>
    <n v="0"/>
    <n v="68310000"/>
    <x v="0"/>
    <s v="09 - contratación directa"/>
    <x v="15"/>
    <x v="0"/>
    <x v="0"/>
    <x v="0"/>
    <x v="7"/>
    <x v="7"/>
    <s v="11-Infraestructura Tecnológica   (Sistemas de Información y Tecnologia)"/>
    <x v="9"/>
    <s v="Servicios tecnológicos"/>
    <s v="007_Servicios tecnológicos"/>
    <s v="11-Infraestructura Tecnológica   (Sistemas de Información y Tecnologia) 007_Servicios tecnológicos"/>
    <x v="14"/>
    <x v="14"/>
    <x v="0"/>
    <s v="Si Secop "/>
  </r>
  <r>
    <n v="20250365"/>
    <x v="0"/>
    <x v="10"/>
    <s v="Paula Ximena Henao Escobar"/>
    <s v="Prestar Servicios profesionales para administrar y  gestionar los servicios y actividades de TI  derivados de la mesa de ayuda  e infraestructura tecnológica y de comunicaciones, utilizados por UAE Cuerpo Oficial de Bomberos Bogotá de acuerdo con los niveles de servicios de los diferentes procesos-TIC."/>
    <s v="25 - contrato de prestacion de servicios profesionales"/>
    <n v="80111600"/>
    <n v="2"/>
    <n v="11"/>
    <n v="0"/>
    <n v="74800000"/>
    <x v="0"/>
    <s v="09 - contratación directa"/>
    <x v="13"/>
    <x v="0"/>
    <x v="0"/>
    <x v="0"/>
    <x v="7"/>
    <x v="7"/>
    <s v="11-Infraestructura Tecnológica   (Sistemas de Información y Tecnologia)"/>
    <x v="9"/>
    <s v="Servicios tecnológicos"/>
    <s v="007_Servicios tecnológicos"/>
    <s v="11-Infraestructura Tecnológica   (Sistemas de Información y Tecnologia) 007_Servicios tecnológicos"/>
    <x v="14"/>
    <x v="14"/>
    <x v="0"/>
    <s v="Si Secop "/>
  </r>
  <r>
    <n v="20250366"/>
    <x v="0"/>
    <x v="10"/>
    <s v="Paula Ximena Henao Escobar"/>
    <s v="Prestar servicios de apoyo a la gestión en la Dirección, para la creación de productos audiovisuales y generación de contenidos digitales en la entidad - TIC"/>
    <s v="26 - contrato de prestacion de servicios de apoyo a la gestion"/>
    <n v="80111600"/>
    <n v="2"/>
    <n v="11"/>
    <n v="0"/>
    <n v="42124500"/>
    <x v="0"/>
    <s v="09 - contratación directa"/>
    <x v="14"/>
    <x v="0"/>
    <x v="0"/>
    <x v="0"/>
    <x v="7"/>
    <x v="7"/>
    <s v="11-Infraestructura Tecnológica   (Sistemas de Información y Tecnologia)"/>
    <x v="9"/>
    <s v="Servicios tecnológicos"/>
    <s v="007_Servicios tecnológicos"/>
    <s v="11-Infraestructura Tecnológica   (Sistemas de Información y Tecnologia) 007_Servicios tecnológicos"/>
    <x v="14"/>
    <x v="14"/>
    <x v="0"/>
    <s v="Si Secop "/>
  </r>
  <r>
    <n v="20250367"/>
    <x v="0"/>
    <x v="10"/>
    <s v="Paula Ximena Henao Escobar"/>
    <s v="Prestar servicios asistenciales y de apoyo a la gestión para el desarrollo de actividades administrativas y procesos de gestión documental - TIC"/>
    <s v="26 - contrato de prestacion de servicios de apoyo a la gestion"/>
    <n v="80111600"/>
    <n v="2"/>
    <n v="11"/>
    <n v="0"/>
    <n v="36432000"/>
    <x v="0"/>
    <s v="09 - contratación directa"/>
    <x v="13"/>
    <x v="0"/>
    <x v="0"/>
    <x v="0"/>
    <x v="7"/>
    <x v="7"/>
    <s v="11-Infraestructura Tecnológica   (Sistemas de Información y Tecnologia)"/>
    <x v="9"/>
    <s v="Servicios tecnológicos"/>
    <s v="007_Servicios tecnológicos"/>
    <s v="11-Infraestructura Tecnológica   (Sistemas de Información y Tecnologia) 007_Servicios tecnológicos"/>
    <x v="14"/>
    <x v="14"/>
    <x v="0"/>
    <s v="Si Secop "/>
  </r>
  <r>
    <n v="20250368"/>
    <x v="0"/>
    <x v="10"/>
    <s v="Paula Ximena Henao Escobar"/>
    <s v="Contratar la prestación de servicios de apoyo a la gestión para adelantar actividades administrativas y técnicas en el soporte técnico nivel (1 y 2) para los serivicios tecnológicos  del Edificio Comando de la U.A.E. Cuerpo Oficial de bomberos de Bogotá - TIC"/>
    <s v="26 - contrato de prestacion de servicios de apoyo a la gestion"/>
    <n v="80111600"/>
    <n v="2"/>
    <n v="11"/>
    <n v="0"/>
    <n v="39847500"/>
    <x v="0"/>
    <s v="09 - contratación directa"/>
    <x v="13"/>
    <x v="0"/>
    <x v="0"/>
    <x v="0"/>
    <x v="7"/>
    <x v="7"/>
    <s v="11-Infraestructura Tecnológica   (Sistemas de Información y Tecnologia)"/>
    <x v="9"/>
    <s v="Servicios tecnológicos"/>
    <s v="007_Servicios tecnológicos"/>
    <s v="11-Infraestructura Tecnológica   (Sistemas de Información y Tecnologia) 007_Servicios tecnológicos"/>
    <x v="14"/>
    <x v="14"/>
    <x v="0"/>
    <s v="Si Secop "/>
  </r>
  <r>
    <n v="20250369"/>
    <x v="0"/>
    <x v="10"/>
    <s v="Paula Ximena Henao Escobar"/>
    <s v="Contratar la prestación de servicios de apoyo a la gestión para adelantar actividades administrativas y técnicas en el soporte técnico nivel (1 y 2) para los serivicios tecnológicos  del Edificio Comando de la U.A.E. Cuerpo Oficial de bomberos de Bogotá - TIC"/>
    <s v="26 - contrato de prestacion de servicios de apoyo a la gestion"/>
    <n v="80111600"/>
    <n v="2"/>
    <n v="11"/>
    <n v="0"/>
    <n v="39847500"/>
    <x v="0"/>
    <s v="09 - contratación directa"/>
    <x v="13"/>
    <x v="0"/>
    <x v="0"/>
    <x v="0"/>
    <x v="7"/>
    <x v="7"/>
    <s v="11-Infraestructura Tecnológica   (Sistemas de Información y Tecnologia)"/>
    <x v="9"/>
    <s v="Servicios tecnológicos"/>
    <s v="007_Servicios tecnológicos"/>
    <s v="11-Infraestructura Tecnológica   (Sistemas de Información y Tecnologia) 007_Servicios tecnológicos"/>
    <x v="14"/>
    <x v="14"/>
    <x v="0"/>
    <s v="Si Secop "/>
  </r>
  <r>
    <n v="20250370"/>
    <x v="0"/>
    <x v="10"/>
    <s v="Paula Ximena Henao Escobar"/>
    <s v="Contratar la prestación de servicios de apoyo a la gestión para adelantar actividades administrativas y técnicas en el soporte técnico nivel (1) para los serivicios tecnológicos  del Edificio Comando, Estaciones y  Supercades de la U.A.E. Cuerpo Oficial de bomberos de Bogotá - TIC"/>
    <s v="26 - contrato de prestacion de servicios de apoyo a la gestion"/>
    <n v="80111600"/>
    <n v="2"/>
    <n v="11"/>
    <n v="0"/>
    <n v="47300000"/>
    <x v="0"/>
    <s v="09 - contratación directa"/>
    <x v="17"/>
    <x v="0"/>
    <x v="0"/>
    <x v="0"/>
    <x v="7"/>
    <x v="7"/>
    <s v="11-Infraestructura Tecnológica   (Sistemas de Información y Tecnologia)"/>
    <x v="9"/>
    <s v="Servicios tecnológicos"/>
    <s v="007_Servicios tecnológicos"/>
    <s v="11-Infraestructura Tecnológica   (Sistemas de Información y Tecnologia) 007_Servicios tecnológicos"/>
    <x v="14"/>
    <x v="14"/>
    <x v="0"/>
    <s v="Si Secop "/>
  </r>
  <r>
    <n v="20250371"/>
    <x v="0"/>
    <x v="10"/>
    <s v="Paula Ximena Henao Escobar"/>
    <s v="Prestar servicios profesionales en la gestión y soporte de las herramientas tecnológicas desarrolladas para el funcionamiento de las áreas de la entidad - TIC."/>
    <s v="25 - contrato de prestacion de servicios profesionales"/>
    <n v="80111600"/>
    <n v="2"/>
    <n v="11"/>
    <n v="0"/>
    <n v="93812400"/>
    <x v="0"/>
    <s v="09 - contratación directa"/>
    <x v="15"/>
    <x v="0"/>
    <x v="0"/>
    <x v="0"/>
    <x v="7"/>
    <x v="7"/>
    <s v="11-Infraestructura Tecnológica   (Sistemas de Información y Tecnologia)"/>
    <x v="9"/>
    <s v="Servicios tecnológicos"/>
    <s v="007_Servicios tecnológicos"/>
    <s v="11-Infraestructura Tecnológica   (Sistemas de Información y Tecnologia) 007_Servicios tecnológicos"/>
    <x v="14"/>
    <x v="14"/>
    <x v="0"/>
    <s v="Si Secop "/>
  </r>
  <r>
    <n v="20250372"/>
    <x v="0"/>
    <x v="10"/>
    <s v="Paula Ximena Henao Escobar"/>
    <s v="Prestar servicios profesionales para el apoyo y acompañamiento técnico en el levantamiento de requerimientos y necesidades de las áreas de la entindad - TICS"/>
    <s v="26 - contrato de prestacion de servicios de apoyo a la gestion"/>
    <n v="80111600"/>
    <n v="2"/>
    <n v="11"/>
    <n v="0"/>
    <n v="47817000"/>
    <x v="0"/>
    <s v="09 - contratación directa"/>
    <x v="14"/>
    <x v="0"/>
    <x v="0"/>
    <x v="0"/>
    <x v="7"/>
    <x v="7"/>
    <s v="11-Infraestructura Tecnológica   (Sistemas de Información y Tecnologia)"/>
    <x v="9"/>
    <s v="Servicios tecnológicos"/>
    <s v="007_Servicios tecnológicos"/>
    <s v="11-Infraestructura Tecnológica   (Sistemas de Información y Tecnologia) 007_Servicios tecnológicos"/>
    <x v="14"/>
    <x v="14"/>
    <x v="0"/>
    <s v="Si Secop "/>
  </r>
  <r>
    <n v="20250373"/>
    <x v="0"/>
    <x v="10"/>
    <s v="Paula Ximena Henao Escobar"/>
    <s v="Prestar los servicios profesionales para de oficial de seguridad de la infraestructura tecnologica  de la UAE Cuerpo Oficial de Bomberos - TIC"/>
    <s v="25 - contrato de prestacion de servicios profesionales"/>
    <n v="80111600"/>
    <n v="2"/>
    <n v="11"/>
    <n v="0"/>
    <n v="79695000"/>
    <x v="0"/>
    <s v="09 - contratación directa"/>
    <x v="16"/>
    <x v="0"/>
    <x v="0"/>
    <x v="0"/>
    <x v="7"/>
    <x v="7"/>
    <s v="11-Infraestructura Tecnológica   (Sistemas de Información y Tecnologia)"/>
    <x v="9"/>
    <s v="Servicios tecnológicos"/>
    <s v="007_Servicios tecnológicos"/>
    <s v="11-Infraestructura Tecnológica   (Sistemas de Información y Tecnologia) 007_Servicios tecnológicos"/>
    <x v="14"/>
    <x v="14"/>
    <x v="0"/>
    <s v="Si Secop "/>
  </r>
  <r>
    <n v="20250374"/>
    <x v="0"/>
    <x v="10"/>
    <s v="Paula Ximena Henao Escobar"/>
    <s v="Prestar servicios profesionales para el desarrollo de herramientas de colaboración alineadas a los procesos misionales de la U.A.E Cuerpo Oficial de Bomberos de Bogotá - TIC."/>
    <s v="25 - contrato de prestacion de servicios profesionales"/>
    <n v="80111600"/>
    <n v="2"/>
    <n v="11"/>
    <n v="0"/>
    <n v="77000000"/>
    <x v="0"/>
    <s v="09 - contratación directa"/>
    <x v="15"/>
    <x v="0"/>
    <x v="0"/>
    <x v="0"/>
    <x v="7"/>
    <x v="7"/>
    <s v="11-Infraestructura Tecnológica   (Sistemas de Información y Tecnologia)"/>
    <x v="9"/>
    <s v="Servicios tecnológicos"/>
    <s v="007_Servicios tecnológicos"/>
    <s v="11-Infraestructura Tecnológica   (Sistemas de Información y Tecnologia) 007_Servicios tecnológicos"/>
    <x v="14"/>
    <x v="14"/>
    <x v="0"/>
    <s v="Si Secop "/>
  </r>
  <r>
    <n v="20250375"/>
    <x v="0"/>
    <x v="10"/>
    <s v="Paula Ximena Henao Escobar"/>
    <s v="Prestar servicios profesionales para el desarrollo de herramientas de colaboración alineadas a los procesos misionales de la U.A.E Cuerpo Oficial de Bomberos de Bogotá - TIC."/>
    <s v="25 - contrato de prestacion de servicios profesionales"/>
    <n v="80111600"/>
    <n v="2"/>
    <n v="11"/>
    <n v="0"/>
    <n v="77000000"/>
    <x v="0"/>
    <s v="09 - contratación directa"/>
    <x v="18"/>
    <x v="0"/>
    <x v="0"/>
    <x v="0"/>
    <x v="7"/>
    <x v="7"/>
    <s v="11-Infraestructura Tecnológica   (Sistemas de Información y Tecnologia)"/>
    <x v="9"/>
    <s v="Servicios tecnológicos"/>
    <s v="007_Servicios tecnológicos"/>
    <s v="11-Infraestructura Tecnológica   (Sistemas de Información y Tecnologia) 007_Servicios tecnológicos"/>
    <x v="14"/>
    <x v="14"/>
    <x v="0"/>
    <s v="Si Secop "/>
  </r>
  <r>
    <n v="20250376"/>
    <x v="0"/>
    <x v="10"/>
    <s v="Paula Ximena Henao Escobar"/>
    <s v="Prestar los servicios de apoyo en los proceos de analísis, levantamiento de información, parametrización, diseño y testeo de las herramientas tecnologicas desarrolladas para el funcionamiento de la UAE Cuerpo Oficial de Bomberos de Bogotá - TICS"/>
    <s v="25 - contrato de prestacion de servicios profesionales"/>
    <n v="80111600"/>
    <n v="2"/>
    <n v="11"/>
    <n v="0"/>
    <n v="40986000"/>
    <x v="0"/>
    <s v="09 - contratación directa"/>
    <x v="19"/>
    <x v="0"/>
    <x v="0"/>
    <x v="0"/>
    <x v="7"/>
    <x v="7"/>
    <s v="11-Infraestructura Tecnológica   (Sistemas de Información y Tecnologia)"/>
    <x v="9"/>
    <s v="Servicios tecnológicos"/>
    <s v="007_Servicios tecnológicos"/>
    <s v="11-Infraestructura Tecnológica   (Sistemas de Información y Tecnologia) 007_Servicios tecnológicos"/>
    <x v="14"/>
    <x v="14"/>
    <x v="0"/>
    <s v="Si Secop "/>
  </r>
  <r>
    <n v="20250377"/>
    <x v="0"/>
    <x v="10"/>
    <s v="Paula Ximena Henao Escobar"/>
    <s v="Prestar servicios de apoyo a la gestión para el levantamiento de requerimientos, diseño, documentación, soporte de analísis de datos y publicación de información - TICS"/>
    <s v="25 - contrato de prestacion de servicios profesionales"/>
    <n v="80111600"/>
    <n v="2"/>
    <n v="11"/>
    <n v="0"/>
    <n v="40986000"/>
    <x v="0"/>
    <s v="09 - contratación directa"/>
    <x v="20"/>
    <x v="0"/>
    <x v="0"/>
    <x v="0"/>
    <x v="7"/>
    <x v="7"/>
    <s v="11-Infraestructura Tecnológica   (Sistemas de Información y Tecnologia)"/>
    <x v="9"/>
    <s v="Servicios tecnológicos"/>
    <s v="007_Servicios tecnológicos"/>
    <s v="11-Infraestructura Tecnológica   (Sistemas de Información y Tecnologia) 007_Servicios tecnológicos"/>
    <x v="14"/>
    <x v="14"/>
    <x v="0"/>
    <s v="Si Secop "/>
  </r>
  <r>
    <n v="20250378"/>
    <x v="0"/>
    <x v="10"/>
    <s v="Paula Ximena Henao Escobar"/>
    <s v="Prestar servicios asistenciales para la gestión y desarrollo de actividades administrativas en los procesos que adelanta tecnología - TIC"/>
    <s v="26 - contrato de prestacion de servicios de apoyo a la gestion"/>
    <n v="80111600"/>
    <n v="2"/>
    <n v="11"/>
    <n v="0"/>
    <n v="33000000"/>
    <x v="0"/>
    <s v="09 - contratación directa"/>
    <x v="13"/>
    <x v="0"/>
    <x v="0"/>
    <x v="0"/>
    <x v="7"/>
    <x v="7"/>
    <s v="11-Infraestructura Tecnológica   (Sistemas de Información y Tecnologia)"/>
    <x v="9"/>
    <s v="Servicios tecnológicos"/>
    <s v="007_Servicios tecnológicos"/>
    <s v="11-Infraestructura Tecnológica   (Sistemas de Información y Tecnologia) 007_Servicios tecnológicos"/>
    <x v="14"/>
    <x v="14"/>
    <x v="0"/>
    <s v="Si Secop "/>
  </r>
  <r>
    <n v="20250379"/>
    <x v="0"/>
    <x v="10"/>
    <s v="Paula Ximena Henao Escobar"/>
    <s v="Prestar servicios profesionales en los procesos de analísis y diseño de las herramientas tecnologicas desarrolladas para el funcionamiento de las áreas de la entindad - TICS"/>
    <s v="25 - contrato de prestacion de servicios profesionales"/>
    <n v="80111600"/>
    <n v="2"/>
    <n v="11"/>
    <n v="0"/>
    <n v="66000000"/>
    <x v="0"/>
    <s v="09 - contratación directa"/>
    <x v="13"/>
    <x v="0"/>
    <x v="0"/>
    <x v="0"/>
    <x v="7"/>
    <x v="7"/>
    <s v="11-Infraestructura Tecnológica   (Sistemas de Información y Tecnologia)"/>
    <x v="9"/>
    <s v="Servicios tecnológicos"/>
    <s v="007_Servicios tecnológicos"/>
    <s v="11-Infraestructura Tecnológica   (Sistemas de Información y Tecnologia) 007_Servicios tecnológicos"/>
    <x v="14"/>
    <x v="14"/>
    <x v="0"/>
    <s v="Si Secop "/>
  </r>
  <r>
    <n v="20250380"/>
    <x v="0"/>
    <x v="10"/>
    <s v="Paula Ximena Henao Escobar"/>
    <s v="Prestar los servicios profesionales para el apoyo en la gestión jurídica en los procesos de contratación de los proyectos propuestos por la dirección - TICS"/>
    <s v="25 - contrato de prestacion de servicios profesionales"/>
    <n v="80111600"/>
    <n v="2"/>
    <n v="11"/>
    <n v="0"/>
    <n v="104500000"/>
    <x v="0"/>
    <s v="09 - contratación directa"/>
    <x v="13"/>
    <x v="0"/>
    <x v="0"/>
    <x v="0"/>
    <x v="7"/>
    <x v="7"/>
    <s v="11-Infraestructura Tecnológica   (Sistemas de Información y Tecnologia)"/>
    <x v="9"/>
    <s v="Servicios tecnológicos"/>
    <s v="007_Servicios tecnológicos"/>
    <s v="11-Infraestructura Tecnológica   (Sistemas de Información y Tecnologia) 007_Servicios tecnológicos"/>
    <x v="14"/>
    <x v="14"/>
    <x v="1"/>
    <s v="Si Secop "/>
  </r>
  <r>
    <n v="20250381"/>
    <x v="0"/>
    <x v="10"/>
    <s v="Paula Ximena Henao Escobar"/>
    <s v="Prestar los servicios profesionales para apoyar  a la Dirección TICs en la gestión juridica y contractual  relacionada con los proyectos y funciones TICs"/>
    <s v="25 - contrato de prestacion de servicios profesionales"/>
    <n v="80111600"/>
    <n v="2"/>
    <n v="11"/>
    <n v="0"/>
    <n v="79695000"/>
    <x v="0"/>
    <s v="09 - contratación directa"/>
    <x v="13"/>
    <x v="0"/>
    <x v="0"/>
    <x v="0"/>
    <x v="7"/>
    <x v="7"/>
    <s v="11-Infraestructura Tecnológica   (Sistemas de Información y Tecnologia)"/>
    <x v="9"/>
    <s v="Servicios tecnológicos"/>
    <s v="007_Servicios tecnológicos"/>
    <s v="11-Infraestructura Tecnológica   (Sistemas de Información y Tecnologia) 007_Servicios tecnológicos"/>
    <x v="14"/>
    <x v="14"/>
    <x v="1"/>
    <s v="Si Secop "/>
  </r>
  <r>
    <n v="20250382"/>
    <x v="0"/>
    <x v="10"/>
    <s v="Paula Ximena Henao Escobar"/>
    <s v="Adquisición de una plataforma tecnológica para el servicio de telefónia de voz  IP para la U.A.E. Cuerpo Oficial de Bomberos de Bogotá -TIC"/>
    <s v="17 - contrato de mantenimiento"/>
    <s v="43221700;43191500"/>
    <n v="3"/>
    <n v="9"/>
    <n v="0"/>
    <n v="150000000"/>
    <x v="0"/>
    <s v="03 - selec. abrev. subasta inversa"/>
    <x v="13"/>
    <x v="0"/>
    <x v="0"/>
    <x v="0"/>
    <x v="7"/>
    <x v="7"/>
    <s v="11-Infraestructura Tecnológica   (Sistemas de Información y Tecnologia)"/>
    <x v="9"/>
    <s v="Servicios tecnológicos"/>
    <s v="007_Servicios tecnológicos"/>
    <s v="11-Infraestructura Tecnológica   (Sistemas de Información y Tecnologia) 007_Servicios tecnológicos"/>
    <x v="14"/>
    <x v="14"/>
    <x v="10"/>
    <s v="Si Secop "/>
  </r>
  <r>
    <n v="20250383"/>
    <x v="0"/>
    <x v="10"/>
    <s v="Paula Ximena Henao Escobar"/>
    <s v="Contratar la prestación del servicio de monitoreo, control y seguimiento satelital a los vehículos de propiedad de la U.A.E. Cuerpo Oficial de Bomberos de Bogotá - TIC"/>
    <s v="03 - contrato de prestacion de servicios"/>
    <s v="83121700;83111600;43221700"/>
    <n v="3"/>
    <n v="9"/>
    <n v="0"/>
    <n v="100000000"/>
    <x v="0"/>
    <s v="17 - acuerdo marco de precios"/>
    <x v="15"/>
    <x v="0"/>
    <x v="0"/>
    <x v="0"/>
    <x v="7"/>
    <x v="7"/>
    <s v="11-Infraestructura Tecnológica   (Sistemas de Información y Tecnologia)"/>
    <x v="9"/>
    <s v="Servicios tecnológicos"/>
    <s v="007_Servicios tecnológicos"/>
    <s v="11-Infraestructura Tecnológica   (Sistemas de Información y Tecnologia) 007_Servicios tecnológicos"/>
    <x v="14"/>
    <x v="14"/>
    <x v="10"/>
    <s v="Si Secop "/>
  </r>
  <r>
    <n v="20250384"/>
    <x v="0"/>
    <x v="10"/>
    <s v="Paula Ximena Henao Escobar"/>
    <s v="Contratar el servicio de soporte del software Veeam Backup para la U.A.E. Cuerpo oficial de Bomberos de Bogotá - TIC"/>
    <s v="24 - contrato de servicio"/>
    <n v="81112200"/>
    <n v="3"/>
    <n v="9"/>
    <n v="0"/>
    <n v="75000000"/>
    <x v="0"/>
    <s v="03 - selec. abrev. subasta inversa"/>
    <x v="15"/>
    <x v="0"/>
    <x v="0"/>
    <x v="0"/>
    <x v="7"/>
    <x v="7"/>
    <s v="11-Infraestructura Tecnológica   (Sistemas de Información y Tecnologia)"/>
    <x v="9"/>
    <s v="Servicios tecnológicos"/>
    <s v="007_Servicios tecnológicos"/>
    <s v="11-Infraestructura Tecnológica   (Sistemas de Información y Tecnologia) 007_Servicios tecnológicos"/>
    <x v="14"/>
    <x v="14"/>
    <x v="10"/>
    <s v="Si Secop "/>
  </r>
  <r>
    <n v="20250385"/>
    <x v="0"/>
    <x v="10"/>
    <s v="Paula Ximena Henao Escobar"/>
    <s v="Contratar el servicio de soporte del sistema misional FUOCO para la U.A.E. Cuerpo Oficial de Bomberos de Bogotá de acuerdo a lo contemplado en el anexo técnico.-TIC-"/>
    <s v="24 - contrato de servicio"/>
    <s v="81112200;81112201"/>
    <n v="3"/>
    <n v="9"/>
    <n v="0"/>
    <n v="170000000"/>
    <x v="0"/>
    <s v="09 - contratación directa"/>
    <x v="15"/>
    <x v="0"/>
    <x v="0"/>
    <x v="0"/>
    <x v="7"/>
    <x v="7"/>
    <s v="11-Infraestructura Tecnológica   (Sistemas de Información y Tecnologia)"/>
    <x v="9"/>
    <s v="Servicios tecnológicos"/>
    <s v="007_Servicios tecnológicos"/>
    <s v="11-Infraestructura Tecnológica   (Sistemas de Información y Tecnologia) 007_Servicios tecnológicos"/>
    <x v="14"/>
    <x v="14"/>
    <x v="10"/>
    <s v="Si Secop "/>
  </r>
  <r>
    <n v="20250386"/>
    <x v="0"/>
    <x v="10"/>
    <s v="Paula Ximena Henao Escobar"/>
    <s v="Contratar la renovación del licenciamiento y soporte de las plataformas de seguridad perimetral Fortinet, firewalls y WAF del edificio comando y estaciones para la U.A.E. Cuerpo Oficial de Bomberos de Bogotá - TIC"/>
    <s v="22 - contrato de adquisicion de bienes"/>
    <s v="43233200;43222500"/>
    <n v="3"/>
    <n v="9"/>
    <n v="0"/>
    <n v="300000000"/>
    <x v="0"/>
    <s v="03 - selec. abrev. subasta inversa"/>
    <x v="16"/>
    <x v="0"/>
    <x v="0"/>
    <x v="0"/>
    <x v="7"/>
    <x v="7"/>
    <s v="11-Infraestructura Tecnológica   (Sistemas de Información y Tecnologia)"/>
    <x v="9"/>
    <s v="Servicios tecnológicos"/>
    <s v="007_Servicios tecnológicos"/>
    <s v="11-Infraestructura Tecnológica   (Sistemas de Información y Tecnologia) 007_Servicios tecnológicos"/>
    <x v="14"/>
    <x v="14"/>
    <x v="10"/>
    <s v="Si Secop "/>
  </r>
  <r>
    <n v="20250387"/>
    <x v="0"/>
    <x v="10"/>
    <s v="Paula Ximena Henao Escobar"/>
    <s v="Adicionar el contrato cuyo objeto es &quot;Contratar la renovación y soporte de licenciamiento del antivirus de la U.A.E. Cuerpo Oficial de Bomberos de Bogotá - TIC&quot;"/>
    <s v="24 - contrato de servicio"/>
    <n v="43233205"/>
    <n v="3"/>
    <n v="9"/>
    <n v="0"/>
    <n v="20000000"/>
    <x v="0"/>
    <s v="04 - contratación mínima cuantía"/>
    <x v="15"/>
    <x v="0"/>
    <x v="0"/>
    <x v="0"/>
    <x v="7"/>
    <x v="7"/>
    <s v="11-Infraestructura Tecnológica   (Sistemas de Información y Tecnologia)"/>
    <x v="9"/>
    <s v="Servicios tecnológicos"/>
    <s v="007_Servicios tecnológicos"/>
    <s v="11-Infraestructura Tecnológica   (Sistemas de Información y Tecnologia) 007_Servicios tecnológicos"/>
    <x v="14"/>
    <x v="14"/>
    <x v="12"/>
    <s v="Si Secop "/>
  </r>
  <r>
    <n v="20250388"/>
    <x v="0"/>
    <x v="10"/>
    <s v="Paula Ximena Henao Escobar"/>
    <s v="Contratar la adquisición, renovación y  suscripciones de licencia Microsoft para la U.A.E. Cuerpo Oficial de Bomberos de Bogotá - TIC"/>
    <s v="03 - contrato de prestacion de servicios"/>
    <s v="43231512;81112501"/>
    <n v="3"/>
    <n v="9"/>
    <n v="0"/>
    <n v="700000000"/>
    <x v="0"/>
    <s v="17 - acuerdo marco de precios"/>
    <x v="15"/>
    <x v="0"/>
    <x v="0"/>
    <x v="0"/>
    <x v="7"/>
    <x v="7"/>
    <s v="11-Infraestructura Tecnológica   (Sistemas de Información y Tecnologia)"/>
    <x v="9"/>
    <s v="Servicios tecnológicos"/>
    <s v="007_Servicios tecnológicos"/>
    <s v="11-Infraestructura Tecnológica   (Sistemas de Información y Tecnologia) 007_Servicios tecnológicos"/>
    <x v="14"/>
    <x v="14"/>
    <x v="12"/>
    <s v="Si Secop "/>
  </r>
  <r>
    <n v="20250389"/>
    <x v="0"/>
    <x v="10"/>
    <s v="Paula Ximena Henao Escobar"/>
    <s v="Contratar el alquiler de equipos tecnológicos, periféricos y servicios complementarios para la U.A.E. Cuerpo Oficial de Bomberos de Bogotá. - TIC"/>
    <s v="23 - contrato de alquiler"/>
    <n v="81112401"/>
    <n v="3"/>
    <n v="9"/>
    <n v="0"/>
    <n v="50000000"/>
    <x v="0"/>
    <s v="17 - acuerdo marco de precios"/>
    <x v="13"/>
    <x v="0"/>
    <x v="0"/>
    <x v="0"/>
    <x v="7"/>
    <x v="7"/>
    <s v="11-Infraestructura Tecnológica   (Sistemas de Información y Tecnologia)"/>
    <x v="9"/>
    <s v="Servicios tecnológicos"/>
    <s v="007_Servicios tecnológicos"/>
    <s v="11-Infraestructura Tecnológica   (Sistemas de Información y Tecnologia) 007_Servicios tecnológicos"/>
    <x v="14"/>
    <x v="14"/>
    <x v="12"/>
    <s v="Si Secop "/>
  </r>
  <r>
    <n v="20250390"/>
    <x v="0"/>
    <x v="10"/>
    <s v="Paula Ximena Henao Escobar"/>
    <s v="Contratar el servicio de soporte y mantenimiento del sistema de gestión documental  para la U.A.E. Cuerpo Oficial de Bomberos de Bogotá- TIC"/>
    <s v="13 - orden de servicio"/>
    <s v="43233000;81112200"/>
    <n v="3"/>
    <n v="9"/>
    <n v="0"/>
    <n v="210000000"/>
    <x v="0"/>
    <s v="09 - contratación directa"/>
    <x v="15"/>
    <x v="0"/>
    <x v="0"/>
    <x v="0"/>
    <x v="7"/>
    <x v="7"/>
    <s v="11-Infraestructura Tecnológica   (Sistemas de Información y Tecnologia)"/>
    <x v="9"/>
    <s v="Servicios tecnológicos"/>
    <s v="007_Servicios tecnológicos"/>
    <s v="11-Infraestructura Tecnológica   (Sistemas de Información y Tecnologia) 007_Servicios tecnológicos"/>
    <x v="14"/>
    <x v="14"/>
    <x v="10"/>
    <s v="Si Secop "/>
  </r>
  <r>
    <n v="20250391"/>
    <x v="0"/>
    <x v="10"/>
    <s v="Paula Ximena Henao Escobar"/>
    <s v="Contratar el servicio de nube publica para la U.A.E Cuerpo Oficial de Bomberos de Bogotá - TIC"/>
    <s v="24 - contrato de servicio"/>
    <n v="81112006"/>
    <n v="3"/>
    <n v="9"/>
    <n v="0"/>
    <n v="100000000"/>
    <x v="0"/>
    <s v="17 - acuerdo marco de precios"/>
    <x v="15"/>
    <x v="0"/>
    <x v="0"/>
    <x v="0"/>
    <x v="7"/>
    <x v="7"/>
    <s v="11-Infraestructura Tecnológica   (Sistemas de Información y Tecnologia)"/>
    <x v="9"/>
    <s v="Servicios tecnológicos"/>
    <s v="007_Servicios tecnológicos"/>
    <s v="11-Infraestructura Tecnológica   (Sistemas de Información y Tecnologia) 007_Servicios tecnológicos"/>
    <x v="14"/>
    <x v="14"/>
    <x v="10"/>
    <s v="Si Secop "/>
  </r>
  <r>
    <n v="20250392"/>
    <x v="0"/>
    <x v="10"/>
    <s v="Paula Ximena Henao Escobar"/>
    <s v="Contratar la renovación , servicio de actualización y soporte de licenciamiento Oracle para Base de Datos,  y Web Logic para la U.A.E. Cuerpo Oficial de Bomberos de Bogotá - TIC"/>
    <s v="19 - contrato de renovacion de licencias"/>
    <s v="81112204;81112501"/>
    <n v="3"/>
    <n v="9"/>
    <n v="0"/>
    <n v="200000000"/>
    <x v="0"/>
    <s v="09 - contratación directa"/>
    <x v="15"/>
    <x v="0"/>
    <x v="0"/>
    <x v="0"/>
    <x v="7"/>
    <x v="7"/>
    <s v="11-Infraestructura Tecnológica   (Sistemas de Información y Tecnologia)"/>
    <x v="9"/>
    <s v="Servicios tecnológicos"/>
    <s v="007_Servicios tecnológicos"/>
    <s v="11-Infraestructura Tecnológica   (Sistemas de Información y Tecnologia) 007_Servicios tecnológicos"/>
    <x v="14"/>
    <x v="14"/>
    <x v="10"/>
    <s v="Si Secop "/>
  </r>
  <r>
    <n v="20250393"/>
    <x v="0"/>
    <x v="10"/>
    <s v="Paula Ximena Henao Escobar"/>
    <s v="Adicionar el contrato cuyo objeto es &quot;Contratar el servicio de mantenimiento para el sistema de atención de turnos de la U.A.E. Cuerpo Oficial de Bomberos de Bogotá - TIC&quot;"/>
    <s v="27 - contrato de prestacion de servicios de mantenimiento"/>
    <s v="32131023;39121011;43232300"/>
    <n v="3"/>
    <n v="9"/>
    <n v="0"/>
    <n v="20000000"/>
    <x v="0"/>
    <s v="09 - contratación directa"/>
    <x v="15"/>
    <x v="0"/>
    <x v="0"/>
    <x v="0"/>
    <x v="7"/>
    <x v="7"/>
    <s v="11-Infraestructura Tecnológica   (Sistemas de Información y Tecnologia)"/>
    <x v="9"/>
    <s v="Servicios tecnológicos"/>
    <s v="007_Servicios tecnológicos"/>
    <s v="11-Infraestructura Tecnológica   (Sistemas de Información y Tecnologia) 007_Servicios tecnológicos"/>
    <x v="14"/>
    <x v="14"/>
    <x v="10"/>
    <s v="Si Secop "/>
  </r>
  <r>
    <n v="20250394"/>
    <x v="0"/>
    <x v="10"/>
    <s v="Paula Ximena Henao Escobar"/>
    <s v="Contratar el servicio de mantenimiento preventivo y correctivo de los radios portátiles y móviles marca motorola propiedad de la U.A.E. Cuerpo Oficial de Bomberos de Bogotá - TIC"/>
    <s v="03 - contrato de prestacion de servicios"/>
    <s v="72151607;72103302"/>
    <n v="3"/>
    <n v="9"/>
    <n v="0"/>
    <n v="500000000"/>
    <x v="0"/>
    <s v="09 - contratación directa"/>
    <x v="13"/>
    <x v="0"/>
    <x v="0"/>
    <x v="0"/>
    <x v="7"/>
    <x v="7"/>
    <s v="11-Infraestructura Tecnológica   (Sistemas de Información y Tecnologia)"/>
    <x v="9"/>
    <s v="Servicios tecnológicos"/>
    <s v="007_Servicios tecnológicos"/>
    <s v="11-Infraestructura Tecnológica   (Sistemas de Información y Tecnologia) 007_Servicios tecnológicos"/>
    <x v="14"/>
    <x v="14"/>
    <x v="10"/>
    <s v="Si Secop "/>
  </r>
  <r>
    <n v="20250395"/>
    <x v="0"/>
    <x v="10"/>
    <s v="Paula Ximena Henao Escobar"/>
    <s v="Contratr adquision, actualizacion tecnologica, soporte y mantenimiento preventivo y correctivo con repuestos para los sistemas de video vigilancia de las estaciones y Edificio Comando de la U.A.E. Cuerpo Oficial de Bomberos de Bogotá - TIC"/>
    <s v="24 - contrato de servicio"/>
    <n v="43233200"/>
    <n v="3"/>
    <n v="9"/>
    <n v="0"/>
    <n v="150000000"/>
    <x v="0"/>
    <s v="03 - selec. abrev. subasta inversa"/>
    <x v="16"/>
    <x v="0"/>
    <x v="0"/>
    <x v="0"/>
    <x v="7"/>
    <x v="7"/>
    <s v="11-Infraestructura Tecnológica   (Sistemas de Información y Tecnologia)"/>
    <x v="9"/>
    <s v="Servicios tecnológicos"/>
    <s v="007_Servicios tecnológicos"/>
    <s v="11-Infraestructura Tecnológica   (Sistemas de Información y Tecnologia) 007_Servicios tecnológicos"/>
    <x v="14"/>
    <x v="14"/>
    <x v="10"/>
    <s v="Si Secop "/>
  </r>
  <r>
    <n v="20250396"/>
    <x v="0"/>
    <x v="10"/>
    <s v="Paula Ximena Henao Escobar"/>
    <s v="adquisicion, modernizacion y mantenimiento preventivo y correctivo de UPS,  aires acondicionados, con suministro de repuestos para todas las sedes de la U.A.E. Cuerpo Oficial de Bomberos de Bogotá.- TIC&quot;"/>
    <s v="17 - contrato de mantenimiento"/>
    <s v="72151500;72101500;73152100"/>
    <n v="3"/>
    <n v="9"/>
    <n v="0"/>
    <n v="200000000"/>
    <x v="0"/>
    <s v="03 - selec. abrev. subasta inversa"/>
    <x v="13"/>
    <x v="0"/>
    <x v="0"/>
    <x v="0"/>
    <x v="7"/>
    <x v="7"/>
    <s v="11-Infraestructura Tecnológica   (Sistemas de Información y Tecnologia)"/>
    <x v="9"/>
    <s v="Servicios tecnológicos"/>
    <s v="007_Servicios tecnológicos"/>
    <s v="11-Infraestructura Tecnológica   (Sistemas de Información y Tecnologia) 007_Servicios tecnológicos"/>
    <x v="14"/>
    <x v="14"/>
    <x v="10"/>
    <s v="Si Secop "/>
  </r>
  <r>
    <n v="20250397"/>
    <x v="0"/>
    <x v="10"/>
    <s v="Paula Ximena Henao Escobar"/>
    <s v="Adicionar el contrato cuyo objeto es &quot;Contratar el servicio de actualización y soporte de licenciamiento ArcGIS para la U.A.E. Cuerpo Oficial de Bomberos de Bogotá.- TIC&quot;"/>
    <s v="19 - contrato de renovacion de licencias"/>
    <n v="81112217"/>
    <n v="3"/>
    <n v="9"/>
    <n v="0"/>
    <n v="30000000"/>
    <x v="0"/>
    <s v="09 - contratación directa"/>
    <x v="15"/>
    <x v="0"/>
    <x v="0"/>
    <x v="0"/>
    <x v="7"/>
    <x v="7"/>
    <s v="11-Infraestructura Tecnológica   (Sistemas de Información y Tecnologia)"/>
    <x v="9"/>
    <s v="Servicios tecnológicos"/>
    <s v="007_Servicios tecnológicos"/>
    <s v="11-Infraestructura Tecnológica   (Sistemas de Información y Tecnologia) 007_Servicios tecnológicos"/>
    <x v="14"/>
    <x v="14"/>
    <x v="10"/>
    <s v="Si Secop "/>
  </r>
  <r>
    <n v="20250398"/>
    <x v="0"/>
    <x v="10"/>
    <s v="Paula Ximena Henao Escobar"/>
    <s v="Contratar la adquisición de usuarios de ArcGis para la U.A.E. Cuerpo Oficial de Bomberos de Bogotá. - TIC"/>
    <s v="19 - contrato de renovacion de licencias"/>
    <n v="81112217"/>
    <n v="1"/>
    <n v="12"/>
    <n v="0"/>
    <n v="20000000"/>
    <x v="0"/>
    <s v="09 - contratación directa"/>
    <x v="15"/>
    <x v="0"/>
    <x v="0"/>
    <x v="0"/>
    <x v="7"/>
    <x v="7"/>
    <s v="11-Infraestructura Tecnológica   (Sistemas de Información y Tecnologia)"/>
    <x v="9"/>
    <s v="Servicios tecnológicos"/>
    <s v="007_Servicios tecnológicos"/>
    <s v="11-Infraestructura Tecnológica   (Sistemas de Información y Tecnologia) 007_Servicios tecnológicos"/>
    <x v="14"/>
    <x v="14"/>
    <x v="10"/>
    <s v="Si Secop "/>
  </r>
  <r>
    <n v="20250399"/>
    <x v="0"/>
    <x v="10"/>
    <s v="Paula Ximena Henao Escobar"/>
    <s v="Contratar la adquisición de tarjetas de comunicación satelital de voz para la UAE Cuerpo Oficial de Bomberos Bogotá. "/>
    <s v="03 - contrato de prestacion de servicios"/>
    <s v="83121700;83111600;43221700"/>
    <n v="3"/>
    <n v="9"/>
    <n v="0"/>
    <n v="30000000"/>
    <x v="0"/>
    <s v="17 - acuerdo marco de precios"/>
    <x v="13"/>
    <x v="0"/>
    <x v="0"/>
    <x v="0"/>
    <x v="7"/>
    <x v="7"/>
    <s v="11-Infraestructura Tecnológica   (Sistemas de Información y Tecnologia)"/>
    <x v="9"/>
    <s v="Servicios tecnológicos"/>
    <s v="007_Servicios tecnológicos"/>
    <s v="11-Infraestructura Tecnológica   (Sistemas de Información y Tecnologia) 007_Servicios tecnológicos"/>
    <x v="14"/>
    <x v="14"/>
    <x v="10"/>
    <s v="Si Secop "/>
  </r>
  <r>
    <n v="20250400"/>
    <x v="0"/>
    <x v="10"/>
    <s v="Paula Ximena Henao Escobar"/>
    <s v="Adquisición de software para análisis de vulnerabilidades para la UAE Cuerpo Oficial de Bomberos de Bogotá"/>
    <s v="24 - contrato de servicio"/>
    <s v="43233203, 43233205"/>
    <n v="3"/>
    <n v="9"/>
    <n v="0"/>
    <n v="200000000"/>
    <x v="0"/>
    <s v="03 - selec. abrev. subasta inversa"/>
    <x v="16"/>
    <x v="0"/>
    <x v="0"/>
    <x v="0"/>
    <x v="7"/>
    <x v="7"/>
    <s v="11-Infraestructura Tecnológica   (Sistemas de Información y Tecnologia)"/>
    <x v="9"/>
    <s v="Servicios tecnológicos"/>
    <s v="007_Servicios tecnológicos"/>
    <s v="11-Infraestructura Tecnológica   (Sistemas de Información y Tecnologia) 007_Servicios tecnológicos"/>
    <x v="14"/>
    <x v="14"/>
    <x v="10"/>
    <s v="Si Secop "/>
  </r>
  <r>
    <n v="20250401"/>
    <x v="0"/>
    <x v="10"/>
    <s v="Paula Ximena Henao Escobar"/>
    <s v="Adquisición de impresora, software e insumos para la generación de carnet para la UAE Cuerpo Oficial de Bomberos de Bogotá"/>
    <s v="06 - contrato de compraventa"/>
    <s v="43212105, 43212110,43212115"/>
    <n v="3"/>
    <n v="9"/>
    <n v="0"/>
    <n v="28000000"/>
    <x v="0"/>
    <s v="03 - selec. abrev. subasta inversa"/>
    <x v="13"/>
    <x v="0"/>
    <x v="0"/>
    <x v="0"/>
    <x v="7"/>
    <x v="7"/>
    <s v="11-Infraestructura Tecnológica   (Sistemas de Información y Tecnologia)"/>
    <x v="9"/>
    <s v="Servicios tecnológicos"/>
    <s v="007_Servicios tecnológicos"/>
    <s v="11-Infraestructura Tecnológica   (Sistemas de Información y Tecnologia) 007_Servicios tecnológicos"/>
    <x v="14"/>
    <x v="14"/>
    <x v="10"/>
    <s v="Si Secop "/>
  </r>
  <r>
    <n v="20250402"/>
    <x v="0"/>
    <x v="10"/>
    <s v="Paula Ximena Henao Escobar"/>
    <s v="Adquisición de antenas y servicio de internet satelital"/>
    <s v="03 - contrato de prestacion de servicios"/>
    <s v="83121700;83111600;43221700"/>
    <n v="3"/>
    <n v="9"/>
    <n v="0"/>
    <n v="50000000"/>
    <x v="0"/>
    <s v="17 - acuerdo marco de precios"/>
    <x v="13"/>
    <x v="0"/>
    <x v="0"/>
    <x v="0"/>
    <x v="7"/>
    <x v="7"/>
    <s v="11-Infraestructura Tecnológica   (Sistemas de Información y Tecnologia)"/>
    <x v="9"/>
    <s v="Servicios tecnológicos"/>
    <s v="007_Servicios tecnológicos"/>
    <s v="11-Infraestructura Tecnológica   (Sistemas de Información y Tecnologia) 007_Servicios tecnológicos"/>
    <x v="14"/>
    <x v="14"/>
    <x v="10"/>
    <s v="Si Secop "/>
  </r>
  <r>
    <n v="20250403"/>
    <x v="0"/>
    <x v="10"/>
    <s v="Paula Ximena Henao Escobar"/>
    <s v="Renovación de la infraestructura de equipos activos de red."/>
    <s v="06 - contrato de compraventa"/>
    <n v="43201800"/>
    <n v="3"/>
    <n v="9"/>
    <n v="0"/>
    <n v="200000000"/>
    <x v="0"/>
    <s v="03 - selec. abrev. subasta inversa"/>
    <x v="13"/>
    <x v="0"/>
    <x v="0"/>
    <x v="0"/>
    <x v="7"/>
    <x v="7"/>
    <s v="11-Infraestructura Tecnológica   (Sistemas de Información y Tecnologia)"/>
    <x v="9"/>
    <s v="Servicios tecnológicos"/>
    <s v="007_Servicios tecnológicos"/>
    <s v="11-Infraestructura Tecnológica   (Sistemas de Información y Tecnologia) 007_Servicios tecnológicos"/>
    <x v="14"/>
    <x v="14"/>
    <x v="12"/>
    <s v="Si Secop "/>
  </r>
  <r>
    <n v="20250404"/>
    <x v="0"/>
    <x v="10"/>
    <s v="Paula Ximena Henao Escobar"/>
    <s v="Renovación de garantía y soporte de fabrica equipos activos"/>
    <s v="19 - contrato de renovacion de licencias"/>
    <n v="43222635"/>
    <n v="3"/>
    <n v="9"/>
    <n v="0"/>
    <n v="150000000"/>
    <x v="0"/>
    <s v="03 - selec. abrev. subasta inversa"/>
    <x v="13"/>
    <x v="0"/>
    <x v="0"/>
    <x v="0"/>
    <x v="7"/>
    <x v="7"/>
    <s v="11-Infraestructura Tecnológica   (Sistemas de Información y Tecnologia)"/>
    <x v="9"/>
    <s v="Servicios tecnológicos"/>
    <s v="007_Servicios tecnológicos"/>
    <s v="11-Infraestructura Tecnológica   (Sistemas de Información y Tecnologia) 007_Servicios tecnológicos"/>
    <x v="14"/>
    <x v="14"/>
    <x v="10"/>
    <s v="Si Secop "/>
  </r>
  <r>
    <n v="20250405"/>
    <x v="0"/>
    <x v="10"/>
    <s v="Paula Ximena Henao Escobar"/>
    <s v="Control de acceso a las instalaciones y areas restrigidas "/>
    <s v="03 - contrato de prestacion de servicios"/>
    <s v="81111508;81111809;81161501;43231500;43231513"/>
    <n v="3"/>
    <n v="9"/>
    <n v="0"/>
    <n v="200000000"/>
    <x v="0"/>
    <s v="03 - selec. abrev. subasta inversa"/>
    <x v="13"/>
    <x v="0"/>
    <x v="0"/>
    <x v="0"/>
    <x v="7"/>
    <x v="7"/>
    <s v="11-Infraestructura Tecnológica   (Sistemas de Información y Tecnologia)"/>
    <x v="9"/>
    <s v="Servicios tecnológicos"/>
    <s v="007_Servicios tecnológicos"/>
    <s v="11-Infraestructura Tecnológica   (Sistemas de Información y Tecnologia) 007_Servicios tecnológicos"/>
    <x v="14"/>
    <x v="14"/>
    <x v="10"/>
    <s v="Si Secop "/>
  </r>
  <r>
    <n v="20250406"/>
    <x v="0"/>
    <x v="10"/>
    <s v="Paula Ximena Henao Escobar"/>
    <s v="Realizar la adquisición de un software para la capacitación a la comunidad sobre la prevención de emergencias"/>
    <s v="06 - contrato de compraventa"/>
    <n v="43232505"/>
    <n v="3"/>
    <n v="9"/>
    <n v="0"/>
    <n v="200000000"/>
    <x v="0"/>
    <s v="03 - selec. abrev. subasta inversa"/>
    <x v="15"/>
    <x v="0"/>
    <x v="0"/>
    <x v="0"/>
    <x v="7"/>
    <x v="7"/>
    <s v="11-Infraestructura Tecnológica   (Sistemas de Información y Tecnologia)"/>
    <x v="9"/>
    <s v="Servicios tecnológicos"/>
    <s v="007_Servicios tecnológicos"/>
    <s v="11-Infraestructura Tecnológica   (Sistemas de Información y Tecnologia) 007_Servicios tecnológicos"/>
    <x v="14"/>
    <x v="14"/>
    <x v="10"/>
    <s v="Si Secop "/>
  </r>
  <r>
    <n v="20250407"/>
    <x v="0"/>
    <x v="10"/>
    <s v="Paula Ximena Henao Escobar"/>
    <s v="Adquisición de radios de comunicaciones en la banda VHF para las comunicaciones de la UAE Cuerpo Oficial de Bomberos de Bogotá"/>
    <s v="06 - contrato de compraventa"/>
    <n v="43232505"/>
    <n v="3"/>
    <n v="9"/>
    <n v="0"/>
    <n v="326473093"/>
    <x v="0"/>
    <s v="03 - selec. abrev. subasta inversa"/>
    <x v="13"/>
    <x v="0"/>
    <x v="0"/>
    <x v="0"/>
    <x v="7"/>
    <x v="7"/>
    <s v="11-Infraestructura Tecnológica   (Sistemas de Información y Tecnologia)"/>
    <x v="9"/>
    <s v="Servicios tecnológicos"/>
    <s v="007_Servicios tecnológicos"/>
    <s v="11-Infraestructura Tecnológica   (Sistemas de Información y Tecnologia) 007_Servicios tecnológicos"/>
    <x v="14"/>
    <x v="14"/>
    <x v="12"/>
    <s v="Si Secop "/>
  </r>
  <r>
    <n v="20250408"/>
    <x v="0"/>
    <x v="10"/>
    <s v="Paula Ximena Henao Escobar"/>
    <s v="Realizar la actualización de la página web de la UAE Cuerpo Oficial de Bomberos de Bogota"/>
    <s v="06 - contrato de compraventa"/>
    <n v="81112100"/>
    <n v="3"/>
    <n v="9"/>
    <n v="0"/>
    <n v="80000000"/>
    <x v="0"/>
    <s v="03 - selec. abrev. subasta inversa"/>
    <x v="15"/>
    <x v="0"/>
    <x v="0"/>
    <x v="0"/>
    <x v="7"/>
    <x v="7"/>
    <s v="11-Infraestructura Tecnológica   (Sistemas de Información y Tecnologia)"/>
    <x v="9"/>
    <s v="Servicios tecnológicos"/>
    <s v="007_Servicios tecnológicos"/>
    <s v="11-Infraestructura Tecnológica   (Sistemas de Información y Tecnologia) 007_Servicios tecnológicos"/>
    <x v="14"/>
    <x v="14"/>
    <x v="10"/>
    <s v="Si Secop "/>
  </r>
  <r>
    <n v="20250409"/>
    <x v="0"/>
    <x v="10"/>
    <s v="Paula Ximena Henao Escobar"/>
    <s v="Adquisición de sistema de monitoreo para la prevención y alertas tempranas en lo que corresponde a los incidentes forestales en los cerros"/>
    <s v="06 - contrato de compraventa"/>
    <n v="43233700"/>
    <n v="3"/>
    <n v="9"/>
    <n v="0"/>
    <n v="400000000"/>
    <x v="0"/>
    <s v="03 - selec. abrev. subasta inversa"/>
    <x v="13"/>
    <x v="0"/>
    <x v="0"/>
    <x v="0"/>
    <x v="7"/>
    <x v="7"/>
    <s v="11-Infraestructura Tecnológica   (Sistemas de Información y Tecnologia)"/>
    <x v="9"/>
    <s v="Servicios tecnológicos"/>
    <s v="007_Servicios tecnológicos"/>
    <s v="11-Infraestructura Tecnológica   (Sistemas de Información y Tecnologia) 007_Servicios tecnológicos"/>
    <x v="14"/>
    <x v="14"/>
    <x v="10"/>
    <s v="Si Secop "/>
  </r>
  <r>
    <n v="20250410"/>
    <x v="1"/>
    <x v="11"/>
    <s v="Fatima Veronica Quintero Nuñez"/>
    <s v="Pago de pasivos exigibles"/>
    <s v="12 - resolucion"/>
    <s v="N/A"/>
    <s v="N/A"/>
    <s v="N/A"/>
    <s v="N/A"/>
    <n v="600049334"/>
    <x v="2"/>
    <s v=" 91 - n/a acto administrativo (resolución, decreto, acuerdo, etc.) "/>
    <x v="21"/>
    <x v="0"/>
    <x v="1"/>
    <x v="1"/>
    <x v="0"/>
    <x v="0"/>
    <s v="08-Infraestructura física, mantenimiento y dotación (Sedes construidas, mantenidas reforzadas)"/>
    <x v="10"/>
    <s v="Estaciones de bomberos adecuadas"/>
    <s v="014_Estaciones de bomberos adecuadas"/>
    <s v="08-Infraestructura física, mantenimiento y dotación (Sedes construidas, mantenidas reforzadas) 014_Estaciones de bomberos adecuadas"/>
    <x v="15"/>
    <x v="15"/>
    <x v="13"/>
    <s v="Si Secop "/>
  </r>
  <r>
    <n v="20250411"/>
    <x v="0"/>
    <x v="11"/>
    <s v="Fatima Veronica Quintero Nuñez"/>
    <s v="Contratar la prestación del servicio de aseo y cafetería incluido insumos para la UAE Cuerpo Oficial de Bomberos -SGC"/>
    <s v="01 - orden de compra"/>
    <s v="44121700;44121800;44121900;44122000"/>
    <n v="2"/>
    <n v="0"/>
    <n v="11"/>
    <n v="400000000"/>
    <x v="0"/>
    <s v=" 17 - acuerdo marco de precios "/>
    <x v="22"/>
    <x v="0"/>
    <x v="0"/>
    <x v="0"/>
    <x v="0"/>
    <x v="0"/>
    <s v="08-Infraestructura física, mantenimiento y dotación (Sedes construidas, mantenidas reforzadas)"/>
    <x v="0"/>
    <s v="Sedes mantenidas"/>
    <s v="016_Sedes mantenidas"/>
    <s v="08-Infraestructura física, mantenimiento y dotación (Sedes construidas, mantenidas reforzadas) 016_Sedes mantenidas"/>
    <x v="0"/>
    <x v="0"/>
    <x v="14"/>
    <s v="Si Secop "/>
  </r>
  <r>
    <n v="20250412"/>
    <x v="0"/>
    <x v="11"/>
    <s v="Fatima Veronica Quintero Nuñez"/>
    <s v="Prestación de servicios de apoyo a la gestión en la ejecución de los planes y programas de servicio al ciudadano a cargo de la Subdirección de Gestión Corporativa.-SGC"/>
    <s v="26 - contrato de prestacion de servicios de apoyo a la gestion"/>
    <s v="80111600;"/>
    <n v="2"/>
    <n v="0"/>
    <n v="11"/>
    <n v="33534424"/>
    <x v="0"/>
    <s v=" 09 - contratación directa "/>
    <x v="0"/>
    <x v="0"/>
    <x v="0"/>
    <x v="0"/>
    <x v="0"/>
    <x v="0"/>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13"/>
    <x v="0"/>
    <x v="11"/>
    <s v="Fatima Veronica Quintero Nuñez"/>
    <s v="Prestación de servicios profesionales para articular la gestión en la ejecución de los planes y programas de servicio al ciudadano a cargo de la Subdirección de Gestión Corporativa.-SGC"/>
    <s v="25 - contrato de prestacion de servicios profesionales"/>
    <s v="80111600;"/>
    <n v="2"/>
    <n v="0"/>
    <n v="11"/>
    <n v="99918896"/>
    <x v="0"/>
    <s v=" 09 - contratación directa "/>
    <x v="0"/>
    <x v="0"/>
    <x v="0"/>
    <x v="0"/>
    <x v="0"/>
    <x v="0"/>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14"/>
    <x v="0"/>
    <x v="11"/>
    <s v="Fatima Veronica Quintero Nuñez"/>
    <s v="Prestación de servicios de apoyo a la gestión en la ejecución de los planes y programas de servicio al ciudadano a cargo de la Subdirección de Gestión Corporativa.-SGC"/>
    <s v="26 - contrato de prestacion de servicios de apoyo a la gestion"/>
    <s v="80111600;"/>
    <n v="2"/>
    <n v="0"/>
    <n v="11"/>
    <n v="33534424"/>
    <x v="0"/>
    <s v=" 09 - contratación directa "/>
    <x v="0"/>
    <x v="0"/>
    <x v="0"/>
    <x v="0"/>
    <x v="0"/>
    <x v="0"/>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15"/>
    <x v="0"/>
    <x v="11"/>
    <s v="Fatima Veronica Quintero Nuñez"/>
    <s v="Prestación de servicios de apoyo a la gestión en la ejecución de los planes y programas de servicio al ciudadano a cargo de la Subdirección de Gestión Corporativa.-SGC"/>
    <s v="26 - contrato de prestacion de servicios de apoyo a la gestion"/>
    <s v="80111600;"/>
    <n v="2"/>
    <n v="0"/>
    <n v="11"/>
    <n v="33534424"/>
    <x v="0"/>
    <s v=" 09 - contratación directa "/>
    <x v="0"/>
    <x v="0"/>
    <x v="0"/>
    <x v="0"/>
    <x v="0"/>
    <x v="0"/>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16"/>
    <x v="0"/>
    <x v="11"/>
    <s v="Fatima Veronica Quintero Nuñez"/>
    <s v="Prestación de servicios de apoyo a la gestión en la ejecución de los planes y programas de servicio al ciudadano a cargo de la Subdirección de Gestión Corporativa.-SGC"/>
    <s v="26 - contrato de prestacion de servicios de apoyo a la gestion"/>
    <s v="80111600;"/>
    <n v="2"/>
    <n v="0"/>
    <n v="11"/>
    <n v="33534424"/>
    <x v="0"/>
    <s v=" 09 - contratación directa "/>
    <x v="0"/>
    <x v="0"/>
    <x v="0"/>
    <x v="0"/>
    <x v="0"/>
    <x v="0"/>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17"/>
    <x v="0"/>
    <x v="11"/>
    <s v="Fatima Veronica Quintero Nuñez"/>
    <s v="Prestación de servicios de apoyo a la gestión en la ejecución de los planes y programas de servicio al ciudadano a cargo de la Subdirección de Gestión Corporativa.-SGC"/>
    <s v="26 - contrato de prestacion de servicios de apoyo a la gestion"/>
    <s v="80111600;"/>
    <n v="2"/>
    <n v="0"/>
    <n v="11"/>
    <n v="33534424"/>
    <x v="0"/>
    <s v=" 09 - contratación directa "/>
    <x v="0"/>
    <x v="0"/>
    <x v="0"/>
    <x v="0"/>
    <x v="0"/>
    <x v="0"/>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18"/>
    <x v="0"/>
    <x v="11"/>
    <s v="Fatima Veronica Quintero Nuñez"/>
    <s v="Prestación de servicios de apoyo a la gestión en la ejecución de los planes y programas de servicio al ciudadano a cargo de la Subdirección de Gestión Corporativa.-SGC"/>
    <s v="26 - contrato de prestacion de servicios de apoyo a la gestion"/>
    <s v="80111600;"/>
    <n v="2"/>
    <n v="0"/>
    <n v="11"/>
    <n v="33534424"/>
    <x v="0"/>
    <s v=" 09 - contratación directa "/>
    <x v="0"/>
    <x v="0"/>
    <x v="0"/>
    <x v="0"/>
    <x v="0"/>
    <x v="0"/>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19"/>
    <x v="0"/>
    <x v="11"/>
    <s v="Fatima Veronica Quintero Nuñez"/>
    <s v="Prestación de servicios de apoyo a la gestión en la ejecución de los planes y programas de servicio al ciudadano a cargo de la Subdirección de Gestión Corporativa.-SGC"/>
    <s v="26 - contrato de prestacion de servicios de apoyo a la gestion"/>
    <s v="80111600;"/>
    <n v="2"/>
    <n v="0"/>
    <n v="11"/>
    <n v="33534424"/>
    <x v="0"/>
    <s v=" 09 - contratación directa "/>
    <x v="0"/>
    <x v="0"/>
    <x v="0"/>
    <x v="0"/>
    <x v="0"/>
    <x v="0"/>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20"/>
    <x v="0"/>
    <x v="11"/>
    <s v="Fatima Veronica Quintero Nuñez"/>
    <s v="Prestación de servicios de apoyo a la gestión en la ejecución de los planes y programas de servicio al ciudadano a cargo de la Subdirección de Gestión Corporativa.-SGC"/>
    <s v="26 - contrato de prestacion de servicios de apoyo a la gestion"/>
    <s v="80111600;"/>
    <n v="2"/>
    <n v="0"/>
    <n v="11"/>
    <n v="33534424"/>
    <x v="0"/>
    <s v=" 09 - contratación directa "/>
    <x v="0"/>
    <x v="0"/>
    <x v="0"/>
    <x v="0"/>
    <x v="0"/>
    <x v="0"/>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21"/>
    <x v="0"/>
    <x v="11"/>
    <s v="Fatima Veronica Quintero Nuñez"/>
    <s v="Prestación de servicios de apoyo a la gestión en la ejecución de los planes y programas de servicio al ciudadano a cargo de la Subdirección de Gestión Corporativa.-SGC"/>
    <s v="26 - contrato de prestacion de servicios de apoyo a la gestion"/>
    <s v="80111600;"/>
    <n v="2"/>
    <n v="0"/>
    <n v="11"/>
    <n v="33534424"/>
    <x v="0"/>
    <s v=" 09 - contratación directa "/>
    <x v="0"/>
    <x v="0"/>
    <x v="0"/>
    <x v="0"/>
    <x v="0"/>
    <x v="0"/>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22"/>
    <x v="0"/>
    <x v="11"/>
    <s v="Fatima Veronica Quintero Nuñez"/>
    <s v="Prestación de servicios de apoyo a la gestión en la ejecución de los planes y programas de servicio al ciudadano a cargo de la Subdirección de Gestión Corporativa.-SGC"/>
    <s v="26 - contrato de prestacion de servicios de apoyo a la gestion"/>
    <s v="80111600;"/>
    <n v="2"/>
    <n v="0"/>
    <n v="11"/>
    <n v="33534424"/>
    <x v="0"/>
    <s v=" 09 - contratación directa "/>
    <x v="0"/>
    <x v="0"/>
    <x v="0"/>
    <x v="0"/>
    <x v="0"/>
    <x v="0"/>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23"/>
    <x v="0"/>
    <x v="11"/>
    <s v="Fatima Veronica Quintero Nuñez"/>
    <s v="Prestación de servicios de apoyo a la gestión en la ejecución de los planes y programas de servicio al ciudadano a cargo de la Subdirección de Gestión Corporativa.-SGC"/>
    <s v="26 - contrato de prestacion de servicios de apoyo a la gestion"/>
    <s v="80111600;"/>
    <n v="2"/>
    <n v="0"/>
    <n v="11"/>
    <n v="33534424"/>
    <x v="0"/>
    <s v=" 09 - contratación directa "/>
    <x v="0"/>
    <x v="0"/>
    <x v="0"/>
    <x v="0"/>
    <x v="0"/>
    <x v="0"/>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24"/>
    <x v="0"/>
    <x v="11"/>
    <s v="Fatima Veronica Quintero Nuñez"/>
    <s v="Prestación de servicios profesionales en la Subdirección de Gestión Corporativa adelantando las actividades necesarias para la ejecución del programa y los procesos de seguros de la Entidad-SGC"/>
    <s v="25 - contrato de prestacion de servicios profesionales"/>
    <s v="80111600;"/>
    <n v="2"/>
    <n v="0"/>
    <n v="11"/>
    <n v="76505000"/>
    <x v="0"/>
    <s v=" 09 - contratación directa "/>
    <x v="0"/>
    <x v="0"/>
    <x v="0"/>
    <x v="0"/>
    <x v="0"/>
    <x v="0"/>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25"/>
    <x v="0"/>
    <x v="11"/>
    <s v="Fatima Veronica Quintero Nuñez"/>
    <s v="Prestación de servicios de apoyo en la gestión de seguros de la Subdirección de Gestión Corporativa. –SGC"/>
    <s v="26 - contrato de prestacion de servicios de apoyo a la gestion"/>
    <s v="80111600;"/>
    <n v="2"/>
    <n v="0"/>
    <n v="11"/>
    <n v="33534424"/>
    <x v="0"/>
    <s v=" 09 - contratación directa "/>
    <x v="0"/>
    <x v="0"/>
    <x v="0"/>
    <x v="0"/>
    <x v="0"/>
    <x v="0"/>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26"/>
    <x v="0"/>
    <x v="11"/>
    <s v="Fatima Veronica Quintero Nuñez"/>
    <s v="Prestación de servicios profesionales para apoyar a la Subdirección de Gestión Corporativa aplicando los procesos y procedimientos de seguros e inventarios -SGC"/>
    <s v="25 - contrato de prestacion de servicios profesionales"/>
    <s v="80111600;"/>
    <n v="2"/>
    <n v="0"/>
    <n v="11"/>
    <n v="44000000"/>
    <x v="0"/>
    <s v=" 09 - contratación directa "/>
    <x v="0"/>
    <x v="0"/>
    <x v="0"/>
    <x v="0"/>
    <x v="0"/>
    <x v="0"/>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27"/>
    <x v="0"/>
    <x v="11"/>
    <s v="Fatima Veronica Quintero Nuñez"/>
    <s v="Prestación de servicios de apoyo a la gestión de seguros de la Subdirección de Gestión Corporativa. –SGC"/>
    <s v="26 - contrato de prestacion de servicios de apoyo a la gestion"/>
    <s v="80111600;"/>
    <n v="2"/>
    <n v="0"/>
    <n v="11"/>
    <n v="33534424"/>
    <x v="0"/>
    <s v=" 09 - contratación directa "/>
    <x v="0"/>
    <x v="0"/>
    <x v="0"/>
    <x v="0"/>
    <x v="0"/>
    <x v="0"/>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28"/>
    <x v="0"/>
    <x v="11"/>
    <s v="Fatima Veronica Quintero Nuñez"/>
    <s v="Prestación de servicios profesionales en la Subdirección de Gestión Corporativa en las actividades relacionadas con MIPG-SGC"/>
    <s v="25 - contrato de prestacion de servicios profesionales"/>
    <s v="80111600;"/>
    <n v="2"/>
    <n v="0"/>
    <n v="11"/>
    <n v="84613760"/>
    <x v="0"/>
    <s v=" 09 - contratación directa "/>
    <x v="0"/>
    <x v="0"/>
    <x v="0"/>
    <x v="0"/>
    <x v="0"/>
    <x v="0"/>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29"/>
    <x v="0"/>
    <x v="11"/>
    <s v="Fatima Veronica Quintero Nuñez"/>
    <s v="Prestar servicios profesionales para realizar acompañamiento en la elaboración, revisión de actas de liquidación y cierre procesos contractuales adelantados por la Subdirección Gestión Corporativa -SGC"/>
    <s v="25 - contrato de prestacion de servicios profesionales"/>
    <s v="80111600;"/>
    <n v="2"/>
    <n v="0"/>
    <n v="11"/>
    <n v="66550000"/>
    <x v="0"/>
    <s v=" 09 - contratación directa "/>
    <x v="0"/>
    <x v="0"/>
    <x v="0"/>
    <x v="0"/>
    <x v="0"/>
    <x v="0"/>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30"/>
    <x v="0"/>
    <x v="11"/>
    <s v="Fatima Veronica Quintero Nuñez"/>
    <s v="Prestación de servicios de apoyo a la gestión del proceso de inventarios de la Subdirección de Gestión Corporativa.-SGC"/>
    <s v="26 - contrato de prestacion de servicios de apoyo a la gestion"/>
    <s v="80111600;"/>
    <n v="2"/>
    <n v="0"/>
    <n v="11"/>
    <n v="33534424"/>
    <x v="0"/>
    <s v=" 09 - contratación directa "/>
    <x v="0"/>
    <x v="0"/>
    <x v="0"/>
    <x v="0"/>
    <x v="0"/>
    <x v="0"/>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31"/>
    <x v="0"/>
    <x v="11"/>
    <s v="Fatima Veronica Quintero Nuñez"/>
    <s v="Prestación de servicios de apoyo a la gestión del proceso de inventarios de la Subdirección de Gestión Corporativa.-SGC"/>
    <s v="26 - contrato de prestacion de servicios de apoyo a la gestion"/>
    <s v="80111600;"/>
    <n v="2"/>
    <n v="0"/>
    <n v="11"/>
    <n v="33534424"/>
    <x v="0"/>
    <s v=" 09 - contratación directa "/>
    <x v="0"/>
    <x v="0"/>
    <x v="0"/>
    <x v="0"/>
    <x v="0"/>
    <x v="0"/>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32"/>
    <x v="0"/>
    <x v="11"/>
    <s v="Fatima Veronica Quintero Nuñez"/>
    <s v="Prestación de servicios de apoyo a la gestión del proceso de inventarios de la Subdirección de Gestión Corporativa.-SGC"/>
    <s v="26 - contrato de prestacion de servicios de apoyo a la gestion"/>
    <s v="80111600;"/>
    <n v="2"/>
    <n v="0"/>
    <n v="11"/>
    <n v="33534424"/>
    <x v="0"/>
    <s v=" 09 - contratación directa "/>
    <x v="0"/>
    <x v="0"/>
    <x v="0"/>
    <x v="0"/>
    <x v="0"/>
    <x v="0"/>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33"/>
    <x v="0"/>
    <x v="11"/>
    <s v="Fatima Veronica Quintero Nuñez"/>
    <s v="Prestación de servicios de apoyo a la gestión del proceso de inventarios de la Subdirección de Gestión Corporativa.-SGC"/>
    <s v="26 - contrato de prestacion de servicios de apoyo a la gestion"/>
    <s v="80111600;"/>
    <n v="2"/>
    <n v="0"/>
    <n v="11"/>
    <n v="33534424"/>
    <x v="0"/>
    <s v=" 09 - contratación directa "/>
    <x v="0"/>
    <x v="0"/>
    <x v="0"/>
    <x v="0"/>
    <x v="0"/>
    <x v="0"/>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34"/>
    <x v="0"/>
    <x v="11"/>
    <s v="Fatima Veronica Quintero Nuñez"/>
    <s v="Prestar servicios profesionales en la Subdirección de Gestión Corporativa en lo relacionado con los procesos de inventarios, almacén y bajas-SGC"/>
    <s v="25 - contrato de prestacion de servicios profesionales"/>
    <s v="80111600;"/>
    <n v="2"/>
    <n v="0"/>
    <n v="11"/>
    <n v="88039600"/>
    <x v="0"/>
    <s v=" 09 - contratación directa "/>
    <x v="0"/>
    <x v="0"/>
    <x v="0"/>
    <x v="0"/>
    <x v="0"/>
    <x v="0"/>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35"/>
    <x v="0"/>
    <x v="11"/>
    <s v="Fatima Veronica Quintero Nuñez"/>
    <s v="Prestar servicios profesionales en la Subdirección de Gestión Corporativa para aplicar los procesos y procedimientos a los inventarios a cargo de la UAECOB-SGC "/>
    <s v="25 - contrato de prestacion de servicios profesionales"/>
    <s v="80111600;"/>
    <n v="2"/>
    <n v="0"/>
    <n v="11"/>
    <n v="48400000"/>
    <x v="0"/>
    <s v=" 09 - contratación directa "/>
    <x v="0"/>
    <x v="0"/>
    <x v="0"/>
    <x v="0"/>
    <x v="0"/>
    <x v="0"/>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36"/>
    <x v="0"/>
    <x v="11"/>
    <s v="Fatima Veronica Quintero Nuñez"/>
    <s v="Prestar servicios profesionales para desarrollar e implementar sistemas de información, brindar soporte, mantenimiento y generar interoperabilidad con BOGDATA, en la Subdirección de Gestión Corporativa -SGC"/>
    <s v="25 - contrato de prestacion de servicios profesionales"/>
    <s v="80111600;"/>
    <n v="2"/>
    <n v="0"/>
    <n v="11"/>
    <n v="82390000"/>
    <x v="0"/>
    <s v=" 09 - contratación directa "/>
    <x v="0"/>
    <x v="0"/>
    <x v="0"/>
    <x v="0"/>
    <x v="0"/>
    <x v="0"/>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37"/>
    <x v="0"/>
    <x v="11"/>
    <s v="Fatima Veronica Quintero Nuñez"/>
    <s v="Prestación de servicios profesionales para la ejecución de los procesos contables que se desarrollan en el Área Financiera de la UAE Cuerpo Oficial de Bomberos asignados. -SGC"/>
    <s v="25 - contrato de prestacion de servicios profesionales"/>
    <s v="80111600;"/>
    <n v="2"/>
    <n v="0"/>
    <n v="11"/>
    <n v="77000000"/>
    <x v="0"/>
    <s v=" 09 - contratación directa "/>
    <x v="0"/>
    <x v="0"/>
    <x v="0"/>
    <x v="0"/>
    <x v="0"/>
    <x v="0"/>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38"/>
    <x v="0"/>
    <x v="11"/>
    <s v="Fatima Veronica Quintero Nuñez"/>
    <s v="Prestación de servicios de apoyo a la gestión documental de la Subdirección de Gestión Corporativa de la Unidad.-SGC."/>
    <s v="26 - contrato de prestacion de servicios de apoyo a la gestion"/>
    <s v="80111600;"/>
    <n v="2"/>
    <n v="0"/>
    <n v="11"/>
    <n v="33534424"/>
    <x v="0"/>
    <s v=" 09 - contratación directa "/>
    <x v="0"/>
    <x v="0"/>
    <x v="0"/>
    <x v="0"/>
    <x v="0"/>
    <x v="0"/>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39"/>
    <x v="0"/>
    <x v="11"/>
    <s v="Fatima Veronica Quintero Nuñez"/>
    <s v="Prestación de servicios profesionales en el acompañamiento y asistencia al proceso de gestión documental de la UAE Cuerpo oficial de Bomberos, así como en el apoyo a la supervisión de los contratos que le sean asignados. -SGC"/>
    <s v="25 - contrato de prestacion de servicios profesionales"/>
    <s v="80111600;"/>
    <n v="2"/>
    <n v="0"/>
    <n v="11"/>
    <n v="61593840"/>
    <x v="0"/>
    <s v=" 09 - contratación directa "/>
    <x v="0"/>
    <x v="0"/>
    <x v="0"/>
    <x v="0"/>
    <x v="0"/>
    <x v="0"/>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40"/>
    <x v="0"/>
    <x v="11"/>
    <s v="Fatima Veronica Quintero Nuñez"/>
    <s v="Prestación de servicios de apoyo a la gestión documental de la Subdirección de Gestión Corporativa de la Unidad.-SGC"/>
    <s v="26 - contrato de prestacion de servicios de apoyo a la gestion"/>
    <s v="80111600;"/>
    <n v="2"/>
    <n v="0"/>
    <n v="11"/>
    <n v="33534424"/>
    <x v="0"/>
    <s v=" 09 - contratación directa "/>
    <x v="0"/>
    <x v="0"/>
    <x v="0"/>
    <x v="0"/>
    <x v="0"/>
    <x v="0"/>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41"/>
    <x v="0"/>
    <x v="11"/>
    <s v="Fatima Veronica Quintero Nuñez"/>
    <s v="Prestación de servicios de apoyo a la gestión documental de la Subdirección de Gestión Corporativa de la Unidad-SGC"/>
    <s v="26 - contrato de prestacion de servicios de apoyo a la gestion"/>
    <s v="80111600;"/>
    <n v="2"/>
    <n v="0"/>
    <n v="11"/>
    <n v="33534424"/>
    <x v="0"/>
    <s v=" 09 - contratación directa "/>
    <x v="0"/>
    <x v="0"/>
    <x v="0"/>
    <x v="0"/>
    <x v="0"/>
    <x v="0"/>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42"/>
    <x v="0"/>
    <x v="11"/>
    <s v="Fatima Veronica Quintero Nuñez"/>
    <s v="Prestación de servicios de apoyo a la gestión documental de la Subdirección de Gestión Corporativa de la Unidad.-SGC"/>
    <s v="26 - contrato de prestacion de servicios de apoyo a la gestion"/>
    <s v="80111600;"/>
    <n v="2"/>
    <n v="0"/>
    <n v="11"/>
    <n v="33534424"/>
    <x v="0"/>
    <s v=" 09 - contratación directa "/>
    <x v="0"/>
    <x v="0"/>
    <x v="0"/>
    <x v="0"/>
    <x v="0"/>
    <x v="0"/>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43"/>
    <x v="0"/>
    <x v="11"/>
    <s v="Fatima Veronica Quintero Nuñez"/>
    <s v="Prestación de servicios de apoyo a la gestión documental de la Subdirección de Gestión Corporativa de la Unidad.-SGC"/>
    <s v="26 - contrato de prestacion de servicios de apoyo a la gestion"/>
    <s v="80111600;"/>
    <n v="2"/>
    <n v="0"/>
    <n v="11"/>
    <n v="33534424"/>
    <x v="0"/>
    <s v=" 09 - contratación directa "/>
    <x v="0"/>
    <x v="0"/>
    <x v="0"/>
    <x v="0"/>
    <x v="0"/>
    <x v="0"/>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44"/>
    <x v="0"/>
    <x v="11"/>
    <s v="Fatima Veronica Quintero Nuñez"/>
    <s v="Prestación de servicios profesionales en la implementación, consolidación, seguimiento y reporte de los lineamientos ambientales en cada una de las sedes de la UAE CUERPO OFICIAL DE BOMBEROS BOGOTÁ-SGC"/>
    <s v="25 - contrato de prestacion de servicios profesionales"/>
    <s v="80111600;"/>
    <n v="2"/>
    <n v="0"/>
    <n v="11"/>
    <n v="52454952"/>
    <x v="0"/>
    <s v=" 09 - contratación directa "/>
    <x v="0"/>
    <x v="0"/>
    <x v="0"/>
    <x v="0"/>
    <x v="0"/>
    <x v="0"/>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45"/>
    <x v="0"/>
    <x v="11"/>
    <s v="Fatima Veronica Quintero Nuñez"/>
    <s v="Prestación de servicios profesionales en la implementación, consolidación, seguimiento y reporte de los lineamientos ambientales en cada una de las sedes de la entidad, enfatizado en los equipos de trabajo de la Subdirección de Gestión Corporativa-SGC"/>
    <s v="25 - contrato de prestacion de servicios profesionales"/>
    <s v="80111600;"/>
    <n v="2"/>
    <n v="0"/>
    <n v="11"/>
    <n v="52454952"/>
    <x v="0"/>
    <s v=" 09 - contratación directa "/>
    <x v="0"/>
    <x v="0"/>
    <x v="0"/>
    <x v="0"/>
    <x v="0"/>
    <x v="0"/>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46"/>
    <x v="0"/>
    <x v="11"/>
    <s v="Fatima Veronica Quintero Nuñez"/>
    <s v="Prestación de servicios profesionales en la implementación, consolidación, seguimiento y reporte de los lineamientos ambientales en cada una de las sedes de la entidad, enfatizado en los equipos de trabajo de la Subdirección de Gestión Corporativa-SGC"/>
    <s v="25 - contrato de prestacion de servicios profesionales"/>
    <s v="80111600;"/>
    <n v="2"/>
    <n v="0"/>
    <n v="11"/>
    <n v="52454952"/>
    <x v="0"/>
    <s v=" 09 - contratación directa "/>
    <x v="0"/>
    <x v="0"/>
    <x v="0"/>
    <x v="0"/>
    <x v="0"/>
    <x v="0"/>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47"/>
    <x v="0"/>
    <x v="11"/>
    <s v="Fatima Veronica Quintero Nuñez"/>
    <s v="Prestar los servicios profesionales para la gestión administrativa y operativa de la Subdirección de Gestión Corporativa en el proceso de adquisición de bienes y servicios - SGC"/>
    <s v="25 - contrato de prestacion de servicios profesionales"/>
    <s v="80111600;"/>
    <n v="2"/>
    <n v="0"/>
    <n v="11"/>
    <n v="75281360"/>
    <x v="0"/>
    <s v=" 09 - contratación directa "/>
    <x v="0"/>
    <x v="0"/>
    <x v="0"/>
    <x v="0"/>
    <x v="0"/>
    <x v="0"/>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48"/>
    <x v="0"/>
    <x v="11"/>
    <s v="Fatima Veronica Quintero Nuñez"/>
    <s v="Prestar los servicios como conductor de la Subdirección de Gestión Corporativa -SGC"/>
    <s v="26 - contrato de prestacion de servicios de apoyo a la gestion"/>
    <s v="80111600;"/>
    <n v="2"/>
    <n v="0"/>
    <n v="11"/>
    <n v="38325056"/>
    <x v="0"/>
    <s v=" 09 - contratación directa "/>
    <x v="0"/>
    <x v="0"/>
    <x v="0"/>
    <x v="0"/>
    <x v="0"/>
    <x v="0"/>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49"/>
    <x v="0"/>
    <x v="11"/>
    <s v="Fatima Veronica Quintero Nuñez"/>
    <s v="Prestación de servicios de apoyo a la gestión en la Subdirección de Gestión Corporativa, en las actividades asociadas a los procesos y procedimientos del almacén de la Entidad.- SGC"/>
    <s v="26 - contrato de prestacion de servicios de apoyo a la gestion"/>
    <s v="80111600;"/>
    <n v="2"/>
    <n v="0"/>
    <n v="11"/>
    <n v="42350000"/>
    <x v="0"/>
    <s v=" 09 - contratación directa "/>
    <x v="0"/>
    <x v="0"/>
    <x v="0"/>
    <x v="0"/>
    <x v="0"/>
    <x v="0"/>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50"/>
    <x v="0"/>
    <x v="11"/>
    <s v="Fatima Veronica Quintero Nuñez"/>
    <s v="Prestar servicios profesionales en la Subdirección de Gestión Corporativa en el marco de las actividades administrativas de la Dependencia.-SGC"/>
    <s v="25 - contrato de prestacion de servicios profesionales"/>
    <s v="80111600;"/>
    <n v="2"/>
    <n v="0"/>
    <n v="11"/>
    <n v="75281360"/>
    <x v="0"/>
    <s v=" 09 - contratación directa "/>
    <x v="0"/>
    <x v="0"/>
    <x v="0"/>
    <x v="0"/>
    <x v="0"/>
    <x v="0"/>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51"/>
    <x v="0"/>
    <x v="11"/>
    <s v="Fatima Veronica Quintero Nuñez"/>
    <s v="Prestación de servicios profesionales, en temas jurídicos de la gestión administrativa a cargo de la Subdirección de Gestión Corporativa.- SGC"/>
    <s v="25 - contrato de prestacion de servicios profesionales"/>
    <s v="80111600;"/>
    <n v="2"/>
    <n v="0"/>
    <n v="11"/>
    <n v="72600000"/>
    <x v="0"/>
    <s v=" 09 - contratación directa "/>
    <x v="0"/>
    <x v="0"/>
    <x v="0"/>
    <x v="0"/>
    <x v="0"/>
    <x v="0"/>
    <s v="08-Infraestructura física, mantenimiento y dotación (Sedes construidas, mantenidas reforzadas)"/>
    <x v="0"/>
    <s v="Sedes mantenidas"/>
    <s v="016_Sedes mantenidas"/>
    <s v="08-Infraestructura física, mantenimiento y dotación (Sedes construidas, mantenidas reforzadas) 016_Sedes mantenidas"/>
    <x v="0"/>
    <x v="0"/>
    <x v="1"/>
    <s v="Si Secop "/>
  </r>
  <r>
    <n v="20250452"/>
    <x v="0"/>
    <x v="11"/>
    <s v="Fatima Veronica Quintero Nuñez"/>
    <s v="Mantenimiento preventivo y correctivo, que incluye el suministro de insumos y repuestos de las plantas eléctricas ubicadas en los diferentes edificios de la Unidad Administrativa Especial del Cuerpo Oficial de Bomberos Bogotá D.C -SGC"/>
    <s v="17 - contrato de mantenimiento"/>
    <s v="72151800;_x000a_72151505;_x000a_73152108;"/>
    <n v="3"/>
    <n v="0"/>
    <n v="8"/>
    <n v="60000000"/>
    <x v="0"/>
    <s v=" 04 - contratación mínima cuantía "/>
    <x v="22"/>
    <x v="0"/>
    <x v="0"/>
    <x v="0"/>
    <x v="0"/>
    <x v="0"/>
    <s v="08-Infraestructura física, mantenimiento y dotación (Sedes construidas, mantenidas reforzadas)"/>
    <x v="0"/>
    <s v="Sedes mantenidas"/>
    <s v="016_Sedes mantenidas"/>
    <s v="08-Infraestructura física, mantenimiento y dotación (Sedes construidas, mantenidas reforzadas) 016_Sedes mantenidas"/>
    <x v="0"/>
    <x v="0"/>
    <x v="15"/>
    <s v="Si Secop "/>
  </r>
  <r>
    <n v="20250453"/>
    <x v="0"/>
    <x v="11"/>
    <s v="Fatima Veronica Quintero Nuñez"/>
    <s v="Mantenimiento preventivo y correctivo, que incluye el suministro de insumos y repuestos de las lavadoras y secadoras industriales ubicadas en las estaciones de bomberos de la UAE Cuerpo Oficial de Bomberos de Bogotá-SGC"/>
    <s v="17 - contrato de mantenimiento"/>
    <s v="47111500;_x000a_73152100;_x000a_"/>
    <n v="3"/>
    <n v="0"/>
    <n v="8"/>
    <n v="60000000"/>
    <x v="0"/>
    <s v=" 04 - contratación mínima cuantía "/>
    <x v="22"/>
    <x v="0"/>
    <x v="0"/>
    <x v="0"/>
    <x v="0"/>
    <x v="0"/>
    <s v="08-Infraestructura física, mantenimiento y dotación (Sedes construidas, mantenidas reforzadas)"/>
    <x v="0"/>
    <s v="Sedes mantenidas"/>
    <s v="016_Sedes mantenidas"/>
    <s v="08-Infraestructura física, mantenimiento y dotación (Sedes construidas, mantenidas reforzadas) 016_Sedes mantenidas"/>
    <x v="0"/>
    <x v="0"/>
    <x v="15"/>
    <s v="Si Secop "/>
  </r>
  <r>
    <n v="20250454"/>
    <x v="0"/>
    <x v="11"/>
    <s v="Fatima Veronica Quintero Nuñez"/>
    <s v="Adición y prórroga No. 1 al contrato 478 de 2024 que tiene como objeto “Mantenimiento preventivo y correctivo de los equipos gasodomésticos y solares, adecuación de las redes de gas natural y repuestos para las Estaciones de Bomberos de UAE Cuerpo Oficial de Bomberos SGC"/>
    <s v="17 - contrato de mantenimiento"/>
    <s v="72121400;_x000a_72151700;_x000a_95121700;"/>
    <n v="8"/>
    <n v="0"/>
    <n v="8"/>
    <n v="12000000"/>
    <x v="0"/>
    <s v="03 - selec. abrev. subasta inversa"/>
    <x v="22"/>
    <x v="0"/>
    <x v="0"/>
    <x v="0"/>
    <x v="0"/>
    <x v="0"/>
    <s v="08-Infraestructura física, mantenimiento y dotación (Sedes construidas, mantenidas reforzadas)"/>
    <x v="0"/>
    <s v="Sedes mantenidas"/>
    <s v="016_Sedes mantenidas"/>
    <s v="08-Infraestructura física, mantenimiento y dotación (Sedes construidas, mantenidas reforzadas) 016_Sedes mantenidas"/>
    <x v="0"/>
    <x v="0"/>
    <x v="15"/>
    <s v="Si Secop "/>
  </r>
  <r>
    <n v="20250455"/>
    <x v="0"/>
    <x v="11"/>
    <s v="Fatima Veronica Quintero Nuñez"/>
    <s v="Mantenimiento preventivo y correctivo de los equipos gasodomésticos y solares, adecuación de las redes de gas natural y repuestos para las Estaciones de Bomberos de UAE Cuerpo Oficial de Bomberos SGC"/>
    <s v="17 - contrato de mantenimiento"/>
    <s v="72121400;_x000a_72151700;_x000a_95121700;"/>
    <n v="8"/>
    <n v="0"/>
    <n v="8"/>
    <n v="80000000"/>
    <x v="0"/>
    <s v="02 - selec. abrev. menor cuantía"/>
    <x v="22"/>
    <x v="0"/>
    <x v="0"/>
    <x v="0"/>
    <x v="0"/>
    <x v="0"/>
    <s v="08-Infraestructura física, mantenimiento y dotación (Sedes construidas, mantenidas reforzadas)"/>
    <x v="0"/>
    <s v="Sedes mantenidas"/>
    <s v="016_Sedes mantenidas"/>
    <s v="08-Infraestructura física, mantenimiento y dotación (Sedes construidas, mantenidas reforzadas) 016_Sedes mantenidas"/>
    <x v="0"/>
    <x v="0"/>
    <x v="15"/>
    <s v="Si Secop "/>
  </r>
  <r>
    <n v="20250456"/>
    <x v="0"/>
    <x v="11"/>
    <s v="Fatima Veronica Quintero Nuñez"/>
    <s v="Mantenimiento correctivo y/o preventivo, suministros y repuestos de los equipos hidroneumáticos, motobombas eléctricas, bombas sumergibles, tableros de control y fuerza y demás equipos de bombeo instalados en las estaciones de bomberos de la UAE Cuerpo oficial de Bomberos -SGC"/>
    <s v="17 - contrato de mantenimiento"/>
    <s v="72154100; 73152100"/>
    <n v="4"/>
    <n v="0"/>
    <n v="10"/>
    <n v="70000000"/>
    <x v="0"/>
    <s v="02 - selec. abrev. menor cuantía"/>
    <x v="22"/>
    <x v="0"/>
    <x v="0"/>
    <x v="0"/>
    <x v="0"/>
    <x v="0"/>
    <s v="08-Infraestructura física, mantenimiento y dotación (Sedes construidas, mantenidas reforzadas)"/>
    <x v="0"/>
    <s v="Sedes mantenidas"/>
    <s v="016_Sedes mantenidas"/>
    <s v="08-Infraestructura física, mantenimiento y dotación (Sedes construidas, mantenidas reforzadas) 016_Sedes mantenidas"/>
    <x v="0"/>
    <x v="0"/>
    <x v="15"/>
    <s v="Si Secop "/>
  </r>
  <r>
    <n v="20250457"/>
    <x v="0"/>
    <x v="11"/>
    <s v="Fatima Veronica Quintero Nuñez"/>
    <s v="Realizar el mantenimiento preventivo, correctivo de puertas automatizadas para las salas de máquinas de las estaciones de la UAE Cuerpo Oficial de Bomberos-SGC"/>
    <s v="17 - contrato de mantenimiento"/>
    <s v="72121400;_x000a_72151700;_x000a_72154109;_x000a_95121700;"/>
    <n v="1"/>
    <n v="0"/>
    <n v="9"/>
    <n v="100000000"/>
    <x v="0"/>
    <s v="02 - selec. abrev. menor cuantía"/>
    <x v="22"/>
    <x v="0"/>
    <x v="0"/>
    <x v="0"/>
    <x v="0"/>
    <x v="0"/>
    <s v="08-Infraestructura física, mantenimiento y dotación (Sedes construidas, mantenidas reforzadas)"/>
    <x v="0"/>
    <s v="Sedes mantenidas"/>
    <s v="016_Sedes mantenidas"/>
    <s v="08-Infraestructura física, mantenimiento y dotación (Sedes construidas, mantenidas reforzadas) 016_Sedes mantenidas"/>
    <x v="0"/>
    <x v="0"/>
    <x v="15"/>
    <s v="Si Secop "/>
  </r>
  <r>
    <n v="20250458"/>
    <x v="0"/>
    <x v="11"/>
    <s v="Fatima Veronica Quintero Nuñez"/>
    <s v="Prestación de servicios profesionales para apoyar las actividades técnicas del Área de Infraestructura de la Subdirección de Gestión Corporativa-SGC"/>
    <s v="25 - contrato de prestacion de servicios profesionales"/>
    <s v="80111600;"/>
    <n v="2"/>
    <n v="0"/>
    <n v="11"/>
    <n v="112237664"/>
    <x v="0"/>
    <s v=" 09 - contratación directa "/>
    <x v="22"/>
    <x v="0"/>
    <x v="0"/>
    <x v="0"/>
    <x v="0"/>
    <x v="0"/>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59"/>
    <x v="1"/>
    <x v="11"/>
    <s v="Fatima Veronica Quintero Nuñez"/>
    <s v="Prestación de servicios profesionales especializados para apoyar las actividades técnicas del Área de Infraestructura de la Subdirección de Gestión Corporativa-SGC"/>
    <s v="25 - contrato de prestacion de servicios profesionales"/>
    <s v="80111600;"/>
    <n v="2"/>
    <n v="0"/>
    <n v="11"/>
    <n v="93075136"/>
    <x v="0"/>
    <s v=" 09 - contratación directa "/>
    <x v="21"/>
    <x v="0"/>
    <x v="1"/>
    <x v="1"/>
    <x v="0"/>
    <x v="0"/>
    <s v="08-Infraestructura física, mantenimiento y dotación (Sedes construidas, mantenidas reforzadas)"/>
    <x v="10"/>
    <s v="Estaciones de bomberos adecuadas"/>
    <s v="014_Estaciones de bomberos adecuadas"/>
    <s v="08-Infraestructura física, mantenimiento y dotación (Sedes construidas, mantenidas reforzadas) 014_Estaciones de bomberos adecuadas"/>
    <x v="15"/>
    <x v="15"/>
    <x v="16"/>
    <s v="Si Secop "/>
  </r>
  <r>
    <n v="20250460"/>
    <x v="1"/>
    <x v="11"/>
    <s v="Fatima Veronica Quintero Nuñez"/>
    <s v="Prestación de servicios profesionales especializados para apoyar las actividades técnicas del Área de Infraestructura de la Subdirección de Gestión Corporativa-SGC"/>
    <s v="25 - contrato de prestacion de servicios profesionales"/>
    <s v="80111600;"/>
    <n v="2"/>
    <n v="0"/>
    <n v="11"/>
    <n v="99918896"/>
    <x v="0"/>
    <s v=" 09 - contratación directa "/>
    <x v="21"/>
    <x v="0"/>
    <x v="1"/>
    <x v="1"/>
    <x v="0"/>
    <x v="0"/>
    <s v="08-Infraestructura física, mantenimiento y dotación (Sedes construidas, mantenidas reforzadas)"/>
    <x v="10"/>
    <s v="Estaciones de bomberos adecuadas"/>
    <s v="014_Estaciones de bomberos adecuadas"/>
    <s v="08-Infraestructura física, mantenimiento y dotación (Sedes construidas, mantenidas reforzadas) 014_Estaciones de bomberos adecuadas"/>
    <x v="15"/>
    <x v="15"/>
    <x v="16"/>
    <s v="Si Secop "/>
  </r>
  <r>
    <n v="20250461"/>
    <x v="1"/>
    <x v="11"/>
    <s v="Fatima Veronica Quintero Nuñez"/>
    <s v="Prestación de servicios profesionales especializados para apoyar las actividades técnicas del Área de Infraestructura de la Subdirección de Gestión Corporativa-SGC"/>
    <s v="25 - contrato de prestacion de servicios profesionales"/>
    <s v="80111600;"/>
    <n v="2"/>
    <n v="0"/>
    <n v="11"/>
    <n v="93075136"/>
    <x v="0"/>
    <s v=" 09 - contratación directa "/>
    <x v="21"/>
    <x v="0"/>
    <x v="1"/>
    <x v="1"/>
    <x v="0"/>
    <x v="0"/>
    <s v="08-Infraestructura física, mantenimiento y dotación (Sedes construidas, mantenidas reforzadas)"/>
    <x v="10"/>
    <s v="Estaciones de bomberos adecuadas"/>
    <s v="014_Estaciones de bomberos adecuadas"/>
    <s v="08-Infraestructura física, mantenimiento y dotación (Sedes construidas, mantenidas reforzadas) 014_Estaciones de bomberos adecuadas"/>
    <x v="15"/>
    <x v="15"/>
    <x v="16"/>
    <s v="Si Secop "/>
  </r>
  <r>
    <n v="20250462"/>
    <x v="0"/>
    <x v="11"/>
    <s v="Fatima Veronica Quintero Nuñez"/>
    <s v="Prestación de servicios profesionales para adelantar actividades técnicas y trámites administrativos del Área de Infraestructura de la Subdirección de Gestión Corporativa-SGC"/>
    <s v="25 - contrato de prestacion de servicios profesionales"/>
    <s v="80111600;"/>
    <n v="2"/>
    <n v="0"/>
    <n v="11"/>
    <n v="84700000"/>
    <x v="0"/>
    <s v=" 09 - contratación directa "/>
    <x v="22"/>
    <x v="0"/>
    <x v="0"/>
    <x v="0"/>
    <x v="0"/>
    <x v="0"/>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63"/>
    <x v="0"/>
    <x v="11"/>
    <s v="Fatima Veronica Quintero Nuñez"/>
    <s v="Prestación de servicios profesionales especializados para articular y revisar los procesos y procedimientos del área de infraestructura, así como en el apoyo a la supervisión de los contratos que le sean asignados-SGC"/>
    <s v="25 - contrato de prestacion de servicios profesionales"/>
    <s v="80111600;"/>
    <n v="2"/>
    <n v="0"/>
    <n v="11"/>
    <n v="112237664"/>
    <x v="0"/>
    <s v=" 09 - contratación directa "/>
    <x v="22"/>
    <x v="0"/>
    <x v="0"/>
    <x v="0"/>
    <x v="0"/>
    <x v="0"/>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64"/>
    <x v="0"/>
    <x v="11"/>
    <s v="Fatima Veronica Quintero Nuñez"/>
    <s v="Prestación de Servicios Profesionales para la formulación, seguimiento y ejecución de procesos presupuestales y financieros a cargo de la Subdirección de Gestión Corporativa -SGC"/>
    <s v="25 - contrato de prestacion de servicios profesionales"/>
    <s v="80111600;"/>
    <n v="2"/>
    <n v="0"/>
    <n v="11"/>
    <n v="99918896"/>
    <x v="0"/>
    <s v=" 09 - contratación directa "/>
    <x v="22"/>
    <x v="0"/>
    <x v="0"/>
    <x v="0"/>
    <x v="0"/>
    <x v="0"/>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65"/>
    <x v="1"/>
    <x v="11"/>
    <s v="Fatima Veronica Quintero Nuñez"/>
    <s v="Prestar servicios profesionales para realizar acompañamiento en la elaboración y revisión de actas de liquidación y demás actuaciones administrativas requeridas en la etapa postcontractual del proceso de contratación adelantados por la Subdirección Gestión Corporativa. –SGC"/>
    <s v="25 - contrato de prestacion de servicios profesionales"/>
    <s v="80111600;"/>
    <n v="2"/>
    <n v="0"/>
    <n v="11"/>
    <n v="72600000"/>
    <x v="0"/>
    <s v=" 09 - contratación directa "/>
    <x v="21"/>
    <x v="0"/>
    <x v="1"/>
    <x v="1"/>
    <x v="0"/>
    <x v="0"/>
    <s v="08-Infraestructura física, mantenimiento y dotación (Sedes construidas, mantenidas reforzadas)"/>
    <x v="10"/>
    <s v="Estaciones de bomberos adecuadas"/>
    <s v="014_Estaciones de bomberos adecuadas"/>
    <s v="08-Infraestructura física, mantenimiento y dotación (Sedes construidas, mantenidas reforzadas) 014_Estaciones de bomberos adecuadas"/>
    <x v="15"/>
    <x v="15"/>
    <x v="16"/>
    <s v="Si Secop "/>
  </r>
  <r>
    <n v="20250466"/>
    <x v="0"/>
    <x v="11"/>
    <s v="Fatima Veronica Quintero Nuñez"/>
    <s v="Prestación de servicios profesionales para atender las necesidades de mantenimiento de las instalaciones y las actividades técnicas y administrativas de competencia del Área de Infraestructura de la Subdirección de Gestión Corporativa-SGC"/>
    <s v="25 - contrato de prestacion de servicios profesionales"/>
    <s v="80111600;"/>
    <n v="2"/>
    <n v="0"/>
    <n v="11"/>
    <n v="82280000"/>
    <x v="0"/>
    <s v=" 09 - contratación directa "/>
    <x v="22"/>
    <x v="0"/>
    <x v="0"/>
    <x v="0"/>
    <x v="0"/>
    <x v="0"/>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67"/>
    <x v="0"/>
    <x v="11"/>
    <s v="Fatima Veronica Quintero Nuñez"/>
    <s v="Prestación de servicios profesionales especializados para atender las necesidades de mantenimiento de las instalaciones y las actividades técnicas de competencia del Área de Infraestructura de la Subdirección de Gestión Corporativa-SGC"/>
    <s v="25 - contrato de prestacion de servicios profesionales"/>
    <s v="80111600;"/>
    <n v="2"/>
    <n v="0"/>
    <n v="11"/>
    <n v="82280000"/>
    <x v="0"/>
    <s v=" 09 - contratación directa "/>
    <x v="22"/>
    <x v="0"/>
    <x v="0"/>
    <x v="0"/>
    <x v="0"/>
    <x v="0"/>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68"/>
    <x v="0"/>
    <x v="11"/>
    <s v="Fatima Veronica Quintero Nuñez"/>
    <s v="Prestación de Servicios Profesionales en temas financieros, administrativas y misionales para apoyar los proyectos de infraestructura de la Subdirección de Gestión Corporativa.- SGC"/>
    <s v="25 - contrato de prestacion de servicios profesionales"/>
    <s v="80111600;"/>
    <n v="2"/>
    <n v="0"/>
    <n v="11"/>
    <n v="75281360"/>
    <x v="0"/>
    <s v=" 09 - contratación directa "/>
    <x v="22"/>
    <x v="0"/>
    <x v="0"/>
    <x v="0"/>
    <x v="0"/>
    <x v="0"/>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69"/>
    <x v="0"/>
    <x v="11"/>
    <s v="Fatima Veronica Quintero Nuñez"/>
    <s v="Prestar servicios profesionales para acompañar jurídicamente los procesos y procedimientos del área de infraestructura de la Subdirección de Gestión Corporativa. SGC"/>
    <s v="25 - contrato de prestacion de servicios profesionales"/>
    <s v="80111600;"/>
    <n v="2"/>
    <n v="0"/>
    <n v="11"/>
    <n v="112237664"/>
    <x v="0"/>
    <s v=" 09 - contratación directa "/>
    <x v="22"/>
    <x v="0"/>
    <x v="0"/>
    <x v="0"/>
    <x v="0"/>
    <x v="0"/>
    <s v="08-Infraestructura física, mantenimiento y dotación (Sedes construidas, mantenidas reforzadas)"/>
    <x v="0"/>
    <s v="Sedes mantenidas"/>
    <s v="016_Sedes mantenidas"/>
    <s v="08-Infraestructura física, mantenimiento y dotación (Sedes construidas, mantenidas reforzadas) 016_Sedes mantenidas"/>
    <x v="0"/>
    <x v="0"/>
    <x v="1"/>
    <s v="Si Secop "/>
  </r>
  <r>
    <n v="20250470"/>
    <x v="0"/>
    <x v="11"/>
    <s v="Fatima Veronica Quintero Nuñez"/>
    <s v="Prestación de servicios profesionales especializados para apoyar las actividades técnicas del Área de Infraestructura de la Subdirección de Gestión Corporativa-SGC"/>
    <s v="25 - contrato de prestacion de servicios profesionales"/>
    <s v="80111600;"/>
    <n v="2"/>
    <n v="0"/>
    <n v="11"/>
    <n v="84700000"/>
    <x v="0"/>
    <s v=" 09 - contratación directa "/>
    <x v="22"/>
    <x v="0"/>
    <x v="0"/>
    <x v="0"/>
    <x v="0"/>
    <x v="0"/>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71"/>
    <x v="0"/>
    <x v="11"/>
    <s v="Fatima Veronica Quintero Nuñez"/>
    <s v="Prestar servicios profesionales con el fin de atender los trámites ambientales y los demás que requiera el área de Infraestructura de la Subdirección de Gestión Corporativa. SGC"/>
    <s v="25 - contrato de prestacion de servicios profesionales"/>
    <s v="80111600;"/>
    <n v="2"/>
    <n v="0"/>
    <n v="11"/>
    <n v="58261500"/>
    <x v="0"/>
    <s v=" 09 - contratación directa "/>
    <x v="22"/>
    <x v="0"/>
    <x v="0"/>
    <x v="0"/>
    <x v="0"/>
    <x v="0"/>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72"/>
    <x v="0"/>
    <x v="11"/>
    <s v="Fatima Veronica Quintero Nuñez"/>
    <s v="Prestar los servicios como conductor de la Subdirección de Gestión Corporativa -SGC"/>
    <s v="26 - contrato de prestacion de servicios de apoyo a la gestion"/>
    <s v="80111600;"/>
    <n v="2"/>
    <n v="0"/>
    <n v="11"/>
    <n v="38325056"/>
    <x v="0"/>
    <s v=" 09 - contratación directa "/>
    <x v="22"/>
    <x v="0"/>
    <x v="0"/>
    <x v="0"/>
    <x v="0"/>
    <x v="0"/>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73"/>
    <x v="0"/>
    <x v="11"/>
    <s v="Fatima Veronica Quintero Nuñez"/>
    <s v="Prestación de servicios de apoyo a la gestión, en la Subdirección de Gestión Corporativa en temas de infraestructura para el sostenimiento y mejoramiento de los equipamientos de la Unidad Administrativa Especial Cuerpo Oficial de Bomberos de Bogotá-SGC"/>
    <s v="26 - contrato de prestacion de servicios de apoyo a la gestion"/>
    <s v="80111600;"/>
    <n v="2"/>
    <n v="0"/>
    <n v="11"/>
    <n v="33534424"/>
    <x v="0"/>
    <s v=" 09 - contratación directa "/>
    <x v="22"/>
    <x v="0"/>
    <x v="0"/>
    <x v="0"/>
    <x v="0"/>
    <x v="0"/>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74"/>
    <x v="0"/>
    <x v="11"/>
    <s v="Fatima Veronica Quintero Nuñez"/>
    <s v="Prestación de servicios de apoyo a la gestión, en la Subdirección de Gestión Corporativa en temas de infraestructura para el sostenimiento y mejoramiento de los equipamientos de la Unidad Administrativa Especial Cuerpo Oficial de Bomberos de Bogotá-SGC"/>
    <s v="26 - contrato de prestacion de servicios de apoyo a la gestion"/>
    <s v="80111600;"/>
    <n v="2"/>
    <n v="0"/>
    <n v="11"/>
    <n v="33534424"/>
    <x v="0"/>
    <s v=" 09 - contratación directa "/>
    <x v="22"/>
    <x v="0"/>
    <x v="0"/>
    <x v="0"/>
    <x v="0"/>
    <x v="0"/>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75"/>
    <x v="0"/>
    <x v="11"/>
    <s v="Fatima Veronica Quintero Nuñez"/>
    <s v="Prestación de servicios de apoyo a la gestión, en la Subdirección de Gestión Corporativa en temas de infraestructura para el sostenimiento y mejoramiento de los equipamientos de la Unidad Administrativa Especial Cuerpo Oficial de Bomberos de Bogotá-SGC"/>
    <s v="26 - contrato de prestacion de servicios de apoyo a la gestion"/>
    <s v="80111600;"/>
    <n v="2"/>
    <n v="0"/>
    <n v="11"/>
    <n v="33534424"/>
    <x v="0"/>
    <s v=" 09 - contratación directa "/>
    <x v="22"/>
    <x v="0"/>
    <x v="0"/>
    <x v="0"/>
    <x v="0"/>
    <x v="0"/>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76"/>
    <x v="0"/>
    <x v="11"/>
    <s v="Fatima Veronica Quintero Nuñez"/>
    <s v="Prestar los servicios profesionales en los trámites técnicos y administrativos para la adquisición de los bienes y servicios del Área de Infraestructura de la Subdirección de Gestión Corporativa-SGC"/>
    <s v="25 - contrato de prestacion de servicios profesionales"/>
    <s v="80111600;"/>
    <n v="2"/>
    <n v="0"/>
    <n v="11"/>
    <n v="60500000"/>
    <x v="0"/>
    <s v=" 09 - contratación directa "/>
    <x v="22"/>
    <x v="0"/>
    <x v="0"/>
    <x v="0"/>
    <x v="0"/>
    <x v="0"/>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77"/>
    <x v="0"/>
    <x v="11"/>
    <s v="Fatima Veronica Quintero Nuñez"/>
    <s v="Prestación de servicios de apoyo a la gestión, en la Subdirección de Gestión Corporativa en temas de infraestructura para el sostenimiento y mejoramiento de los equipamientos de la Unidad Administrativa Especial Cuerpo Oficial de Bomberos de Bogotá-SGC"/>
    <s v="26 - contrato de prestacion de servicios de apoyo a la gestion"/>
    <s v="80111600;"/>
    <n v="2"/>
    <n v="0"/>
    <n v="11"/>
    <n v="33534424"/>
    <x v="0"/>
    <s v=" 09 - contratación directa "/>
    <x v="22"/>
    <x v="0"/>
    <x v="0"/>
    <x v="0"/>
    <x v="0"/>
    <x v="0"/>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78"/>
    <x v="0"/>
    <x v="11"/>
    <s v="Fatima Veronica Quintero Nuñez"/>
    <s v="Prestación de servicios profesionales al área Financiera de la Subdirección de Gestión Corporativa--SGC"/>
    <s v="25 - contrato de prestacion de servicios profesionales"/>
    <s v="80111600;"/>
    <n v="2"/>
    <n v="0"/>
    <n v="11"/>
    <n v="77000000"/>
    <x v="0"/>
    <s v=" 09 - contratación directa "/>
    <x v="0"/>
    <x v="0"/>
    <x v="0"/>
    <x v="0"/>
    <x v="0"/>
    <x v="0"/>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79"/>
    <x v="0"/>
    <x v="11"/>
    <s v="Fatima Veronica Quintero Nuñez"/>
    <s v="Prestación de servicios profesionales al área Financiera de la Subdirección de Gestión Corporativa--SGC"/>
    <s v="25 - contrato de prestacion de servicios profesionales"/>
    <s v="80111600;"/>
    <n v="2"/>
    <n v="0"/>
    <n v="11"/>
    <n v="77000000"/>
    <x v="0"/>
    <s v=" 09 - contratación directa "/>
    <x v="0"/>
    <x v="0"/>
    <x v="0"/>
    <x v="0"/>
    <x v="0"/>
    <x v="0"/>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80"/>
    <x v="0"/>
    <x v="11"/>
    <s v="Fatima Veronica Quintero Nuñez"/>
    <s v="Prestación de servicios de apoyo a la gestión del área Financiera de la Subdirección de Gestión Corporativa.-SGC"/>
    <s v="26 - contrato de prestacion de servicios de apoyo a la gestion"/>
    <s v="80111600;"/>
    <n v="2"/>
    <n v="0"/>
    <n v="11"/>
    <n v="45853192"/>
    <x v="0"/>
    <s v=" 09 - contratación directa "/>
    <x v="0"/>
    <x v="0"/>
    <x v="0"/>
    <x v="0"/>
    <x v="0"/>
    <x v="0"/>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81"/>
    <x v="0"/>
    <x v="11"/>
    <s v="Fatima Veronica Quintero Nuñez"/>
    <s v="Prestación de servicios profesionales para el seguimiento, ejecución de los procesos de gestión de pagos que se desarrollan en el área Financiera de la UAE Cuerpo Oficial de Bomberos asignados. -SGC"/>
    <s v="25 - contrato de prestacion de servicios profesionales"/>
    <s v="80111600;"/>
    <n v="2"/>
    <n v="0"/>
    <n v="11"/>
    <n v="77000000"/>
    <x v="0"/>
    <s v=" 09 - contratación directa "/>
    <x v="0"/>
    <x v="0"/>
    <x v="0"/>
    <x v="0"/>
    <x v="0"/>
    <x v="0"/>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82"/>
    <x v="2"/>
    <x v="11"/>
    <s v="Fatima Veronica Quintero Nuñez"/>
    <s v="Prestar los servicios de Custodia, Consulta y Traslado Documental de Acuerdo a las especificaciones Técnicas  y requisitos contemplados en la normatividad Archivística Vigente-SGC"/>
    <s v="11 - orden de prestacion de servicios"/>
    <s v="78131800;80101500;80101600;80161500;81111900;81112000"/>
    <n v="5"/>
    <n v="0"/>
    <n v="10"/>
    <n v="129996120"/>
    <x v="1"/>
    <s v=" 04 - contratación mínima cuantía "/>
    <x v="6"/>
    <x v="1"/>
    <x v="2"/>
    <x v="2"/>
    <x v="3"/>
    <x v="3"/>
    <s v="N/A-N/A"/>
    <x v="5"/>
    <s v="N/A"/>
    <s v="N/A_N/A"/>
    <s v="N/A-N/A N/A_N/A"/>
    <x v="5"/>
    <x v="5"/>
    <x v="17"/>
    <s v="Si Secop "/>
  </r>
  <r>
    <n v="20250483"/>
    <x v="2"/>
    <x v="11"/>
    <s v="Fatima Veronica Quintero Nuñez"/>
    <s v="Contratar el servicio de saneamiento ambiental, corte de césped, jardinería, poda y tala de árboles para las sedes (predios y/o estaciones) de la UAECOB-SGC"/>
    <s v="03 - contrato de prestacion de servicios"/>
    <s v="70111500;"/>
    <n v="1"/>
    <n v="0"/>
    <n v="10"/>
    <n v="240000000"/>
    <x v="1"/>
    <s v=" 02 - selec. abrev. menor cuantía "/>
    <x v="6"/>
    <x v="1"/>
    <x v="2"/>
    <x v="2"/>
    <x v="3"/>
    <x v="3"/>
    <s v="N/A-N/A"/>
    <x v="5"/>
    <s v="N/A"/>
    <s v="N/A_N/A"/>
    <s v="N/A-N/A N/A_N/A"/>
    <x v="5"/>
    <x v="5"/>
    <x v="17"/>
    <s v="Si Secop "/>
  </r>
  <r>
    <n v="20250484"/>
    <x v="2"/>
    <x v="11"/>
    <s v="Fatima Veronica Quintero Nuñez"/>
    <s v="Contratar la prestación del servicio de aseo y cafetería incluido insumos para la UAE Cuerpo Oficial de Bomberos -SGC"/>
    <s v="03 - contrato de prestacion de servicios"/>
    <s v="44121700;44121800;44121900;44122000"/>
    <n v="2"/>
    <n v="0"/>
    <n v="11"/>
    <n v="272011000"/>
    <x v="1"/>
    <s v=" 17 - acuerdo marco de precios "/>
    <x v="6"/>
    <x v="1"/>
    <x v="2"/>
    <x v="2"/>
    <x v="3"/>
    <x v="3"/>
    <s v="N/A-N/A"/>
    <x v="5"/>
    <s v="N/A"/>
    <s v="N/A_N/A"/>
    <s v="N/A-N/A N/A_N/A"/>
    <x v="5"/>
    <x v="5"/>
    <x v="17"/>
    <s v="Si Secop "/>
  </r>
  <r>
    <n v="20250485"/>
    <x v="2"/>
    <x v="11"/>
    <s v="Fatima Veronica Quintero Nuñez"/>
    <s v="Contratar la prestación del servicio de aseo y cafetería incluido insumos para la UAE Cuerpo Oficial de Bomberos -SGC"/>
    <s v="03 - contrato de prestacion de servicios"/>
    <s v="44121700;44121800;44121900;44122000"/>
    <n v="2"/>
    <n v="0"/>
    <n v="11"/>
    <n v="500000000"/>
    <x v="1"/>
    <s v=" 17 - acuerdo marco de precios "/>
    <x v="6"/>
    <x v="1"/>
    <x v="2"/>
    <x v="2"/>
    <x v="3"/>
    <x v="3"/>
    <s v="N/A-N/A"/>
    <x v="5"/>
    <s v="N/A"/>
    <s v="N/A_N/A"/>
    <s v="N/A-N/A N/A_N/A"/>
    <x v="5"/>
    <x v="5"/>
    <x v="17"/>
    <s v="Si Secop "/>
  </r>
  <r>
    <n v="20250486"/>
    <x v="2"/>
    <x v="11"/>
    <s v="Fatima Veronica Quintero Nuñez"/>
    <s v="Arrendamiento de instalaciones estación Ferias-SGC"/>
    <s v="07 - contrato de arrendamiento"/>
    <s v="80131502;"/>
    <n v="1"/>
    <n v="0"/>
    <n v="12"/>
    <n v="160000000"/>
    <x v="1"/>
    <s v=" 09 - contratación directa "/>
    <x v="6"/>
    <x v="1"/>
    <x v="2"/>
    <x v="2"/>
    <x v="3"/>
    <x v="3"/>
    <s v="N/A-N/A"/>
    <x v="5"/>
    <s v="N/A"/>
    <s v="N/A_N/A"/>
    <s v="N/A-N/A N/A_N/A"/>
    <x v="5"/>
    <x v="5"/>
    <x v="17"/>
    <s v="Si Secop "/>
  </r>
  <r>
    <n v="20250487"/>
    <x v="2"/>
    <x v="11"/>
    <s v="Fatima Veronica Quintero Nuñez"/>
    <s v="Prestar a la UAE Cuerpo Oficial de Bomberos Bogotá los servicios postales, la radicación, digitalización de correspondencia, el servicio de alistamiento básico, elaboración de guías, recolección, transporte y entrega de correo (sobres y/o paquetes) a nivel urbano, nacional e internacional, así como la administración del punto de correspondencia, con personal idóneo, equipos periféricos y motorizados, conforme lo establecido en la Ley 1369 del 2009 y demás normas concordantes y complementarios-SGC"/>
    <s v="03 - contrato de prestacion de servicios"/>
    <s v="78102206;"/>
    <n v="3"/>
    <n v="0"/>
    <n v="12"/>
    <n v="164000000"/>
    <x v="1"/>
    <s v=" 09 - contratación directa "/>
    <x v="6"/>
    <x v="1"/>
    <x v="2"/>
    <x v="2"/>
    <x v="3"/>
    <x v="3"/>
    <s v="N/A-N/A"/>
    <x v="5"/>
    <s v="N/A"/>
    <s v="N/A_N/A"/>
    <s v="N/A-N/A N/A_N/A"/>
    <x v="5"/>
    <x v="5"/>
    <x v="17"/>
    <s v="Si Secop "/>
  </r>
  <r>
    <n v="20250488"/>
    <x v="2"/>
    <x v="11"/>
    <s v="Fatima Veronica Quintero Nuñez"/>
    <s v="Suministro  de implementos  de  papelería y oficina para las dependencias de la UAE Cuerpo  Oficial de Bomberos-SGC"/>
    <s v="08 - contrato de suministro"/>
    <s v="14111500;_x000a_14111800;_x000a_44121700; _x000a_44121800; _x000a_44122000; _x000a_44122100;_x000a_44121600;_x000a_60101900;_x000a_27112300;_x000a_60105700;"/>
    <n v="4"/>
    <n v="0"/>
    <n v="8"/>
    <n v="72917000"/>
    <x v="1"/>
    <s v="03 - selec. abrev. subasta inversa"/>
    <x v="6"/>
    <x v="1"/>
    <x v="2"/>
    <x v="2"/>
    <x v="3"/>
    <x v="3"/>
    <s v="N/A-N/A"/>
    <x v="5"/>
    <s v="N/A"/>
    <s v="N/A_N/A"/>
    <s v="N/A-N/A N/A_N/A"/>
    <x v="5"/>
    <x v="5"/>
    <x v="17"/>
    <s v="Si Secop "/>
  </r>
  <r>
    <n v="20250489"/>
    <x v="2"/>
    <x v="11"/>
    <s v="Fatima Veronica Quintero Nuñez"/>
    <s v="Suministro de insumos para las impresoras de las dependencias de la UAE Cuerpo Oficial de Bomberos.-SGC."/>
    <s v="08 - contrato de suministro"/>
    <s v="44103100;44103101;44103103;44103105;44103106;44103108;44103110;44103111;55101500;"/>
    <n v="3"/>
    <n v="0"/>
    <n v="9"/>
    <n v="80000000"/>
    <x v="1"/>
    <s v="03 - selec. abrev. subasta inversa"/>
    <x v="6"/>
    <x v="1"/>
    <x v="2"/>
    <x v="2"/>
    <x v="3"/>
    <x v="3"/>
    <s v="N/A-N/A"/>
    <x v="5"/>
    <s v="N/A"/>
    <s v="N/A_N/A"/>
    <s v="N/A-N/A N/A_N/A"/>
    <x v="5"/>
    <x v="5"/>
    <x v="17"/>
    <s v="Si Secop "/>
  </r>
  <r>
    <n v="20250490"/>
    <x v="2"/>
    <x v="11"/>
    <s v="Fatima Veronica Quintero Nuñez"/>
    <s v="Arrendamiento de instalaciones estación Caobos Salazar-SGC"/>
    <s v="07 - contrato de arrendamiento"/>
    <s v="80131502;"/>
    <n v="4"/>
    <n v="0"/>
    <n v="10"/>
    <n v="160000000"/>
    <x v="1"/>
    <s v=" 09 - contratación directa "/>
    <x v="6"/>
    <x v="1"/>
    <x v="2"/>
    <x v="2"/>
    <x v="3"/>
    <x v="3"/>
    <s v="N/A-N/A"/>
    <x v="5"/>
    <s v="N/A"/>
    <s v="N/A_N/A"/>
    <s v="N/A-N/A N/A_N/A"/>
    <x v="5"/>
    <x v="5"/>
    <x v="17"/>
    <s v="Si Secop "/>
  </r>
  <r>
    <n v="20250491"/>
    <x v="2"/>
    <x v="11"/>
    <s v="Fatima Veronica Quintero Nuñez"/>
    <s v="Prestar el servicio de vigilancia y seguridad privada en la modalidad de vigilancia fija, según especificaciones técnicas, en las instalaciones donde la UAE Especial Cuerpo Oficial de Bomberos requiera-SGC"/>
    <s v="03 - contrato de prestacion de servicios"/>
    <s v="92121500;"/>
    <n v="4"/>
    <n v="0"/>
    <n v="8"/>
    <n v="560000000"/>
    <x v="1"/>
    <s v="01 - licitación pública"/>
    <x v="6"/>
    <x v="1"/>
    <x v="2"/>
    <x v="2"/>
    <x v="3"/>
    <x v="3"/>
    <s v="N/A-N/A"/>
    <x v="5"/>
    <s v="N/A"/>
    <s v="N/A_N/A"/>
    <s v="N/A-N/A N/A_N/A"/>
    <x v="5"/>
    <x v="5"/>
    <x v="17"/>
    <s v="Si Secop "/>
  </r>
  <r>
    <n v="20250492"/>
    <x v="2"/>
    <x v="11"/>
    <s v="Fatima Veronica Quintero Nuñez"/>
    <s v="Adición y prórroga No. 1 al contrato 243 de 2024 que tiene como objeto“Seleccionar propuesta para contratar con una o varias compañías de seguros legalmente autorizadas para funcionar en el país, los seguros patrimoniales, generales, de aviación y personas requeridos para la adecuada protección de los bienes e intereses patrimoniales de la UNIDAD ADMINISTRATIVA ESPECIAL CUERPO OFICIAL BOMBEROS BOGOTÁ, así como de aquellos por los que sea o fuere legalmente responsable o le corresponda asegurar en virtud de disposición legal o contractual-SGC"/>
    <s v="10 - licitacion publica"/>
    <s v="84131501;84131503;84131504;84131512;84131513;84131515; 84131601,84131603;84131607"/>
    <n v="2"/>
    <n v="0"/>
    <n v="3"/>
    <n v="2000000000"/>
    <x v="1"/>
    <s v="01 - licitación pública"/>
    <x v="6"/>
    <x v="1"/>
    <x v="2"/>
    <x v="2"/>
    <x v="3"/>
    <x v="3"/>
    <s v="N/A-N/A"/>
    <x v="5"/>
    <s v="N/A"/>
    <s v="N/A_N/A"/>
    <s v="N/A-N/A N/A_N/A"/>
    <x v="5"/>
    <x v="5"/>
    <x v="17"/>
    <s v="No Secop"/>
  </r>
  <r>
    <n v="20250493"/>
    <x v="2"/>
    <x v="11"/>
    <s v="Fatima Veronica Quintero Nuñez"/>
    <s v="Adición y prórroga No. 1 al contrato 245 de 2024 que tiene como objeto“Seleccionar propuesta para contratar con una o varias compañías de seguros legalmente autorizadas para funcionar en el país, los seguros patrimoniales, generales, de aviación y personas requeridos para la adecuada protección de los bienes e intereses patrimoniales de la UNIDAD ADMINISTRATIVA ESPECIAL CUERPO OFICIAL BOMBEROS BOGOTÁ, así como de aquellos por los que sea o fuere legalmente responsable o le corresponda asegurar en virtud de disposición legal o contractual-SGC"/>
    <s v="10 - licitacion publica"/>
    <s v="84131501;84131503;84131504;84131512;84131513;84131515; 84131601,84131603;84131607"/>
    <n v="1"/>
    <n v="0"/>
    <n v="3"/>
    <n v="14000000"/>
    <x v="1"/>
    <s v="01 - licitación pública"/>
    <x v="6"/>
    <x v="1"/>
    <x v="2"/>
    <x v="2"/>
    <x v="3"/>
    <x v="3"/>
    <s v="N/A-N/A"/>
    <x v="5"/>
    <s v="N/A"/>
    <s v="N/A_N/A"/>
    <s v="N/A-N/A N/A_N/A"/>
    <x v="5"/>
    <x v="5"/>
    <x v="17"/>
    <s v="No Secop"/>
  </r>
  <r>
    <n v="20250494"/>
    <x v="2"/>
    <x v="11"/>
    <s v="Fatima Veronica Quintero Nuñez"/>
    <s v="Seleccionar propuesta para contratar con una o varias compañías de seguros legalmente autorizadas para funcionar en el país, los seguros patrimoniales, generales, de aviación y personas requeridos parala adecuada protección de los bienes e intereses patrimoniales de la UNIDAD ADMINISTRATIVA ESPECIAL CUERPO OFICIAL BOMBEROS BOGOTÁ, así como de aquellos por los que sea o fuere legalmente responsable o le corresponda asegurar en virtud de disposición legal o contractual-SGC"/>
    <s v="10 - licitacion publica"/>
    <s v="84131501;84131503;84131504;84131512;84131513;84131515; 84131601,84131603;84131607"/>
    <n v="5"/>
    <n v="0"/>
    <n v="10"/>
    <n v="6360939000"/>
    <x v="1"/>
    <s v="01 - licitación pública"/>
    <x v="6"/>
    <x v="1"/>
    <x v="2"/>
    <x v="2"/>
    <x v="3"/>
    <x v="3"/>
    <s v="N/A-N/A"/>
    <x v="5"/>
    <s v="N/A"/>
    <s v="N/A_N/A"/>
    <s v="N/A-N/A N/A_N/A"/>
    <x v="5"/>
    <x v="5"/>
    <x v="17"/>
    <s v="Si Secop "/>
  </r>
  <r>
    <n v="20250495"/>
    <x v="2"/>
    <x v="11"/>
    <s v="Fatima Veronica Quintero Nuñez"/>
    <s v="Adición No. 6 y prórroga No. 7 al contrato 409 de 2021 que tiene como objeto &quot;Prestar los servicios de Custodia, Consulta y Traslado Documental de Acuerdo a las especificaciones Técnicas y requisitos contemplados en la normatividad Archivística Vigente-SGC, Otro Si No. 06 de 2024."/>
    <s v="11 - orden de prestacion de servicios"/>
    <s v="78131800;80101500;80101600;80161500;81111900;81112000"/>
    <n v="2"/>
    <n v="0"/>
    <n v="3"/>
    <n v="20003880"/>
    <x v="1"/>
    <s v="01 - licitación pública"/>
    <x v="6"/>
    <x v="1"/>
    <x v="2"/>
    <x v="2"/>
    <x v="3"/>
    <x v="3"/>
    <s v="N/A-N/A"/>
    <x v="5"/>
    <s v="N/A"/>
    <s v="N/A_N/A"/>
    <s v="N/A-N/A N/A_N/A"/>
    <x v="5"/>
    <x v="5"/>
    <x v="17"/>
    <s v="No Secop"/>
  </r>
  <r>
    <n v="20250496"/>
    <x v="2"/>
    <x v="11"/>
    <s v="Fatima Veronica Quintero Nuñez"/>
    <s v="Mantenimiento ascensor nueva Estación de Bomberos de Fontibón-SGC"/>
    <s v="27 - contrato de prestacion de servicios de mantenimiento"/>
    <s v="80111600;"/>
    <n v="3"/>
    <n v="0"/>
    <n v="9"/>
    <n v="10000000"/>
    <x v="1"/>
    <s v=" 09 - contratación directa "/>
    <x v="6"/>
    <x v="1"/>
    <x v="2"/>
    <x v="2"/>
    <x v="3"/>
    <x v="3"/>
    <s v="N/A-N/A"/>
    <x v="5"/>
    <s v="N/A"/>
    <s v="N/A_N/A"/>
    <s v="N/A-N/A N/A_N/A"/>
    <x v="5"/>
    <x v="5"/>
    <x v="17"/>
    <s v="Si Secop "/>
  </r>
  <r>
    <n v="20250497"/>
    <x v="2"/>
    <x v="11"/>
    <s v="Fatima Veronica Quintero Nuñez"/>
    <s v="Prestación del servicio para inspección y certificación correspondientes a los sistemas de transporte vertical (ascensores) a cargo de la Unidad Administrativa Especial del Cuerpo Oficial de Bomberos Bogotá D.C. – SGC"/>
    <s v="03 - contrato de prestacion de servicios"/>
    <s v="80111600;"/>
    <n v="3"/>
    <n v="0"/>
    <n v="2"/>
    <n v="2000000"/>
    <x v="1"/>
    <s v=" 09 - contratación directa "/>
    <x v="6"/>
    <x v="1"/>
    <x v="2"/>
    <x v="2"/>
    <x v="3"/>
    <x v="3"/>
    <s v="N/A-N/A"/>
    <x v="5"/>
    <s v="N/A"/>
    <s v="N/A_N/A"/>
    <s v="N/A-N/A N/A_N/A"/>
    <x v="5"/>
    <x v="5"/>
    <x v="17"/>
    <s v="Si Secop "/>
  </r>
  <r>
    <n v="20250498"/>
    <x v="2"/>
    <x v="11"/>
    <s v="Fatima Veronica Quintero Nuñez"/>
    <s v="Mantenimiento correctivo y preventivo con suministro de repuestos para los Ascensores Edificio Comando-SGC"/>
    <s v="27 - contrato de prestacion de servicios de mantenimiento"/>
    <s v="80111600;"/>
    <n v="3"/>
    <n v="0"/>
    <n v="9"/>
    <n v="38000000"/>
    <x v="1"/>
    <s v=" 09 - contratación directa "/>
    <x v="6"/>
    <x v="1"/>
    <x v="2"/>
    <x v="2"/>
    <x v="3"/>
    <x v="3"/>
    <s v="N/A-N/A"/>
    <x v="5"/>
    <s v="N/A"/>
    <s v="N/A_N/A"/>
    <s v="N/A-N/A N/A_N/A"/>
    <x v="5"/>
    <x v="5"/>
    <x v="17"/>
    <s v="Si Secop "/>
  </r>
  <r>
    <n v="20250499"/>
    <x v="2"/>
    <x v="11"/>
    <s v="Fatima Veronica Quintero Nuñez"/>
    <s v="Mantenimiento correctivo y preventivo con suministro de repuestos ascensor nueva Estación de Bomberos BELLAVISTA- SGC"/>
    <s v="27 - contrato de prestacion de servicios de mantenimiento"/>
    <s v="80111600;"/>
    <n v="3"/>
    <n v="0"/>
    <n v="9"/>
    <n v="10000000"/>
    <x v="1"/>
    <s v=" 09 - contratación directa "/>
    <x v="6"/>
    <x v="1"/>
    <x v="2"/>
    <x v="2"/>
    <x v="3"/>
    <x v="3"/>
    <s v="N/A-N/A"/>
    <x v="5"/>
    <s v="N/A"/>
    <s v="N/A_N/A"/>
    <s v="N/A-N/A N/A_N/A"/>
    <x v="5"/>
    <x v="5"/>
    <x v="17"/>
    <s v="Si Secop "/>
  </r>
  <r>
    <n v="20250500"/>
    <x v="2"/>
    <x v="11"/>
    <s v="Fatima Veronica Quintero Nuñez"/>
    <s v="Prestar los servicios de mantenimiento y suministro de insumos de las piscinas ubicadas en las Estaciones de Bomberos de Kennedy &quot;Alejandro Lince&quot; B5 y B4 Puente Aranda - BRAE, como escenario para el acondicionamiento físico, entrenamiento del personal y canino del Cuerpo Oficial de Bomberos de Bogotá para el cumplimiento de su misionalidad-SGC. "/>
    <s v="27 - contrato de prestacion de servicios de mantenimiento"/>
    <s v="91111602;_x000d__x000a_47101568;_x000d__x000a_49241712;_x000d__x000a_"/>
    <n v="1"/>
    <n v="0"/>
    <n v="10"/>
    <n v="40000000"/>
    <x v="1"/>
    <s v="04 - contratación mínima cuantía"/>
    <x v="6"/>
    <x v="1"/>
    <x v="2"/>
    <x v="2"/>
    <x v="3"/>
    <x v="3"/>
    <s v="N/A-N/A"/>
    <x v="5"/>
    <s v="N/A"/>
    <s v="N/A_N/A"/>
    <s v="N/A-N/A N/A_N/A"/>
    <x v="5"/>
    <x v="5"/>
    <x v="17"/>
    <s v="Si Secop "/>
  </r>
  <r>
    <n v="20250501"/>
    <x v="2"/>
    <x v="11"/>
    <s v="Fatima Veronica Quintero Nuñez"/>
    <s v="Prestar el servicio de recolección y diposición final de los residuos sanitarios y aguas no tratadas de las instalaciones de la Unidad Administrativa Especial Cuerpo Oficial de Bomberos Bogotá -SGC"/>
    <s v="03 - contrato de prestacion de servicios"/>
    <s v="81141807;_x000d__x000a_40151517;_x000d__x000a_76121701;_x000d__x000a_83101506;"/>
    <n v="3"/>
    <n v="0"/>
    <n v="10"/>
    <n v="30000000"/>
    <x v="1"/>
    <s v="04 - contratación mínima cuantía"/>
    <x v="6"/>
    <x v="1"/>
    <x v="2"/>
    <x v="2"/>
    <x v="3"/>
    <x v="3"/>
    <s v="N/A-N/A"/>
    <x v="5"/>
    <s v="N/A"/>
    <s v="N/A_N/A"/>
    <s v="N/A-N/A N/A_N/A"/>
    <x v="5"/>
    <x v="5"/>
    <x v="17"/>
    <s v="Si Secop "/>
  </r>
  <r>
    <n v="20250502"/>
    <x v="2"/>
    <x v="11"/>
    <s v="Fatima Veronica Quintero Nuñez"/>
    <s v="Suministro de insumos para lavadoras-SGC"/>
    <s v="08 - contrato de suministro"/>
    <s v="44103100;"/>
    <n v="3"/>
    <n v="0"/>
    <n v="8"/>
    <n v="10000000"/>
    <x v="1"/>
    <s v="04 - contratación mínima cuantía"/>
    <x v="6"/>
    <x v="1"/>
    <x v="2"/>
    <x v="2"/>
    <x v="3"/>
    <x v="3"/>
    <s v="N/A-N/A"/>
    <x v="5"/>
    <s v="N/A"/>
    <s v="N/A_N/A"/>
    <s v="N/A-N/A N/A_N/A"/>
    <x v="5"/>
    <x v="5"/>
    <x v="17"/>
    <s v="Si Secop "/>
  </r>
  <r>
    <n v="20250503"/>
    <x v="2"/>
    <x v="11"/>
    <s v="Fatima Veronica Quintero Nuñez"/>
    <s v="Adición y Prórroga No. 1 al contrato 639 de 2024 que tiene como objeto &quot;Suministro de implementos de papelería y oficina para las dependencias de la UAE Cuerpo Oficial de Bomberos-SGC"/>
    <s v="08 - contrato de suministro"/>
    <s v="14111500 _x000d__x000a_14111800_x000d__x000a_44121700 _x000d__x000a_44121800 _x000d__x000a_44122000 _x000d__x000a_44122100_x000d__x000a_44121600_x000d__x000a_60101900_x000d__x000a_27112300_x000d__x000a_60105700_x000d__x000a_"/>
    <n v="2"/>
    <n v="0"/>
    <n v="3"/>
    <n v="29250000"/>
    <x v="1"/>
    <s v="04 - contratación mínima cuantía"/>
    <x v="6"/>
    <x v="1"/>
    <x v="2"/>
    <x v="2"/>
    <x v="3"/>
    <x v="3"/>
    <s v="N/A-N/A"/>
    <x v="5"/>
    <s v="N/A"/>
    <s v="N/A_N/A"/>
    <s v="N/A-N/A N/A_N/A"/>
    <x v="5"/>
    <x v="5"/>
    <x v="17"/>
    <s v="No Secop"/>
  </r>
  <r>
    <n v="20250504"/>
    <x v="0"/>
    <x v="11"/>
    <s v="Fatima Veronica Quintero Nuñez"/>
    <s v="Prestar el servicio de vigilancia y seguridad privada en la modalidad de vigilancia fija, según especificaciones técnicas, en las instalaciones donde la UAE Especial Cuerpo Oficial de Bomberos requiera-SGC"/>
    <s v="03 - contrato de prestacion de servicios"/>
    <s v="92121500;"/>
    <n v="4"/>
    <n v="0"/>
    <n v="8"/>
    <n v="600000000"/>
    <x v="0"/>
    <s v="01 - licitación pública"/>
    <x v="22"/>
    <x v="0"/>
    <x v="0"/>
    <x v="0"/>
    <x v="0"/>
    <x v="0"/>
    <s v="08-Infraestructura física, mantenimiento y dotación (Sedes construidas, mantenidas reforzadas)"/>
    <x v="0"/>
    <s v="Sedes mantenidas"/>
    <s v="016_Sedes mantenidas"/>
    <s v="08-Infraestructura física, mantenimiento y dotación (Sedes construidas, mantenidas reforzadas) 016_Sedes mantenidas"/>
    <x v="0"/>
    <x v="0"/>
    <x v="18"/>
    <s v="Si Secop "/>
  </r>
  <r>
    <n v="20250505"/>
    <x v="0"/>
    <x v="11"/>
    <s v="Fatima Veronica Quintero Nuñez"/>
    <s v="Realizar el mantenimiento preventivo, correctivo y suministro de repuestos para los equipos de gimnasio instalados en las diferentes instalaciones a cargo de la UAE Cuerpo Oficial de Bomberos. -SGC"/>
    <s v="27 - contrato de prestacion de servicios de mantenimiento"/>
    <s v="49201500; 49201600; 72151800"/>
    <n v="2"/>
    <n v="0"/>
    <n v="9"/>
    <n v="60000000"/>
    <x v="0"/>
    <s v="04 - contratación mínima cuantía"/>
    <x v="22"/>
    <x v="0"/>
    <x v="0"/>
    <x v="0"/>
    <x v="0"/>
    <x v="0"/>
    <s v="08-Infraestructura física, mantenimiento y dotación (Sedes construidas, mantenidas reforzadas)"/>
    <x v="0"/>
    <s v="Sedes mantenidas"/>
    <s v="016_Sedes mantenidas"/>
    <s v="08-Infraestructura física, mantenimiento y dotación (Sedes construidas, mantenidas reforzadas) 016_Sedes mantenidas"/>
    <x v="0"/>
    <x v="0"/>
    <x v="15"/>
    <s v="Si Secop "/>
  </r>
  <r>
    <n v="20250506"/>
    <x v="0"/>
    <x v="11"/>
    <s v="Fatima Veronica Quintero Nuñez"/>
    <s v="Mantenimiento preventivo y correctivo de la red contraincendios  y sistemas de detención de alarmas contra incendios de las estaciones de bomberos de la UAE- Cuerpo Oficial de Bomberos Bogota SGC"/>
    <s v="27 - contrato de prestacion de servicios de mantenimiento"/>
    <s v="72101500; 92101600; 95121700"/>
    <n v="4"/>
    <n v="0"/>
    <n v="6"/>
    <n v="150000000"/>
    <x v="0"/>
    <s v="02 - selec. abrev. menor cuantía"/>
    <x v="22"/>
    <x v="0"/>
    <x v="0"/>
    <x v="0"/>
    <x v="0"/>
    <x v="0"/>
    <s v="08-Infraestructura física, mantenimiento y dotación (Sedes construidas, mantenidas reforzadas)"/>
    <x v="0"/>
    <s v="Sedes mantenidas"/>
    <s v="016_Sedes mantenidas"/>
    <s v="08-Infraestructura física, mantenimiento y dotación (Sedes construidas, mantenidas reforzadas) 016_Sedes mantenidas"/>
    <x v="0"/>
    <x v="0"/>
    <x v="15"/>
    <s v="Si Secop "/>
  </r>
  <r>
    <n v="20250507"/>
    <x v="0"/>
    <x v="11"/>
    <s v="Fatima Veronica Quintero Nuñez"/>
    <s v="Mantenimiento preventivo y correctivo, que incluye el suministro de insumos y repuestos de los electrodomésticos de las instalaciones a cargo de la UAE Cuerpo Oficial de Bomberos Bogotá-SGC"/>
    <s v="27 - contrato de prestacion de servicios de mantenimiento"/>
    <s v="73152108;"/>
    <n v="3"/>
    <n v="0"/>
    <n v="8"/>
    <n v="30000000"/>
    <x v="0"/>
    <s v="04 - contratación mínima cuantía"/>
    <x v="22"/>
    <x v="0"/>
    <x v="0"/>
    <x v="0"/>
    <x v="0"/>
    <x v="0"/>
    <s v="08-Infraestructura física, mantenimiento y dotación (Sedes construidas, mantenidas reforzadas)"/>
    <x v="0"/>
    <s v="Sedes mantenidas"/>
    <s v="016_Sedes mantenidas"/>
    <s v="08-Infraestructura física, mantenimiento y dotación (Sedes construidas, mantenidas reforzadas) 016_Sedes mantenidas"/>
    <x v="0"/>
    <x v="0"/>
    <x v="15"/>
    <s v="Si Secop "/>
  </r>
  <r>
    <n v="20250508"/>
    <x v="0"/>
    <x v="11"/>
    <s v="Fatima Veronica Quintero Nuñez"/>
    <s v="Suministro de materiales, equipos y herramientas para el mejoramiento integral de las instalaciones de la UAE Cuerpo Oficial de Bomberos -SGC"/>
    <s v="08 - contrato de suministro"/>
    <s v="23131500;23271800; 26111700; 26121500; 26121600; 27111500; 27001700;27111800;27111900;27112000;27112100;27112800;30101500;3010300;30111600;30131500;30151700;30151800;30161700;30171500;30181500;30181700;30191500;31161500;31162000;31162100;31162100;31162800;31201500;31201600;31211500;31211700;31211900;39101600;39101900;39121300;39121400;39121500;39121700;39122200;39131700;40141600;40141700;40151600;40171900;40183000;40183100;46171500;78101800"/>
    <n v="2"/>
    <n v="0"/>
    <n v="8"/>
    <n v="243061556"/>
    <x v="0"/>
    <s v="17 - acuerdo marco de precios"/>
    <x v="22"/>
    <x v="0"/>
    <x v="0"/>
    <x v="0"/>
    <x v="0"/>
    <x v="0"/>
    <s v="08-Infraestructura física, mantenimiento y dotación (Sedes construidas, mantenidas reforzadas)"/>
    <x v="0"/>
    <s v="Sedes mantenidas"/>
    <s v="016_Sedes mantenidas"/>
    <s v="08-Infraestructura física, mantenimiento y dotación (Sedes construidas, mantenidas reforzadas) 016_Sedes mantenidas"/>
    <x v="0"/>
    <x v="0"/>
    <x v="15"/>
    <s v="Si Secop "/>
  </r>
  <r>
    <n v="20250509"/>
    <x v="0"/>
    <x v="11"/>
    <s v="Fatima Veronica Quintero Nuñez"/>
    <s v="Adición No. 2  al contrato 301 de 2024 cyto objeto es &quot;Suministro de materiales, equipos y herramientas para el mejoramiento integral de las instalaciones de la UAE Cuerpo Oficial de Bomberos -SGC"/>
    <s v="08 - contrato de suministro"/>
    <s v="23131500;23271800; 26111700; 26121500; 26121600; 27111500; 27001700;27111800;27111900;27112000;27112100;27112800;30101500;3010300;30111600;30131500;30151700;30151800;30161700;30171500;30181500;30181700;30191500;31161500;31162000;31162100;31162100;31162800;31201500;31201600;31211500;31211700;31211900;39101600;39101900;39121300;39121400;39121500;39121700;39122200;39131700;40141600;40141700;40151600;40171900;40183000;40183100;46171500;78101800"/>
    <n v="2"/>
    <n v="0"/>
    <n v="2"/>
    <n v="56938444"/>
    <x v="0"/>
    <s v="17 - acuerdo marco de precios"/>
    <x v="22"/>
    <x v="0"/>
    <x v="0"/>
    <x v="0"/>
    <x v="0"/>
    <x v="0"/>
    <s v="08-Infraestructura física, mantenimiento y dotación (Sedes construidas, mantenidas reforzadas)"/>
    <x v="0"/>
    <s v="Sedes mantenidas"/>
    <s v="016_Sedes mantenidas"/>
    <s v="08-Infraestructura física, mantenimiento y dotación (Sedes construidas, mantenidas reforzadas) 016_Sedes mantenidas"/>
    <x v="0"/>
    <x v="0"/>
    <x v="15"/>
    <s v="Si Secop "/>
  </r>
  <r>
    <n v="20250510"/>
    <x v="0"/>
    <x v="11"/>
    <s v="Fatima Veronica Quintero Nuñez"/>
    <s v="Realizar el mantenimiento predictivo, preventivo, correctivo, mejoras y dotación a las instalaciones de las dependencias de la Unidad Administrativa Especial Cuerpo Oficial de Bomberos de Bogotá D.C. - SGC_x000d__x000a_"/>
    <s v="17 - contrato de mantenimiento"/>
    <s v="72102900; 72121400; 72151700;72154000;72101500"/>
    <n v="2"/>
    <n v="0"/>
    <n v="8"/>
    <n v="784028135"/>
    <x v="0"/>
    <s v="01 - licitación pública"/>
    <x v="22"/>
    <x v="0"/>
    <x v="0"/>
    <x v="0"/>
    <x v="0"/>
    <x v="0"/>
    <s v="08-Infraestructura física, mantenimiento y dotación (Sedes construidas, mantenidas reforzadas)"/>
    <x v="0"/>
    <s v="Sedes mantenidas"/>
    <s v="016_Sedes mantenidas"/>
    <s v="08-Infraestructura física, mantenimiento y dotación (Sedes construidas, mantenidas reforzadas) 016_Sedes mantenidas"/>
    <x v="0"/>
    <x v="0"/>
    <x v="19"/>
    <s v="Si Secop "/>
  </r>
  <r>
    <n v="20250511"/>
    <x v="0"/>
    <x v="11"/>
    <s v="Fatima Veronica Quintero Nuñez"/>
    <s v="Interventoría técnica, administrativa, financiera, contable, jurídica y ambiental  para la realizacion del mantenimiento predictivo, preventivo, correctivo, mejoras y dotación a las instalaciones de las dependencias de la Unidad Administrativa Especial Cuerpo Oficial de Bomberos de Bogotá D.C. - SGC"/>
    <s v="14 - contrato de interventoria"/>
    <s v="80101600; 81101500; 72101500; 72121400"/>
    <n v="2"/>
    <n v="0"/>
    <n v="8"/>
    <n v="181681869"/>
    <x v="0"/>
    <s v="06 - concurso de méritos abierto"/>
    <x v="22"/>
    <x v="0"/>
    <x v="0"/>
    <x v="0"/>
    <x v="0"/>
    <x v="0"/>
    <s v="08-Infraestructura física, mantenimiento y dotación (Sedes construidas, mantenidas reforzadas)"/>
    <x v="0"/>
    <s v="Sedes mantenidas"/>
    <s v="016_Sedes mantenidas"/>
    <s v="08-Infraestructura física, mantenimiento y dotación (Sedes construidas, mantenidas reforzadas) 016_Sedes mantenidas"/>
    <x v="0"/>
    <x v="0"/>
    <x v="19"/>
    <s v="Si Secop "/>
  </r>
  <r>
    <n v="20250512"/>
    <x v="0"/>
    <x v="11"/>
    <s v="Fatima Veronica Quintero Nuñez"/>
    <s v="Suministro e instalación de las lavadoras y secadoras industriales  para las instalaciones de la UAE Cuerpo Oficial de Bomberos de Bogotá-SGC"/>
    <s v="08 - contrato de suministro"/>
    <s v="47111500; 47111700"/>
    <n v="4"/>
    <n v="0"/>
    <n v="3"/>
    <n v="200000000"/>
    <x v="0"/>
    <s v="03 - selec. abrev. subasta inversa"/>
    <x v="22"/>
    <x v="0"/>
    <x v="0"/>
    <x v="0"/>
    <x v="0"/>
    <x v="0"/>
    <s v="08-Infraestructura física, mantenimiento y dotación (Sedes construidas, mantenidas reforzadas)"/>
    <x v="0"/>
    <s v="Sedes mantenidas"/>
    <s v="016_Sedes mantenidas"/>
    <s v="08-Infraestructura física, mantenimiento y dotación (Sedes construidas, mantenidas reforzadas) 016_Sedes mantenidas"/>
    <x v="0"/>
    <x v="0"/>
    <x v="3"/>
    <s v="Si Secop "/>
  </r>
  <r>
    <n v="20250513"/>
    <x v="0"/>
    <x v="11"/>
    <s v="Fatima Veronica Quintero Nuñez"/>
    <s v="Suministro e instalación de equipos gasodomésticos y solares para las instalaciones de la UAE Cuerpo Oficial de Bomberos SGC"/>
    <s v="08 - contrato de suministro"/>
    <s v="48101500; 52141500; 40101800"/>
    <n v="4"/>
    <n v="0"/>
    <n v="3"/>
    <n v="50000000"/>
    <x v="0"/>
    <s v="03 - selec. abrev. subasta inversa"/>
    <x v="22"/>
    <x v="0"/>
    <x v="0"/>
    <x v="0"/>
    <x v="0"/>
    <x v="0"/>
    <s v="08-Infraestructura física, mantenimiento y dotación (Sedes construidas, mantenidas reforzadas)"/>
    <x v="0"/>
    <s v="Sedes mantenidas"/>
    <s v="016_Sedes mantenidas"/>
    <s v="08-Infraestructura física, mantenimiento y dotación (Sedes construidas, mantenidas reforzadas) 016_Sedes mantenidas"/>
    <x v="0"/>
    <x v="0"/>
    <x v="3"/>
    <s v="Si Secop "/>
  </r>
  <r>
    <n v="20250514"/>
    <x v="0"/>
    <x v="11"/>
    <s v="Fatima Veronica Quintero Nuñez"/>
    <s v="Suministro e instalación de equipos de gimnasio para las diferentes instalaciones a cargo de la UAE Cuerpo Oficial de Bomberos. -SGC"/>
    <s v="08 - contrato de suministro"/>
    <s v="49201500; 49201600"/>
    <n v="4"/>
    <n v="0"/>
    <n v="3"/>
    <n v="50000000"/>
    <x v="0"/>
    <s v="03 - selec. abrev. subasta inversa"/>
    <x v="22"/>
    <x v="0"/>
    <x v="0"/>
    <x v="0"/>
    <x v="0"/>
    <x v="0"/>
    <s v="08-Infraestructura física, mantenimiento y dotación (Sedes construidas, mantenidas reforzadas)"/>
    <x v="0"/>
    <s v="Sedes mantenidas"/>
    <s v="016_Sedes mantenidas"/>
    <s v="08-Infraestructura física, mantenimiento y dotación (Sedes construidas, mantenidas reforzadas) 016_Sedes mantenidas"/>
    <x v="0"/>
    <x v="0"/>
    <x v="3"/>
    <s v="Si Secop "/>
  </r>
  <r>
    <n v="20250515"/>
    <x v="0"/>
    <x v="11"/>
    <s v="Fatima Veronica Quintero Nuñez"/>
    <s v="Adición y prórroga No. 1 al contrato 344 de 2024 que tiene como objeto “Prestar el servicio de vigilancia y seguridad privada en la modalidad de vigilancia fija, según especificaciones técnicas, en las instalaciones que la UAE especial cuerpo oficial de bomberos requiera-SGC"/>
    <s v="03 - contrato de prestacion de servicios"/>
    <s v="92121500;"/>
    <n v="2"/>
    <n v="0"/>
    <n v="2"/>
    <n v="100000000"/>
    <x v="0"/>
    <s v="01 - licitación pública"/>
    <x v="22"/>
    <x v="0"/>
    <x v="0"/>
    <x v="0"/>
    <x v="0"/>
    <x v="0"/>
    <s v="08-Infraestructura física, mantenimiento y dotación (Sedes construidas, mantenidas reforzadas)"/>
    <x v="0"/>
    <s v="Sedes mantenidas"/>
    <s v="016_Sedes mantenidas"/>
    <s v="08-Infraestructura física, mantenimiento y dotación (Sedes construidas, mantenidas reforzadas) 016_Sedes mantenidas"/>
    <x v="0"/>
    <x v="0"/>
    <x v="18"/>
    <s v="No Secop"/>
  </r>
  <r>
    <n v="20250516"/>
    <x v="0"/>
    <x v="11"/>
    <s v="Fatima Veronica Quintero Nuñez"/>
    <s v="Adquisicion de Andamios certificados, escalera multifuncional y elemento de seguridad y salud en el trabajo (gafas,tapa oidos, lineas de vida)"/>
    <s v="08 - contrato de suministro"/>
    <s v="30191505;"/>
    <n v="1"/>
    <n v="0"/>
    <n v="2"/>
    <n v="50000000"/>
    <x v="0"/>
    <s v="04 - contratación mínima cuantía"/>
    <x v="22"/>
    <x v="0"/>
    <x v="0"/>
    <x v="0"/>
    <x v="0"/>
    <x v="0"/>
    <s v="08-Infraestructura física, mantenimiento y dotación (Sedes construidas, mantenidas reforzadas)"/>
    <x v="0"/>
    <s v="Sedes mantenidas"/>
    <s v="016_Sedes mantenidas"/>
    <s v="08-Infraestructura física, mantenimiento y dotación (Sedes construidas, mantenidas reforzadas) 016_Sedes mantenidas"/>
    <x v="0"/>
    <x v="0"/>
    <x v="3"/>
    <s v="Si Secop "/>
  </r>
  <r>
    <n v="20250517"/>
    <x v="1"/>
    <x v="11"/>
    <s v="Fatima Veronica Quintero Nuñez"/>
    <s v="Elaboración de estudios y diseños técnicos para la construcción de la estación de bomberos  B-18 de la UAE Cuerpo Oficial de Bomberos de Bogotá – SGC"/>
    <s v="04 - contrato de consultoria"/>
    <s v="81101500;80101600"/>
    <n v="4"/>
    <n v="0"/>
    <n v="10"/>
    <n v="500000000"/>
    <x v="0"/>
    <s v="06 - concurso de méritos abierto"/>
    <x v="21"/>
    <x v="0"/>
    <x v="1"/>
    <x v="1"/>
    <x v="0"/>
    <x v="0"/>
    <s v="08-Infraestructura física, mantenimiento y dotación (Sedes construidas, mantenidas reforzadas)"/>
    <x v="10"/>
    <s v="Estaciones de bomberos adecuadas"/>
    <s v="014_Estaciones de bomberos adecuadas"/>
    <s v="08-Infraestructura física, mantenimiento y dotación (Sedes construidas, mantenidas reforzadas) 014_Estaciones de bomberos adecuadas"/>
    <x v="15"/>
    <x v="15"/>
    <x v="13"/>
    <s v="Si Secop "/>
  </r>
  <r>
    <n v="20250518"/>
    <x v="1"/>
    <x v="11"/>
    <s v="Fatima Veronica Quintero Nuñez"/>
    <s v="Interventoría técnica, administrativa, financiera, contable, jurídica y ambiental para la elaboración de estudios y diseños técnicos para la construcción de la estación de bomberos B-18 de la UAE Cuerpo Oficial de Bomberos de Bogotá – SGC"/>
    <s v="14 - contrato de interventoria"/>
    <s v="80101600;81101500;72101500;72121400"/>
    <n v="4"/>
    <n v="0"/>
    <n v="10"/>
    <n v="150000000"/>
    <x v="0"/>
    <s v="06 - concurso de méritos abierto"/>
    <x v="21"/>
    <x v="0"/>
    <x v="1"/>
    <x v="1"/>
    <x v="0"/>
    <x v="0"/>
    <s v="08-Infraestructura física, mantenimiento y dotación (Sedes construidas, mantenidas reforzadas)"/>
    <x v="10"/>
    <s v="Estaciones de bomberos adecuadas"/>
    <s v="014_Estaciones de bomberos adecuadas"/>
    <s v="08-Infraestructura física, mantenimiento y dotación (Sedes construidas, mantenidas reforzadas) 014_Estaciones de bomberos adecuadas"/>
    <x v="15"/>
    <x v="15"/>
    <x v="13"/>
    <s v="Si Secop "/>
  </r>
  <r>
    <n v="20250519"/>
    <x v="1"/>
    <x v="11"/>
    <s v="Fatima Veronica Quintero Nuñez"/>
    <s v="Consultoria modalidad de licencias de la infraestructura existente de las estaciones de bomberos (reconocimiento, ampliacion etc)"/>
    <s v="04 - contrato de consultoria"/>
    <s v="81101500;80101600"/>
    <n v="4"/>
    <n v="0"/>
    <n v="10"/>
    <n v="200000000"/>
    <x v="0"/>
    <s v="06 - concurso de méritos abierto"/>
    <x v="21"/>
    <x v="0"/>
    <x v="1"/>
    <x v="1"/>
    <x v="0"/>
    <x v="0"/>
    <s v="08-Infraestructura física, mantenimiento y dotación (Sedes construidas, mantenidas reforzadas)"/>
    <x v="10"/>
    <s v="Estaciones de bomberos adecuadas"/>
    <s v="014_Estaciones de bomberos adecuadas"/>
    <s v="08-Infraestructura física, mantenimiento y dotación (Sedes construidas, mantenidas reforzadas) 014_Estaciones de bomberos adecuadas"/>
    <x v="15"/>
    <x v="15"/>
    <x v="13"/>
    <s v="Si Secop "/>
  </r>
  <r>
    <n v="20250520"/>
    <x v="1"/>
    <x v="11"/>
    <s v="Fatima Veronica Quintero Nuñez"/>
    <s v="Interventoria de la consultoria modalidad de licencias de la infraestructura existente de las estaciones de bomberos (reconocimiento, ampliacion etc)."/>
    <s v="14 - contrato de interventoria"/>
    <s v="80101600;81101500;72101500;72121400"/>
    <n v="4"/>
    <n v="0"/>
    <n v="10"/>
    <n v="150000000"/>
    <x v="0"/>
    <s v="06 - concurso de méritos abierto"/>
    <x v="21"/>
    <x v="0"/>
    <x v="1"/>
    <x v="1"/>
    <x v="0"/>
    <x v="0"/>
    <s v="08-Infraestructura física, mantenimiento y dotación (Sedes construidas, mantenidas reforzadas)"/>
    <x v="10"/>
    <s v="Estaciones de bomberos adecuadas"/>
    <s v="014_Estaciones de bomberos adecuadas"/>
    <s v="08-Infraestructura física, mantenimiento y dotación (Sedes construidas, mantenidas reforzadas) 014_Estaciones de bomberos adecuadas"/>
    <x v="15"/>
    <x v="15"/>
    <x v="13"/>
    <s v="Si Secop "/>
  </r>
  <r>
    <n v="20250521"/>
    <x v="1"/>
    <x v="11"/>
    <s v="Fatima Veronica Quintero Nuñez"/>
    <s v="Elaboración de estudios y diseños técnicos para la construcción de la estación de bomberos de Puente Aranda B-4 de la UAE Cuerpo Oficial de Bomberos de Bogotá – SGC"/>
    <s v="04 - contrato de consultoria"/>
    <s v="81101500;80101600"/>
    <n v="4"/>
    <n v="0"/>
    <n v="10"/>
    <n v="500000000"/>
    <x v="0"/>
    <s v="06 - concurso de méritos abierto"/>
    <x v="21"/>
    <x v="0"/>
    <x v="1"/>
    <x v="1"/>
    <x v="0"/>
    <x v="0"/>
    <s v="08-Infraestructura física, mantenimiento y dotación (Sedes construidas, mantenidas reforzadas)"/>
    <x v="10"/>
    <s v="Estaciones de bomberos adecuadas"/>
    <s v="014_Estaciones de bomberos adecuadas"/>
    <s v="08-Infraestructura física, mantenimiento y dotación (Sedes construidas, mantenidas reforzadas) 014_Estaciones de bomberos adecuadas"/>
    <x v="15"/>
    <x v="15"/>
    <x v="13"/>
    <s v="Si Secop "/>
  </r>
  <r>
    <n v="20250522"/>
    <x v="1"/>
    <x v="11"/>
    <s v="Fatima Veronica Quintero Nuñez"/>
    <s v="Interventoría técnica, administrativa, financiera, contable, jurídica y ambiental para la elaboración de estudios y diseños técnicos para la construcción de la estación de Bomberos de Punete Aranda B-4 de la UAE Cuerpo Oficial de Bomberos de Bogotá – SGC"/>
    <s v="14 - contrato de interventoria"/>
    <s v="80101600;81101500;72101500;72121400"/>
    <n v="4"/>
    <n v="0"/>
    <n v="10"/>
    <n v="150000000"/>
    <x v="0"/>
    <s v="06 - concurso de méritos abierto"/>
    <x v="21"/>
    <x v="0"/>
    <x v="1"/>
    <x v="1"/>
    <x v="0"/>
    <x v="0"/>
    <s v="08-Infraestructura física, mantenimiento y dotación (Sedes construidas, mantenidas reforzadas)"/>
    <x v="10"/>
    <s v="Estaciones de bomberos adecuadas"/>
    <s v="014_Estaciones de bomberos adecuadas"/>
    <s v="08-Infraestructura física, mantenimiento y dotación (Sedes construidas, mantenidas reforzadas) 014_Estaciones de bomberos adecuadas"/>
    <x v="15"/>
    <x v="15"/>
    <x v="13"/>
    <s v="Si Secop "/>
  </r>
  <r>
    <n v="20250523"/>
    <x v="1"/>
    <x v="11"/>
    <s v="Fatima Veronica Quintero Nuñez"/>
    <s v="Construcción de la estación de bomberos de Caobos Salazar B-13 de la UAE Cuerpo Oficial de Bomberos de Bogotá – SGC"/>
    <s v="05 - contrato de obra"/>
    <s v="72121400; 72151700; 72151700; 81101500"/>
    <n v="6"/>
    <n v="0"/>
    <n v="13"/>
    <n v="6000000000"/>
    <x v="0"/>
    <s v="01 - licitación pública"/>
    <x v="21"/>
    <x v="0"/>
    <x v="1"/>
    <x v="1"/>
    <x v="0"/>
    <x v="0"/>
    <s v="08-Infraestructura física, mantenimiento y dotación (Sedes construidas, mantenidas reforzadas)"/>
    <x v="10"/>
    <s v="Estaciones de bomberos adecuadas"/>
    <s v="014_Estaciones de bomberos adecuadas"/>
    <s v="08-Infraestructura física, mantenimiento y dotación (Sedes construidas, mantenidas reforzadas) 014_Estaciones de bomberos adecuadas"/>
    <x v="15"/>
    <x v="15"/>
    <x v="13"/>
    <s v="Si Secop "/>
  </r>
  <r>
    <n v="20250524"/>
    <x v="1"/>
    <x v="11"/>
    <s v="Fatima Veronica Quintero Nuñez"/>
    <s v="Interventoría técnica, administrativa, financiera, contable, jurídica y ambiental para la construcción de la estación de Bomberos de Caobos Salazar B-13 de la UAE Cuerpo Oficial de Bomberos de Bogotá – SGC"/>
    <s v="14 - contrato de interventoria"/>
    <s v="81101500; 80101600; 72121400; 95121700"/>
    <n v="6"/>
    <n v="0"/>
    <n v="13"/>
    <n v="1380000000"/>
    <x v="0"/>
    <s v="06 - concurso de méritos abierto"/>
    <x v="21"/>
    <x v="0"/>
    <x v="1"/>
    <x v="1"/>
    <x v="0"/>
    <x v="0"/>
    <s v="08-Infraestructura física, mantenimiento y dotación (Sedes construidas, mantenidas reforzadas)"/>
    <x v="10"/>
    <s v="Estaciones de bomberos adecuadas"/>
    <s v="014_Estaciones de bomberos adecuadas"/>
    <s v="08-Infraestructura física, mantenimiento y dotación (Sedes construidas, mantenidas reforzadas) 014_Estaciones de bomberos adecuadas"/>
    <x v="15"/>
    <x v="15"/>
    <x v="13"/>
    <s v="Si Secop "/>
  </r>
  <r>
    <n v="20250525"/>
    <x v="0"/>
    <x v="11"/>
    <s v="Fatima Veronica Quintero Nuñez"/>
    <s v="Prestación de servicios profesionales especializados para apoyar las actividades técnicas del Área de Infraestructura de la Subdirección de Gestión Corporativa-SGC"/>
    <s v="25 - contrato de prestacion de servicios profesionales"/>
    <s v="80111600;"/>
    <n v="2"/>
    <n v="0"/>
    <n v="11"/>
    <n v="112237664"/>
    <x v="0"/>
    <s v=" 09 - contratación directa "/>
    <x v="22"/>
    <x v="0"/>
    <x v="0"/>
    <x v="0"/>
    <x v="0"/>
    <x v="0"/>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526"/>
    <x v="0"/>
    <x v="11"/>
    <s v="Fatima Veronica Quintero Nuñez"/>
    <s v="Prestación de servicios de apoyo a la gestión, en la Subdirección de Gestión Corporativa en temas de infraestructura para el sostenimiento y mejoramiento de los equipamientos de la Unidad Administrativa Especial Cuerpo Oficial de Bomberos de Bogotá-SGC"/>
    <s v="26 - contrato de prestacion de servicios de apoyo a la gestion"/>
    <s v="80111600;"/>
    <n v="2"/>
    <n v="0"/>
    <n v="11"/>
    <n v="33534424"/>
    <x v="0"/>
    <s v=" 09 - contratación directa "/>
    <x v="22"/>
    <x v="0"/>
    <x v="0"/>
    <x v="0"/>
    <x v="0"/>
    <x v="0"/>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527"/>
    <x v="0"/>
    <x v="11"/>
    <s v="Fatima Veronica Quintero Nuñez"/>
    <s v="Prestación de servicios de apoyo a la gestión, en la Subdirección de Gestión Corporativa en temas de infraestructura para el sostenimiento y mejoramiento de los equipamientos de la Unidad Administrativa Especial Cuerpo Oficial de Bomberos de Bogotá-SGC"/>
    <s v="26 - contrato de prestacion de servicios de apoyo a la gestion"/>
    <s v="80111600;"/>
    <n v="2"/>
    <n v="0"/>
    <n v="11"/>
    <n v="33534424"/>
    <x v="0"/>
    <s v=" 09 - contratación directa "/>
    <x v="22"/>
    <x v="0"/>
    <x v="0"/>
    <x v="0"/>
    <x v="0"/>
    <x v="0"/>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528"/>
    <x v="0"/>
    <x v="11"/>
    <s v="Fatima Veronica Quintero Nuñez"/>
    <s v="Prestación de servicios de apoyo a la gestión, en la Subdirección de Gestión Corporativa en temas de infraestructura para el sostenimiento y mejoramiento de los equipamientos de la Unidad Administrativa Especial Cuerpo Oficial de Bomberos de Bogotá-SGC"/>
    <s v="26 - contrato de prestacion de servicios de apoyo a la gestion"/>
    <s v="80111600;"/>
    <n v="2"/>
    <n v="0"/>
    <n v="11"/>
    <n v="33534424"/>
    <x v="0"/>
    <s v=" 09 - contratación directa "/>
    <x v="22"/>
    <x v="0"/>
    <x v="0"/>
    <x v="0"/>
    <x v="0"/>
    <x v="0"/>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529"/>
    <x v="1"/>
    <x v="11"/>
    <s v="Fatima Veronica Quintero Nuñez"/>
    <s v="Prestación de servicios profesionales para apoyar las actividades jurídicas y gestión predial del Área de Infraestructura de la Subdirección de Gestión Corporativa-SGC"/>
    <s v="25 - contrato de prestacion de servicios profesionales"/>
    <s v="80111600;"/>
    <n v="2"/>
    <n v="0"/>
    <n v="11"/>
    <n v="78650000"/>
    <x v="0"/>
    <s v=" 09 - contratación directa "/>
    <x v="23"/>
    <x v="0"/>
    <x v="1"/>
    <x v="1"/>
    <x v="0"/>
    <x v="0"/>
    <s v="08-Infraestructura física, mantenimiento y dotación (Sedes construidas, mantenidas reforzadas)"/>
    <x v="11"/>
    <s v="Documentos de lineamientos técnicos"/>
    <s v="031__Documentos de lineamientos técnicos"/>
    <s v="08-Infraestructura física, mantenimiento y dotación (Sedes construidas, mantenidas reforzadas) 031__Documentos de lineamientos técnicos"/>
    <x v="16"/>
    <x v="16"/>
    <x v="1"/>
    <s v="Si Secop "/>
  </r>
  <r>
    <n v="20250530"/>
    <x v="1"/>
    <x v="11"/>
    <s v="Fatima Veronica Quintero Nuñez"/>
    <s v="Prestación de servicios profesionales en la proyección y el seguimiento financiero a los proyectos de la Subdirección de Gestión Corporativa-SGC"/>
    <s v="25 - contrato de prestacion de servicios profesionales"/>
    <s v="80111600;"/>
    <n v="2"/>
    <n v="0"/>
    <n v="11"/>
    <n v="62920000"/>
    <x v="0"/>
    <s v=" 09 - contratación directa "/>
    <x v="21"/>
    <x v="0"/>
    <x v="1"/>
    <x v="1"/>
    <x v="0"/>
    <x v="0"/>
    <s v="08-Infraestructura física, mantenimiento y dotación (Sedes construidas, mantenidas reforzadas)"/>
    <x v="10"/>
    <s v="Estaciones de bomberos adecuadas"/>
    <s v="014_Estaciones de bomberos adecuadas"/>
    <s v="08-Infraestructura física, mantenimiento y dotación (Sedes construidas, mantenidas reforzadas) 014_Estaciones de bomberos adecuadas"/>
    <x v="15"/>
    <x v="15"/>
    <x v="16"/>
    <s v="Si Secop "/>
  </r>
  <r>
    <n v="20250531"/>
    <x v="1"/>
    <x v="11"/>
    <s v="Fatima Veronica Quintero Nuñez"/>
    <s v="Prestación de servicios profesionales con el fin de gestionar trámites de carácter técnico, administrativo y operativamente en el desarrollo de los proyectos de inversión  de la entidad-SGC"/>
    <s v="25 - contrato de prestacion de servicios profesionales"/>
    <s v="80111600;"/>
    <n v="2"/>
    <n v="0"/>
    <n v="11"/>
    <n v="66550000"/>
    <x v="0"/>
    <s v=" 09 - contratación directa "/>
    <x v="21"/>
    <x v="0"/>
    <x v="1"/>
    <x v="1"/>
    <x v="0"/>
    <x v="0"/>
    <s v="08-Infraestructura física, mantenimiento y dotación (Sedes construidas, mantenidas reforzadas)"/>
    <x v="10"/>
    <s v="Estaciones de bomberos adecuadas"/>
    <s v="014_Estaciones de bomberos adecuadas"/>
    <s v="08-Infraestructura física, mantenimiento y dotación (Sedes construidas, mantenidas reforzadas) 014_Estaciones de bomberos adecuadas"/>
    <x v="15"/>
    <x v="15"/>
    <x v="16"/>
    <s v="Si Secop "/>
  </r>
  <r>
    <n v="20250532"/>
    <x v="0"/>
    <x v="11"/>
    <s v="Fatima Veronica Quintero Nuñez"/>
    <s v="Prestar los servicios profesionales en la Subdirección de Gestión Corporativa en las actividades asociadas a procesos jurídicos relacionados con la gestión administrativa.- SGC"/>
    <s v="25 - contrato de prestacion de servicios profesionales"/>
    <s v="80111600;"/>
    <n v="2"/>
    <n v="0"/>
    <n v="11"/>
    <n v="88330000"/>
    <x v="0"/>
    <s v=" 09 - contratación directa "/>
    <x v="0"/>
    <x v="0"/>
    <x v="0"/>
    <x v="0"/>
    <x v="0"/>
    <x v="0"/>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533"/>
    <x v="1"/>
    <x v="11"/>
    <s v="Fatima Veronica Quintero Nuñez"/>
    <s v="Prestar los servicios profesionales para el acompañamiento y seguimiento de los planes y proyectos de la Subdireccion de Gestión Corporativa-SGC"/>
    <s v="25 - contrato de prestacion de servicios profesionales"/>
    <s v="80111600;"/>
    <n v="2"/>
    <n v="0"/>
    <n v="11"/>
    <n v="79406250"/>
    <x v="0"/>
    <s v=" 09 - contratación directa "/>
    <x v="21"/>
    <x v="0"/>
    <x v="1"/>
    <x v="1"/>
    <x v="0"/>
    <x v="0"/>
    <s v="08-Infraestructura física, mantenimiento y dotación (Sedes construidas, mantenidas reforzadas)"/>
    <x v="10"/>
    <s v="Estaciones de bomberos adecuadas"/>
    <s v="014_Estaciones de bomberos adecuadas"/>
    <s v="08-Infraestructura física, mantenimiento y dotación (Sedes construidas, mantenidas reforzadas) 014_Estaciones de bomberos adecuadas"/>
    <x v="15"/>
    <x v="15"/>
    <x v="16"/>
    <s v="Si Secop "/>
  </r>
  <r>
    <n v="20250534"/>
    <x v="0"/>
    <x v="11"/>
    <s v="Fatima Veronica Quintero Nuñez"/>
    <s v="Prestación de servicios de apoyo a la gestión, en la Subdirección de Gestión Corporativa en temas de infraestructura para el sostenimiento y mejoramiento de los equipamientos de la Unidad Administrativa Especial Cuerpo Oficial de Bomberos de Bogotá-SGC"/>
    <s v="26 - contrato de prestacion de servicios de apoyo a la gestion"/>
    <s v="80111600;"/>
    <n v="2"/>
    <n v="0"/>
    <n v="11"/>
    <n v="33534424"/>
    <x v="0"/>
    <s v=" 09 - contratación directa "/>
    <x v="22"/>
    <x v="0"/>
    <x v="0"/>
    <x v="0"/>
    <x v="0"/>
    <x v="0"/>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535"/>
    <x v="0"/>
    <x v="11"/>
    <s v="Fatima Veronica Quintero Nuñez"/>
    <s v="Prestación de servicios de apoyo a la gestión, en la Subdirección de Gestión Corporativa en temas de infraestructura para el sostenimiento y mejoramiento de los equipamientos de la Unidad Administrativa Especial Cuerpo Oficial de Bomberos de Bogotá-SGC"/>
    <s v="26 - contrato de prestacion de servicios de apoyo a la gestion"/>
    <s v="80111600;"/>
    <n v="2"/>
    <n v="0"/>
    <n v="11"/>
    <n v="33534424"/>
    <x v="0"/>
    <s v=" 09 - contratación directa "/>
    <x v="22"/>
    <x v="0"/>
    <x v="0"/>
    <x v="0"/>
    <x v="0"/>
    <x v="0"/>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536"/>
    <x v="0"/>
    <x v="11"/>
    <s v="Fatima Veronica Quintero Nuñez"/>
    <s v="Prestación de servicios profesionales especializados para articular y revisar los procesos y procedimientos de la gestión administrativa a cargo de la Subdirección de Gestión Corporativa.- SGC"/>
    <s v="25 - contrato de prestacion de servicios profesionales"/>
    <s v="80111600;"/>
    <n v="2"/>
    <n v="0"/>
    <n v="11"/>
    <n v="112237664"/>
    <x v="0"/>
    <s v=" 09 - contratación directa "/>
    <x v="0"/>
    <x v="0"/>
    <x v="0"/>
    <x v="0"/>
    <x v="0"/>
    <x v="0"/>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537"/>
    <x v="0"/>
    <x v="11"/>
    <s v="Fatima Veronica Quintero Nuñez"/>
    <s v="Prestación de servicios profesionales en la Subdirección de Gestión Corporativa en las actividades de armonización del proceso de implementación y mejora continua del sistema de gestión ambiental de la unidad- así como en el apoyo a la supervisión de los contratos que le sean asignados. -SGC"/>
    <s v="25 - contrato de prestacion de servicios profesionales"/>
    <s v="80111600;"/>
    <n v="2"/>
    <n v="0"/>
    <n v="11"/>
    <n v="76230000"/>
    <x v="0"/>
    <s v=" 09 - contratación directa "/>
    <x v="0"/>
    <x v="0"/>
    <x v="0"/>
    <x v="0"/>
    <x v="0"/>
    <x v="0"/>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538"/>
    <x v="0"/>
    <x v="11"/>
    <s v="Fatima Veronica Quintero Nuñez"/>
    <s v="Prestar los servicios profesionales especializados para acompañar las actividades jurídicas relacionadas con la gestión contractual en las etapas precontractual, contractual y postcontractual del área administrativa de la Subdirección de Gestión Corporativa -SGC"/>
    <s v="25 - contrato de prestacion de servicios profesionales"/>
    <s v="80111600;"/>
    <n v="2"/>
    <n v="0"/>
    <n v="11"/>
    <n v="99918896"/>
    <x v="0"/>
    <s v=" 09 - contratación directa "/>
    <x v="0"/>
    <x v="0"/>
    <x v="0"/>
    <x v="0"/>
    <x v="0"/>
    <x v="0"/>
    <s v="08-Infraestructura física, mantenimiento y dotación (Sedes construidas, mantenidas reforzadas)"/>
    <x v="0"/>
    <s v="Sedes mantenidas"/>
    <s v="016_Sedes mantenidas"/>
    <s v="08-Infraestructura física, mantenimiento y dotación (Sedes construidas, mantenidas reforzadas) 016_Sedes mantenidas"/>
    <x v="0"/>
    <x v="0"/>
    <x v="1"/>
    <s v="Si Secop "/>
  </r>
  <r>
    <n v="20250539"/>
    <x v="0"/>
    <x v="11"/>
    <s v="Fatima Veronica Quintero Nuñez"/>
    <s v="Prestar servicios de apoyo a la gestión, para la orientación oportuna a ciudadanos con necesidades especiales y/o con discapacidad auditiva sobre la oferta institucional, en los canales de atención y en los diferentes escenarios de interacción que le sean asignados por la Subdirección de Gestión Corporativa-SGC"/>
    <s v="26 - contrato de prestacion de servicios de apoyo a la gestion"/>
    <s v="80111600;"/>
    <n v="2"/>
    <n v="0"/>
    <n v="11"/>
    <n v="43800064"/>
    <x v="0"/>
    <s v=" 09 - contratación directa "/>
    <x v="0"/>
    <x v="0"/>
    <x v="0"/>
    <x v="0"/>
    <x v="0"/>
    <x v="0"/>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540"/>
    <x v="1"/>
    <x v="11"/>
    <s v="Fatima Veronica Quintero Nuñez"/>
    <s v="Prestación de servicios profesionales especializados para apoyar las actividades técnicas y gestión predial del Área de Infraestructura de la Subdirección de Gestión Corporativa-SGC"/>
    <s v="25 - contrato de prestacion de servicios profesionales"/>
    <s v="80111600;"/>
    <n v="2"/>
    <n v="0"/>
    <n v="11"/>
    <n v="99918896"/>
    <x v="0"/>
    <s v=" 09 - contratación directa "/>
    <x v="24"/>
    <x v="0"/>
    <x v="1"/>
    <x v="1"/>
    <x v="0"/>
    <x v="0"/>
    <s v="08-Infraestructura física, mantenimiento y dotación (Sedes construidas, mantenidas reforzadas)"/>
    <x v="12"/>
    <s v="Estaciones de bomberos construidas"/>
    <s v="015_Estaciones de bomberos construidas"/>
    <s v="08-Infraestructura física, mantenimiento y dotación (Sedes construidas, mantenidas reforzadas) 015_Estaciones de bomberos construidas"/>
    <x v="17"/>
    <x v="17"/>
    <x v="0"/>
    <s v="Si Secop "/>
  </r>
  <r>
    <n v="20250541"/>
    <x v="0"/>
    <x v="11"/>
    <s v="Fatima Veronica Quintero Nuñez"/>
    <s v="Prestación de servicios de apoyo en las actividades asociadas a los procesos de almacén de la Subdirección de Gestión Corporativa SGC"/>
    <s v="26 - contrato de prestacion de servicios de apoyo a la gestion"/>
    <s v="80111600;"/>
    <n v="2"/>
    <n v="0"/>
    <n v="11"/>
    <n v="33534424"/>
    <x v="0"/>
    <s v=" 09 - contratación directa "/>
    <x v="0"/>
    <x v="0"/>
    <x v="0"/>
    <x v="0"/>
    <x v="0"/>
    <x v="0"/>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542"/>
    <x v="0"/>
    <x v="11"/>
    <s v="Fatima Veronica Quintero Nuñez"/>
    <s v="Prestación de servicios profesionales para atender las actividades financieras, a cargo de la Subdirección de Gestión Corporativa-SGC"/>
    <s v="25 - contrato de prestacion de servicios profesionales"/>
    <s v="80111600;"/>
    <n v="2"/>
    <n v="0"/>
    <n v="11"/>
    <n v="72600000"/>
    <x v="0"/>
    <s v=" 09 - contratación directa "/>
    <x v="0"/>
    <x v="0"/>
    <x v="0"/>
    <x v="0"/>
    <x v="0"/>
    <x v="0"/>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543"/>
    <x v="0"/>
    <x v="11"/>
    <s v="Fatima Veronica Quintero Nuñez"/>
    <s v="Prestación de servicios de apoyo a la gestión de los procesos contractuales en la plataforma SECOP II a cargo de la Subdirección de Gestión Corporativa-SGC"/>
    <s v="26 - contrato de prestacion de servicios de apoyo a la gestion"/>
    <s v="80111600;"/>
    <n v="2"/>
    <n v="0"/>
    <n v="11"/>
    <n v="37243800"/>
    <x v="0"/>
    <s v=" 09 - contratación directa "/>
    <x v="0"/>
    <x v="0"/>
    <x v="0"/>
    <x v="0"/>
    <x v="0"/>
    <x v="0"/>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544"/>
    <x v="0"/>
    <x v="11"/>
    <s v="Fatima Veronica Quintero Nuñez"/>
    <s v="Prestación de servicios profesionales en el marco de las actividades administrativas de la Subdirección de Gestión Corporativa--SGC"/>
    <s v="25 - contrato de prestacion de servicios profesionales"/>
    <s v="80111600;"/>
    <n v="2"/>
    <n v="0"/>
    <n v="11"/>
    <n v="67386352"/>
    <x v="0"/>
    <s v=" 09 - contratación directa "/>
    <x v="0"/>
    <x v="0"/>
    <x v="0"/>
    <x v="0"/>
    <x v="0"/>
    <x v="0"/>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545"/>
    <x v="0"/>
    <x v="11"/>
    <s v="Fatima Veronica Quintero Nuñez"/>
    <s v="Prestar los servicios profesionales de la gestión administrativa, así como la adquisición de bienes y servicios de la Subdirección de Gestión Corporativa  SGC"/>
    <s v="25 - contrato de prestacion de servicios profesionales"/>
    <s v="80111600;"/>
    <n v="2"/>
    <n v="0"/>
    <n v="11"/>
    <n v="49066952"/>
    <x v="0"/>
    <s v=" 09 - contratación directa "/>
    <x v="0"/>
    <x v="0"/>
    <x v="0"/>
    <x v="0"/>
    <x v="0"/>
    <x v="0"/>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546"/>
    <x v="1"/>
    <x v="11"/>
    <s v="Fatima Veronica Quintero Nuñez"/>
    <s v="Prestar servicios profesionales para realizar acompañamiento en los procesos contractuales adelantados por la Subdirección Gestión Corporativa -SGC"/>
    <s v="25 - contrato de prestacion de servicios profesionales"/>
    <s v="80111600;"/>
    <n v="2"/>
    <n v="0"/>
    <n v="11"/>
    <n v="60500000"/>
    <x v="0"/>
    <s v=" 09 - contratación directa "/>
    <x v="21"/>
    <x v="0"/>
    <x v="1"/>
    <x v="1"/>
    <x v="0"/>
    <x v="0"/>
    <s v="08-Infraestructura física, mantenimiento y dotación (Sedes construidas, mantenidas reforzadas)"/>
    <x v="10"/>
    <s v="Estaciones de bomberos adecuadas"/>
    <s v="014_Estaciones de bomberos adecuadas"/>
    <s v="08-Infraestructura física, mantenimiento y dotación (Sedes construidas, mantenidas reforzadas) 014_Estaciones de bomberos adecuadas"/>
    <x v="15"/>
    <x v="15"/>
    <x v="16"/>
    <s v="Si Secop "/>
  </r>
  <r>
    <n v="20250547"/>
    <x v="1"/>
    <x v="11"/>
    <s v="Fatima Veronica Quintero Nuñez"/>
    <s v="Prestar los servicios profesionales jurídicos para apoyar las actividades propias, en procesos prediales que contribuyan al desarrollo de la infraestructura requerida por la entidad para la adecuada prestación del servicio-SGC"/>
    <s v="25 - contrato de prestacion de servicios profesionales"/>
    <s v="80111600;"/>
    <n v="2"/>
    <n v="0"/>
    <n v="11"/>
    <n v="72600000"/>
    <x v="0"/>
    <s v=" 09 - contratación directa "/>
    <x v="24"/>
    <x v="0"/>
    <x v="1"/>
    <x v="1"/>
    <x v="0"/>
    <x v="0"/>
    <s v="08-Infraestructura física, mantenimiento y dotación (Sedes construidas, mantenidas reforzadas)"/>
    <x v="12"/>
    <s v="Estaciones de bomberos construidas"/>
    <s v="015_Estaciones de bomberos construidas"/>
    <s v="08-Infraestructura física, mantenimiento y dotación (Sedes construidas, mantenidas reforzadas) 015_Estaciones de bomberos construidas"/>
    <x v="17"/>
    <x v="17"/>
    <x v="1"/>
    <s v="Si Secop "/>
  </r>
  <r>
    <n v="20250548"/>
    <x v="1"/>
    <x v="11"/>
    <s v="Fatima Veronica Quintero Nuñez"/>
    <s v="Prestar los servicios profesionales técnicos para apoyar las actividades propias que contribuyan al desarrollo de la infraestructura requerida por la entidad para la adecuada prestación del servicio-SGC"/>
    <s v="25 - contrato de prestacion de servicios profesionales"/>
    <s v="80111600;"/>
    <n v="2"/>
    <n v="0"/>
    <n v="11"/>
    <n v="72600000"/>
    <x v="0"/>
    <s v=" 09 - contratación directa "/>
    <x v="23"/>
    <x v="0"/>
    <x v="1"/>
    <x v="1"/>
    <x v="0"/>
    <x v="0"/>
    <s v="08-Infraestructura física, mantenimiento y dotación (Sedes construidas, mantenidas reforzadas)"/>
    <x v="11"/>
    <s v="Documentos de lineamientos técnicos"/>
    <s v="031__Documentos de lineamientos técnicos"/>
    <s v="08-Infraestructura física, mantenimiento y dotación (Sedes construidas, mantenidas reforzadas) 031__Documentos de lineamientos técnicos"/>
    <x v="16"/>
    <x v="16"/>
    <x v="16"/>
    <s v="Si Secop "/>
  </r>
  <r>
    <n v="20250549"/>
    <x v="1"/>
    <x v="11"/>
    <s v="Fatima Veronica Quintero Nuñez"/>
    <s v="Prestar los servicios profesionales para apoyar las actividades de trabajo social propias que contribuyan al desarrollo de la infraestructura requerida por la entidad para la adecuada prestación del servicio-SGC"/>
    <s v="25 - contrato de prestacion de servicios profesionales"/>
    <s v="80111600;"/>
    <n v="2"/>
    <n v="0"/>
    <n v="11"/>
    <n v="67386352"/>
    <x v="0"/>
    <s v=" 09 - contratación directa "/>
    <x v="21"/>
    <x v="0"/>
    <x v="1"/>
    <x v="1"/>
    <x v="0"/>
    <x v="0"/>
    <s v="08-Infraestructura física, mantenimiento y dotación (Sedes construidas, mantenidas reforzadas)"/>
    <x v="10"/>
    <s v="Estaciones de bomberos adecuadas"/>
    <s v="014_Estaciones de bomberos adecuadas"/>
    <s v="08-Infraestructura física, mantenimiento y dotación (Sedes construidas, mantenidas reforzadas) 014_Estaciones de bomberos adecuadas"/>
    <x v="15"/>
    <x v="15"/>
    <x v="16"/>
    <s v="Si Secop "/>
  </r>
  <r>
    <n v="20250550"/>
    <x v="1"/>
    <x v="11"/>
    <s v="Fatima Veronica Quintero Nuñez"/>
    <s v="Prestar servicios profesionales como ingeniero mecanico para apoyar las actividades propias que contribuyan al desarrollo de la infraestructura requerida por la entidad para la adecuada prestación del servicio-SGC"/>
    <s v="25 - contrato de prestacion de servicios profesionales"/>
    <s v="80111600;"/>
    <n v="2"/>
    <n v="0"/>
    <n v="11"/>
    <n v="90750000"/>
    <x v="0"/>
    <s v=" 09 - contratación directa "/>
    <x v="21"/>
    <x v="0"/>
    <x v="1"/>
    <x v="1"/>
    <x v="0"/>
    <x v="0"/>
    <s v="08-Infraestructura física, mantenimiento y dotación (Sedes construidas, mantenidas reforzadas)"/>
    <x v="10"/>
    <s v="Estaciones de bomberos adecuadas"/>
    <s v="014_Estaciones de bomberos adecuadas"/>
    <s v="08-Infraestructura física, mantenimiento y dotación (Sedes construidas, mantenidas reforzadas) 014_Estaciones de bomberos adecuadas"/>
    <x v="15"/>
    <x v="15"/>
    <x v="16"/>
    <s v="Si Secop "/>
  </r>
  <r>
    <n v="20250551"/>
    <x v="0"/>
    <x v="11"/>
    <s v="Fatima Veronica Quintero Nuñez"/>
    <s v="Prestación de servicios de apoyo a la gestión del proceso de inventarios de la Subdirección de Gestión Corporativa.-SGC"/>
    <s v="26 - contrato de prestacion de servicios de apoyo a la gestion"/>
    <s v="80111600;"/>
    <n v="2"/>
    <n v="0"/>
    <n v="11"/>
    <n v="33534424"/>
    <x v="0"/>
    <s v=" 09 - contratación directa "/>
    <x v="0"/>
    <x v="0"/>
    <x v="0"/>
    <x v="0"/>
    <x v="0"/>
    <x v="0"/>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552"/>
    <x v="0"/>
    <x v="11"/>
    <s v="Fatima Veronica Quintero Nuñez"/>
    <s v="Prestación de servicios de apoyo a la gestión del proceso de inventarios de la Subdirección de Gestión Corporativa.-SGC"/>
    <s v="26 - contrato de prestacion de servicios de apoyo a la gestion"/>
    <s v="80111600;"/>
    <n v="2"/>
    <n v="0"/>
    <n v="11"/>
    <n v="33534424"/>
    <x v="0"/>
    <s v=" 09 - contratación directa "/>
    <x v="0"/>
    <x v="0"/>
    <x v="0"/>
    <x v="0"/>
    <x v="0"/>
    <x v="0"/>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553"/>
    <x v="0"/>
    <x v="11"/>
    <s v="Fatima Veronica Quintero Nuñez"/>
    <s v="Prestar los servicios de apoyo las actividades conforme a la política del Sistema de Gestión de la Seguridad y Salud en el Trabajo (SG-SST) que contribuyan para la adecuada prestación del servicio-SGC"/>
    <s v="26 - contrato de prestacion de servicios de apoyo a la gestion"/>
    <s v="80111600;"/>
    <n v="2"/>
    <n v="0"/>
    <n v="11"/>
    <n v="46585000"/>
    <x v="0"/>
    <s v=" 09 - contratación directa "/>
    <x v="22"/>
    <x v="0"/>
    <x v="0"/>
    <x v="0"/>
    <x v="0"/>
    <x v="0"/>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554"/>
    <x v="0"/>
    <x v="11"/>
    <s v="Fatima Veronica Quintero Nuñez"/>
    <s v="Prestación de servicios de apoyo a la gestión documental de la Subdirección de Gestión Corporativa de la Unidad.-SGC"/>
    <s v="26 - contrato de prestacion de servicios de apoyo a la gestion"/>
    <s v="80111600;"/>
    <n v="2"/>
    <n v="0"/>
    <n v="11"/>
    <n v="33534424"/>
    <x v="0"/>
    <s v=" 09 - contratación directa "/>
    <x v="0"/>
    <x v="0"/>
    <x v="0"/>
    <x v="0"/>
    <x v="0"/>
    <x v="0"/>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555"/>
    <x v="0"/>
    <x v="11"/>
    <s v="Fatima Veronica Quintero Nuñez"/>
    <s v="Prestación de servicios de apoyo a la gestión documental de la Subdirección de Gestión Corporativa de la Unidad.-SGC"/>
    <s v="26 - contrato de prestacion de servicios de apoyo a la gestion"/>
    <s v="80111600;"/>
    <n v="2"/>
    <n v="0"/>
    <n v="11"/>
    <n v="33534424"/>
    <x v="0"/>
    <s v=" 09 - contratación directa "/>
    <x v="0"/>
    <x v="0"/>
    <x v="0"/>
    <x v="0"/>
    <x v="0"/>
    <x v="0"/>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556"/>
    <x v="0"/>
    <x v="11"/>
    <s v="Fatima Veronica Quintero Nuñez"/>
    <s v="Prestación de servicios de apoyo en las actividades asociadas a los procesos de gestión de inventarios de la Subdirección de Gestión Corporativa.-SGC"/>
    <s v="26 - contrato de prestacion de servicios de apoyo a la gestion"/>
    <s v="80111600;"/>
    <n v="2"/>
    <n v="0"/>
    <n v="11"/>
    <n v="33534424"/>
    <x v="0"/>
    <s v=" 09 - contratación directa "/>
    <x v="0"/>
    <x v="0"/>
    <x v="0"/>
    <x v="0"/>
    <x v="0"/>
    <x v="0"/>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557"/>
    <x v="0"/>
    <x v="11"/>
    <s v="Fatima Veronica Quintero Nuñez"/>
    <s v="Prestación de servicios de apoyo técnico en la gestión documental de la Subdirección de Gestión Corporativa de la Unidad-SGC"/>
    <s v="26 - contrato de prestacion de servicios de apoyo a la gestion"/>
    <s v="80111600;"/>
    <n v="2"/>
    <n v="0"/>
    <n v="11"/>
    <n v="45853192"/>
    <x v="0"/>
    <s v=" 09 - contratación directa "/>
    <x v="0"/>
    <x v="0"/>
    <x v="0"/>
    <x v="0"/>
    <x v="0"/>
    <x v="0"/>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558"/>
    <x v="2"/>
    <x v="11"/>
    <s v="Fatima Veronica Quintero Nuñez"/>
    <s v="Adición y prórroga No. 1 al contrato 344 de 2024 que tiene como objeto “Prestar el servicio de vigilancia y seguridad privada en la modalidad de vigilancia fija, según especificaciones técnicas, en las instalaciones que la UAE especial cuerpo oficial de bomberos requiera-SGC"/>
    <s v="03 - contrato de prestacion de servicios"/>
    <s v="92121500;"/>
    <n v="2"/>
    <n v="0"/>
    <n v="2"/>
    <n v="240000000"/>
    <x v="1"/>
    <s v="01 - licitación pública"/>
    <x v="6"/>
    <x v="1"/>
    <x v="2"/>
    <x v="2"/>
    <x v="3"/>
    <x v="3"/>
    <s v="N/A-N/A"/>
    <x v="5"/>
    <s v="N/A"/>
    <s v="N/A_N/A"/>
    <s v="N/A-N/A N/A_N/A"/>
    <x v="5"/>
    <x v="5"/>
    <x v="17"/>
    <s v="Si Secop "/>
  </r>
  <r>
    <n v="20250559"/>
    <x v="2"/>
    <x v="10"/>
    <s v="Paula Ximena Henao Escobar"/>
    <s v="Contratar soporte técnico en sitio para el mantenimiento preventivo y correctivo con suministro de repuestos para la infraestructura tecnológica y servicio de mantenimiento correctivo, adecuación e instalación de cableado estructurado de voz, datos y eléctrico con suministro de repuestos para todas las sedesde la UAE Cuerpo Oficial de Bomberos de Bogotá y  SUPERCADES de Bogotá-TIC"/>
    <s v="27 - contrato de prestacion de servicios de mantenimiento"/>
    <s v="81111811;72151600; 43223300;_x000a_39131700"/>
    <n v="5"/>
    <n v="8"/>
    <n v="0"/>
    <n v="262870000"/>
    <x v="1"/>
    <s v="03 - selec. abrev. subasta inversa"/>
    <x v="6"/>
    <x v="1"/>
    <x v="2"/>
    <x v="2"/>
    <x v="3"/>
    <x v="3"/>
    <s v="N/A-N/A"/>
    <x v="5"/>
    <s v="N/A"/>
    <s v="N/A_N/A"/>
    <s v="N/A-N/A N/A_N/A"/>
    <x v="5"/>
    <x v="5"/>
    <x v="20"/>
    <s v="Si Secop "/>
  </r>
  <r>
    <n v="20250560"/>
    <x v="2"/>
    <x v="10"/>
    <s v="Paula Ximena Henao Escobar"/>
    <s v="Contratar los servicios de canales de datos dedicados para la UAE Cuerpo Oficial de Bomberos de Bogotá-TIC"/>
    <s v="24 - contrato de servicio"/>
    <n v="81112100"/>
    <n v="3"/>
    <n v="11"/>
    <n v="0"/>
    <n v="350000000"/>
    <x v="1"/>
    <s v="09 - contratación directa"/>
    <x v="6"/>
    <x v="1"/>
    <x v="2"/>
    <x v="2"/>
    <x v="3"/>
    <x v="3"/>
    <s v="N/A-N/A"/>
    <x v="5"/>
    <s v="N/A"/>
    <s v="N/A_N/A"/>
    <s v="N/A-N/A N/A_N/A"/>
    <x v="5"/>
    <x v="5"/>
    <x v="21"/>
    <s v="Si Secop "/>
  </r>
  <r>
    <n v="20250561"/>
    <x v="2"/>
    <x v="10"/>
    <s v="Paula Ximena Henao Escobar"/>
    <s v="Contratar  la suscripción de licencias Suite Adobe para la UAE Cuerpo Oficial de Bomberos de Bogotá-TIC"/>
    <s v="19 - contrato de renovacion de licencias"/>
    <s v="81112501;43232102;43232103;43231512"/>
    <n v="11"/>
    <n v="12"/>
    <n v="0"/>
    <n v="73000000"/>
    <x v="1"/>
    <s v="17 - acuerdo marco de precios"/>
    <x v="6"/>
    <x v="1"/>
    <x v="2"/>
    <x v="2"/>
    <x v="3"/>
    <x v="3"/>
    <s v="N/A-N/A"/>
    <x v="5"/>
    <s v="N/A"/>
    <s v="N/A_N/A"/>
    <s v="N/A-N/A N/A_N/A"/>
    <x v="5"/>
    <x v="5"/>
    <x v="22"/>
    <s v="Si Secop "/>
  </r>
  <r>
    <n v="20250562"/>
    <x v="2"/>
    <x v="10"/>
    <s v="Paula Ximena Henao Escobar"/>
    <s v="Contratar la renovación de la membresía LACNIC para mantener la disponibilidad del bloque de direcciones IPV6 adquirido por la U.A.E. Cuerpo Oficial de Bomberos de Bogotá"/>
    <s v="28 - contrato de ciencia y tecnologia"/>
    <s v="81112100;81111500"/>
    <n v="11"/>
    <n v="12"/>
    <n v="0"/>
    <n v="73000000"/>
    <x v="1"/>
    <s v="04 - contratación mínima cuantía"/>
    <x v="6"/>
    <x v="1"/>
    <x v="2"/>
    <x v="2"/>
    <x v="3"/>
    <x v="3"/>
    <s v="N/A-N/A"/>
    <x v="5"/>
    <s v="N/A"/>
    <s v="N/A_N/A"/>
    <s v="N/A-N/A N/A_N/A"/>
    <x v="5"/>
    <x v="5"/>
    <x v="21"/>
    <s v="Si Secop "/>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7D9CD0E0-867D-4FE9-8F5D-5E01EB52B976}" name="TablaDinámica6" cacheId="0" applyNumberFormats="0" applyBorderFormats="0" applyFontFormats="0" applyPatternFormats="0" applyAlignmentFormats="0" applyWidthHeightFormats="1" dataCaption="Valores" updatedVersion="8" minRefreshableVersion="3" itemPrintTitles="1" createdVersion="8" indent="0" outline="1" outlineData="1" multipleFieldFilters="0" fieldListSortAscending="1">
  <location ref="A22:F26" firstHeaderRow="1" firstDataRow="1" firstDataCol="5" rowPageCount="2" colPageCount="1"/>
  <pivotFields count="28">
    <pivotField showAll="0"/>
    <pivotField axis="axisPage" multipleItemSelectionAllowed="1" showAll="0">
      <items count="4">
        <item h="1" x="2"/>
        <item h="1" x="0"/>
        <item x="1"/>
        <item t="default"/>
      </items>
    </pivotField>
    <pivotField axis="axisPage" outline="0" multipleItemSelectionAllowed="1" showAll="0" sortType="descending" defaultSubtotal="0">
      <items count="12">
        <item x="9"/>
        <item h="1" x="7"/>
        <item h="1" x="8"/>
        <item h="1" x="6"/>
        <item h="1" x="11"/>
        <item h="1" x="1"/>
        <item h="1" x="0"/>
        <item h="1" x="2"/>
        <item h="1" x="3"/>
        <item h="1" x="10"/>
        <item h="1" x="5"/>
        <item h="1" x="4"/>
      </items>
      <extLst>
        <ext xmlns:x14="http://schemas.microsoft.com/office/spreadsheetml/2009/9/main" uri="{2946ED86-A175-432a-8AC1-64E0C546D7DE}">
          <x14:pivotField fillDownLabels="1"/>
        </ext>
      </extLst>
    </pivotField>
    <pivotField showAll="0"/>
    <pivotField showAll="0"/>
    <pivotField showAll="0"/>
    <pivotField showAll="0"/>
    <pivotField showAll="0"/>
    <pivotField showAll="0"/>
    <pivotField showAll="0"/>
    <pivotField dataField="1" showAll="0"/>
    <pivotField outline="0" showAll="0" defaultSubtotal="0">
      <items count="3">
        <item x="1"/>
        <item x="2"/>
        <item x="0"/>
      </items>
      <extLst>
        <ext xmlns:x14="http://schemas.microsoft.com/office/spreadsheetml/2009/9/main" uri="{2946ED86-A175-432a-8AC1-64E0C546D7DE}">
          <x14:pivotField fillDownLabels="1"/>
        </ext>
      </extLst>
    </pivotField>
    <pivotField showAll="0"/>
    <pivotField axis="axisRow" outline="0" showAll="0" sortType="ascending" defaultSubtotal="0">
      <items count="25">
        <item x="4"/>
        <item x="1"/>
        <item x="2"/>
        <item x="3"/>
        <item x="15"/>
        <item x="13"/>
        <item x="14"/>
        <item x="16"/>
        <item x="22"/>
        <item x="0"/>
        <item x="18"/>
        <item x="19"/>
        <item x="17"/>
        <item x="20"/>
        <item x="23"/>
        <item x="8"/>
        <item x="11"/>
        <item x="12"/>
        <item x="7"/>
        <item x="9"/>
        <item x="10"/>
        <item x="21"/>
        <item x="24"/>
        <item x="5"/>
        <item x="6"/>
      </items>
      <extLst>
        <ext xmlns:x14="http://schemas.microsoft.com/office/spreadsheetml/2009/9/main" uri="{2946ED86-A175-432a-8AC1-64E0C546D7DE}">
          <x14:pivotField fillDownLabels="1"/>
        </ext>
      </extLst>
    </pivotField>
    <pivotField outline="0" showAll="0" defaultSubtotal="0">
      <items count="2">
        <item x="1"/>
        <item x="0"/>
      </items>
      <extLst>
        <ext xmlns:x14="http://schemas.microsoft.com/office/spreadsheetml/2009/9/main" uri="{2946ED86-A175-432a-8AC1-64E0C546D7DE}">
          <x14:pivotField fillDownLabels="1"/>
        </ext>
      </extLst>
    </pivotField>
    <pivotField outline="0" showAll="0" sortType="descending" defaultSubtotal="0">
      <items count="3">
        <item x="2"/>
        <item x="0"/>
        <item x="1"/>
      </items>
      <extLst>
        <ext xmlns:x14="http://schemas.microsoft.com/office/spreadsheetml/2009/9/main" uri="{2946ED86-A175-432a-8AC1-64E0C546D7DE}">
          <x14:pivotField fillDownLabels="1"/>
        </ext>
      </extLst>
    </pivotField>
    <pivotField outline="0" showAll="0" sortType="descending" defaultSubtotal="0">
      <items count="3">
        <item x="2"/>
        <item x="1"/>
        <item x="0"/>
      </items>
      <extLst>
        <ext xmlns:x14="http://schemas.microsoft.com/office/spreadsheetml/2009/9/main" uri="{2946ED86-A175-432a-8AC1-64E0C546D7DE}">
          <x14:pivotField fillDownLabels="1"/>
        </ext>
      </extLst>
    </pivotField>
    <pivotField axis="axisRow" outline="0" showAll="0" sortType="ascending" defaultSubtotal="0">
      <items count="11">
        <item x="9"/>
        <item x="6"/>
        <item x="8"/>
        <item x="2"/>
        <item x="0"/>
        <item x="4"/>
        <item x="10"/>
        <item x="7"/>
        <item x="5"/>
        <item x="1"/>
        <item x="3"/>
      </items>
      <extLst>
        <ext xmlns:x14="http://schemas.microsoft.com/office/spreadsheetml/2009/9/main" uri="{2946ED86-A175-432a-8AC1-64E0C546D7DE}">
          <x14:pivotField fillDownLabels="1"/>
        </ext>
      </extLst>
    </pivotField>
    <pivotField showAll="0">
      <items count="12">
        <item x="0"/>
        <item x="7"/>
        <item x="3"/>
        <item x="5"/>
        <item x="9"/>
        <item x="6"/>
        <item x="10"/>
        <item x="2"/>
        <item x="8"/>
        <item x="4"/>
        <item x="1"/>
        <item t="default"/>
      </items>
    </pivotField>
    <pivotField showAll="0"/>
    <pivotField axis="axisRow" outline="0" showAll="0" defaultSubtotal="0">
      <items count="13">
        <item x="4"/>
        <item x="6"/>
        <item x="9"/>
        <item x="10"/>
        <item x="12"/>
        <item x="0"/>
        <item x="8"/>
        <item x="3"/>
        <item x="2"/>
        <item x="1"/>
        <item x="11"/>
        <item x="7"/>
        <item x="5"/>
      </items>
      <extLst>
        <ext xmlns:x14="http://schemas.microsoft.com/office/spreadsheetml/2009/9/main" uri="{2946ED86-A175-432a-8AC1-64E0C546D7DE}">
          <x14:pivotField fillDownLabels="1"/>
        </ext>
      </extLst>
    </pivotField>
    <pivotField showAll="0"/>
    <pivotField showAll="0"/>
    <pivotField showAll="0"/>
    <pivotField axis="axisRow" outline="0" showAll="0" defaultSubtotal="0">
      <items count="18">
        <item x="5"/>
        <item x="12"/>
        <item x="10"/>
        <item x="8"/>
        <item x="11"/>
        <item x="4"/>
        <item x="15"/>
        <item x="16"/>
        <item x="6"/>
        <item x="13"/>
        <item x="9"/>
        <item x="7"/>
        <item x="0"/>
        <item x="14"/>
        <item x="3"/>
        <item x="2"/>
        <item x="1"/>
        <item x="17"/>
      </items>
      <extLst>
        <ext xmlns:x14="http://schemas.microsoft.com/office/spreadsheetml/2009/9/main" uri="{2946ED86-A175-432a-8AC1-64E0C546D7DE}">
          <x14:pivotField fillDownLabels="1"/>
        </ext>
      </extLst>
    </pivotField>
    <pivotField axis="axisRow" showAll="0">
      <items count="19">
        <item x="5"/>
        <item x="12"/>
        <item x="10"/>
        <item x="8"/>
        <item x="11"/>
        <item x="4"/>
        <item x="15"/>
        <item x="16"/>
        <item x="0"/>
        <item x="6"/>
        <item x="13"/>
        <item x="9"/>
        <item x="14"/>
        <item x="7"/>
        <item x="3"/>
        <item x="2"/>
        <item x="1"/>
        <item x="17"/>
        <item t="default"/>
      </items>
    </pivotField>
    <pivotField outline="0" showAll="0" defaultSubtotal="0">
      <items count="25">
        <item x="20"/>
        <item x="3"/>
        <item x="5"/>
        <item x="19"/>
        <item x="6"/>
        <item x="1"/>
        <item x="10"/>
        <item x="12"/>
        <item x="8"/>
        <item x="0"/>
        <item x="4"/>
        <item m="1" x="23"/>
        <item x="9"/>
        <item x="7"/>
        <item x="11"/>
        <item x="13"/>
        <item x="14"/>
        <item x="16"/>
        <item m="1" x="24"/>
        <item x="15"/>
        <item x="17"/>
        <item x="18"/>
        <item x="2"/>
        <item x="21"/>
        <item x="22"/>
      </items>
      <extLst>
        <ext xmlns:x14="http://schemas.microsoft.com/office/spreadsheetml/2009/9/main" uri="{2946ED86-A175-432a-8AC1-64E0C546D7DE}">
          <x14:pivotField fillDownLabels="1"/>
        </ext>
      </extLst>
    </pivotField>
    <pivotField showAll="0"/>
  </pivotFields>
  <rowFields count="5">
    <field x="13"/>
    <field x="17"/>
    <field x="20"/>
    <field x="24"/>
    <field x="25"/>
  </rowFields>
  <rowItems count="4">
    <i>
      <x v="16"/>
      <x/>
      <x v="1"/>
      <x v="1"/>
      <x v="1"/>
    </i>
    <i r="1">
      <x v="6"/>
      <x v="1"/>
      <x v="9"/>
      <x v="10"/>
    </i>
    <i>
      <x v="17"/>
      <x/>
      <x v="1"/>
      <x v="1"/>
      <x v="1"/>
    </i>
    <i t="grand">
      <x/>
    </i>
  </rowItems>
  <colItems count="1">
    <i/>
  </colItems>
  <pageFields count="2">
    <pageField fld="1" hier="-1"/>
    <pageField fld="2" hier="-1"/>
  </pageFields>
  <dataFields count="1">
    <dataField name="Suma de Valor Programado" fld="10" baseField="0" baseItem="0" numFmtId="43"/>
  </dataFields>
  <formats count="76">
    <format dxfId="155">
      <pivotArea type="all" dataOnly="0" outline="0" fieldPosition="0"/>
    </format>
    <format dxfId="154">
      <pivotArea outline="0" collapsedLevelsAreSubtotals="1" fieldPosition="0"/>
    </format>
    <format dxfId="153">
      <pivotArea field="2" type="button" dataOnly="0" labelOnly="1" outline="0" axis="axisPage" fieldPosition="1"/>
    </format>
    <format dxfId="152">
      <pivotArea field="14" type="button" dataOnly="0" labelOnly="1" outline="0"/>
    </format>
    <format dxfId="151">
      <pivotArea field="15" type="button" dataOnly="0" labelOnly="1" outline="0"/>
    </format>
    <format dxfId="150">
      <pivotArea field="16" type="button" dataOnly="0" labelOnly="1" outline="0"/>
    </format>
    <format dxfId="149">
      <pivotArea field="17" type="button" dataOnly="0" labelOnly="1" outline="0" axis="axisRow" fieldPosition="1"/>
    </format>
    <format dxfId="148">
      <pivotArea field="20" type="button" dataOnly="0" labelOnly="1" outline="0" axis="axisRow" fieldPosition="2"/>
    </format>
    <format dxfId="147">
      <pivotArea field="24" type="button" dataOnly="0" labelOnly="1" outline="0" axis="axisRow" fieldPosition="3"/>
    </format>
    <format dxfId="146">
      <pivotArea field="25" type="button" dataOnly="0" labelOnly="1" outline="0" axis="axisRow" fieldPosition="4"/>
    </format>
    <format dxfId="145">
      <pivotArea dataOnly="0" labelOnly="1" grandRow="1" outline="0" fieldPosition="0"/>
    </format>
    <format dxfId="144">
      <pivotArea dataOnly="0" labelOnly="1" outline="0" axis="axisValues" fieldPosition="0"/>
    </format>
    <format dxfId="143">
      <pivotArea field="14" type="button" dataOnly="0" labelOnly="1" outline="0"/>
    </format>
    <format dxfId="142">
      <pivotArea dataOnly="0" labelOnly="1" outline="0" axis="axisValues" fieldPosition="0"/>
    </format>
    <format dxfId="141">
      <pivotArea field="2" type="button" dataOnly="0" labelOnly="1" outline="0" axis="axisPage" fieldPosition="1"/>
    </format>
    <format dxfId="140">
      <pivotArea field="14" type="button" dataOnly="0" labelOnly="1" outline="0"/>
    </format>
    <format dxfId="139">
      <pivotArea field="15" type="button" dataOnly="0" labelOnly="1" outline="0"/>
    </format>
    <format dxfId="138">
      <pivotArea field="16" type="button" dataOnly="0" labelOnly="1" outline="0"/>
    </format>
    <format dxfId="137">
      <pivotArea field="17" type="button" dataOnly="0" labelOnly="1" outline="0" axis="axisRow" fieldPosition="1"/>
    </format>
    <format dxfId="136">
      <pivotArea field="20" type="button" dataOnly="0" labelOnly="1" outline="0" axis="axisRow" fieldPosition="2"/>
    </format>
    <format dxfId="135">
      <pivotArea field="24" type="button" dataOnly="0" labelOnly="1" outline="0" axis="axisRow" fieldPosition="3"/>
    </format>
    <format dxfId="134">
      <pivotArea field="25" type="button" dataOnly="0" labelOnly="1" outline="0" axis="axisRow" fieldPosition="4"/>
    </format>
    <format dxfId="133">
      <pivotArea dataOnly="0" labelOnly="1" outline="0" axis="axisValues" fieldPosition="0"/>
    </format>
    <format dxfId="132">
      <pivotArea field="2" type="button" dataOnly="0" labelOnly="1" outline="0" axis="axisPage" fieldPosition="1"/>
    </format>
    <format dxfId="131">
      <pivotArea field="14" type="button" dataOnly="0" labelOnly="1" outline="0"/>
    </format>
    <format dxfId="130">
      <pivotArea field="15" type="button" dataOnly="0" labelOnly="1" outline="0"/>
    </format>
    <format dxfId="129">
      <pivotArea field="16" type="button" dataOnly="0" labelOnly="1" outline="0"/>
    </format>
    <format dxfId="128">
      <pivotArea field="17" type="button" dataOnly="0" labelOnly="1" outline="0" axis="axisRow" fieldPosition="1"/>
    </format>
    <format dxfId="127">
      <pivotArea field="20" type="button" dataOnly="0" labelOnly="1" outline="0" axis="axisRow" fieldPosition="2"/>
    </format>
    <format dxfId="126">
      <pivotArea field="24" type="button" dataOnly="0" labelOnly="1" outline="0" axis="axisRow" fieldPosition="3"/>
    </format>
    <format dxfId="125">
      <pivotArea field="25" type="button" dataOnly="0" labelOnly="1" outline="0" axis="axisRow" fieldPosition="4"/>
    </format>
    <format dxfId="124">
      <pivotArea dataOnly="0" labelOnly="1" outline="0" axis="axisValues" fieldPosition="0"/>
    </format>
    <format dxfId="123">
      <pivotArea field="2" type="button" dataOnly="0" labelOnly="1" outline="0" axis="axisPage" fieldPosition="1"/>
    </format>
    <format dxfId="122">
      <pivotArea field="14" type="button" dataOnly="0" labelOnly="1" outline="0"/>
    </format>
    <format dxfId="121">
      <pivotArea field="15" type="button" dataOnly="0" labelOnly="1" outline="0"/>
    </format>
    <format dxfId="120">
      <pivotArea field="16" type="button" dataOnly="0" labelOnly="1" outline="0"/>
    </format>
    <format dxfId="119">
      <pivotArea field="17" type="button" dataOnly="0" labelOnly="1" outline="0" axis="axisRow" fieldPosition="1"/>
    </format>
    <format dxfId="118">
      <pivotArea field="20" type="button" dataOnly="0" labelOnly="1" outline="0" axis="axisRow" fieldPosition="2"/>
    </format>
    <format dxfId="117">
      <pivotArea field="24" type="button" dataOnly="0" labelOnly="1" outline="0" axis="axisRow" fieldPosition="3"/>
    </format>
    <format dxfId="116">
      <pivotArea field="25" type="button" dataOnly="0" labelOnly="1" outline="0" axis="axisRow" fieldPosition="4"/>
    </format>
    <format dxfId="115">
      <pivotArea dataOnly="0" labelOnly="1" outline="0" axis="axisValues" fieldPosition="0"/>
    </format>
    <format dxfId="114">
      <pivotArea field="2" type="button" dataOnly="0" labelOnly="1" outline="0" axis="axisPage" fieldPosition="1"/>
    </format>
    <format dxfId="113">
      <pivotArea field="14" type="button" dataOnly="0" labelOnly="1" outline="0"/>
    </format>
    <format dxfId="112">
      <pivotArea field="15" type="button" dataOnly="0" labelOnly="1" outline="0"/>
    </format>
    <format dxfId="111">
      <pivotArea field="16" type="button" dataOnly="0" labelOnly="1" outline="0"/>
    </format>
    <format dxfId="110">
      <pivotArea field="17" type="button" dataOnly="0" labelOnly="1" outline="0" axis="axisRow" fieldPosition="1"/>
    </format>
    <format dxfId="109">
      <pivotArea field="20" type="button" dataOnly="0" labelOnly="1" outline="0" axis="axisRow" fieldPosition="2"/>
    </format>
    <format dxfId="108">
      <pivotArea field="24" type="button" dataOnly="0" labelOnly="1" outline="0" axis="axisRow" fieldPosition="3"/>
    </format>
    <format dxfId="107">
      <pivotArea dataOnly="0" labelOnly="1" outline="0" axis="axisValues" fieldPosition="0"/>
    </format>
    <format dxfId="106">
      <pivotArea field="24" type="button" dataOnly="0" labelOnly="1" outline="0" axis="axisRow" fieldPosition="3"/>
    </format>
    <format dxfId="105">
      <pivotArea field="2" type="button" dataOnly="0" labelOnly="1" outline="0" axis="axisPage" fieldPosition="1"/>
    </format>
    <format dxfId="104">
      <pivotArea field="14" type="button" dataOnly="0" labelOnly="1" outline="0"/>
    </format>
    <format dxfId="103">
      <pivotArea field="15" type="button" dataOnly="0" labelOnly="1" outline="0"/>
    </format>
    <format dxfId="102">
      <pivotArea field="16" type="button" dataOnly="0" labelOnly="1" outline="0"/>
    </format>
    <format dxfId="101">
      <pivotArea field="17" type="button" dataOnly="0" labelOnly="1" outline="0" axis="axisRow" fieldPosition="1"/>
    </format>
    <format dxfId="100">
      <pivotArea field="20" type="button" dataOnly="0" labelOnly="1" outline="0" axis="axisRow" fieldPosition="2"/>
    </format>
    <format dxfId="99">
      <pivotArea dataOnly="0" labelOnly="1" outline="0" axis="axisValues" fieldPosition="0"/>
    </format>
    <format dxfId="98">
      <pivotArea field="13" type="button" dataOnly="0" labelOnly="1" outline="0" axis="axisRow" fieldPosition="0"/>
    </format>
    <format dxfId="97">
      <pivotArea field="2" type="button" dataOnly="0" labelOnly="1" outline="0" axis="axisPage" fieldPosition="1"/>
    </format>
    <format dxfId="96">
      <pivotArea field="13" type="button" dataOnly="0" labelOnly="1" outline="0" axis="axisRow" fieldPosition="0"/>
    </format>
    <format dxfId="95">
      <pivotArea field="17" type="button" dataOnly="0" labelOnly="1" outline="0" axis="axisRow" fieldPosition="1"/>
    </format>
    <format dxfId="94">
      <pivotArea field="20" type="button" dataOnly="0" labelOnly="1" outline="0" axis="axisRow" fieldPosition="2"/>
    </format>
    <format dxfId="93">
      <pivotArea field="24" type="button" dataOnly="0" labelOnly="1" outline="0" axis="axisRow" fieldPosition="3"/>
    </format>
    <format dxfId="92">
      <pivotArea field="25" type="button" dataOnly="0" labelOnly="1" outline="0" axis="axisRow" fieldPosition="4"/>
    </format>
    <format dxfId="91">
      <pivotArea dataOnly="0" labelOnly="1" outline="0" axis="axisValues" fieldPosition="0"/>
    </format>
    <format dxfId="90">
      <pivotArea grandRow="1" outline="0" collapsedLevelsAreSubtotals="1" fieldPosition="0"/>
    </format>
    <format dxfId="89">
      <pivotArea dataOnly="0" labelOnly="1" grandRow="1" outline="0" fieldPosition="0"/>
    </format>
    <format dxfId="88">
      <pivotArea dataOnly="0" labelOnly="1" outline="0" fieldPosition="0">
        <references count="1">
          <reference field="1" count="0"/>
        </references>
      </pivotArea>
    </format>
    <format dxfId="87">
      <pivotArea field="13" type="button" dataOnly="0" labelOnly="1" outline="0" axis="axisRow" fieldPosition="0"/>
    </format>
    <format dxfId="86">
      <pivotArea field="15" type="button" dataOnly="0" labelOnly="1" outline="0"/>
    </format>
    <format dxfId="85">
      <pivotArea field="11" type="button" dataOnly="0" labelOnly="1" outline="0"/>
    </format>
    <format dxfId="84">
      <pivotArea field="26" type="button" dataOnly="0" labelOnly="1" outline="0"/>
    </format>
    <format dxfId="83">
      <pivotArea outline="0" collapsedLevelsAreSubtotals="1" fieldPosition="0"/>
    </format>
    <format dxfId="82">
      <pivotArea dataOnly="0" labelOnly="1" outline="0" axis="axisValues" fieldPosition="0"/>
    </format>
    <format dxfId="81">
      <pivotArea field="25" type="button" dataOnly="0" labelOnly="1" outline="0" axis="axisRow" fieldPosition="4"/>
    </format>
    <format dxfId="80">
      <pivotArea dataOnly="0" labelOnly="1" grandRow="1" outline="0"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A07D9F5F-1BCA-4021-ADBF-E8CF2C410D22}" name="TablaDinámica2" cacheId="0" applyNumberFormats="0" applyBorderFormats="0" applyFontFormats="0" applyPatternFormats="0" applyAlignmentFormats="0" applyWidthHeightFormats="1" dataCaption="Valores" updatedVersion="8" minRefreshableVersion="3" itemPrintTitles="1" createdVersion="8" indent="0" outline="1" outlineData="1" multipleFieldFilters="0">
  <location ref="A3:B16" firstHeaderRow="1" firstDataRow="1" firstDataCol="1" rowPageCount="1" colPageCount="1"/>
  <pivotFields count="28">
    <pivotField showAll="0"/>
    <pivotField axis="axisPage" multipleItemSelectionAllowed="1" showAll="0">
      <items count="4">
        <item h="1" x="2"/>
        <item x="0"/>
        <item x="1"/>
        <item t="default"/>
      </items>
    </pivotField>
    <pivotField axis="axisRow" outline="0" showAll="0" defaultSubtotal="0">
      <items count="12">
        <item x="4"/>
        <item x="5"/>
        <item x="10"/>
        <item x="3"/>
        <item x="2"/>
        <item x="0"/>
        <item x="1"/>
        <item x="11"/>
        <item x="6"/>
        <item x="8"/>
        <item x="7"/>
        <item x="9"/>
      </items>
      <extLst>
        <ext xmlns:x14="http://schemas.microsoft.com/office/spreadsheetml/2009/9/main" uri="{2946ED86-A175-432a-8AC1-64E0C546D7DE}">
          <x14:pivotField fillDownLabels="1"/>
        </ext>
      </extLst>
    </pivotField>
    <pivotField showAll="0"/>
    <pivotField showAll="0"/>
    <pivotField showAll="0"/>
    <pivotField showAll="0"/>
    <pivotField showAll="0"/>
    <pivotField showAll="0"/>
    <pivotField showAll="0"/>
    <pivotField dataField="1" showAll="0"/>
    <pivotField outline="0" showAll="0" defaultSubtotal="0">
      <extLst>
        <ext xmlns:x14="http://schemas.microsoft.com/office/spreadsheetml/2009/9/main" uri="{2946ED86-A175-432a-8AC1-64E0C546D7DE}">
          <x14:pivotField fillDownLabels="1"/>
        </ext>
      </extLst>
    </pivotField>
    <pivotField showAll="0"/>
    <pivotField showAll="0"/>
    <pivotField showAll="0"/>
    <pivotField showAll="0"/>
    <pivotField showAll="0"/>
    <pivotField showAll="0"/>
    <pivotField showAll="0"/>
    <pivotField showAll="0"/>
    <pivotField showAll="0"/>
    <pivotField showAll="0"/>
    <pivotField showAll="0"/>
    <pivotField showAll="0"/>
    <pivotField outline="0" showAll="0" defaultSubtotal="0">
      <extLst>
        <ext xmlns:x14="http://schemas.microsoft.com/office/spreadsheetml/2009/9/main" uri="{2946ED86-A175-432a-8AC1-64E0C546D7DE}">
          <x14:pivotField fillDownLabels="1"/>
        </ext>
      </extLst>
    </pivotField>
    <pivotField showAll="0"/>
    <pivotField outline="0" showAll="0" defaultSubtotal="0">
      <extLst>
        <ext xmlns:x14="http://schemas.microsoft.com/office/spreadsheetml/2009/9/main" uri="{2946ED86-A175-432a-8AC1-64E0C546D7DE}">
          <x14:pivotField fillDownLabels="1"/>
        </ext>
      </extLst>
    </pivotField>
    <pivotField showAll="0"/>
  </pivotFields>
  <rowFields count="1">
    <field x="2"/>
  </rowFields>
  <rowItems count="13">
    <i>
      <x/>
    </i>
    <i>
      <x v="1"/>
    </i>
    <i>
      <x v="2"/>
    </i>
    <i>
      <x v="3"/>
    </i>
    <i>
      <x v="4"/>
    </i>
    <i>
      <x v="5"/>
    </i>
    <i>
      <x v="6"/>
    </i>
    <i>
      <x v="7"/>
    </i>
    <i>
      <x v="8"/>
    </i>
    <i>
      <x v="9"/>
    </i>
    <i>
      <x v="10"/>
    </i>
    <i>
      <x v="11"/>
    </i>
    <i t="grand">
      <x/>
    </i>
  </rowItems>
  <colItems count="1">
    <i/>
  </colItems>
  <pageFields count="1">
    <pageField fld="1" hier="-1"/>
  </pageFields>
  <dataFields count="1">
    <dataField name="Suma de Valor Programado" fld="10" baseField="0" baseItem="0" numFmtId="165"/>
  </dataFields>
  <formats count="16">
    <format dxfId="171">
      <pivotArea type="all" dataOnly="0" outline="0" fieldPosition="0"/>
    </format>
    <format dxfId="170">
      <pivotArea outline="0" collapsedLevelsAreSubtotals="1" fieldPosition="0"/>
    </format>
    <format dxfId="169">
      <pivotArea field="2" type="button" dataOnly="0" labelOnly="1" outline="0" axis="axisRow" fieldPosition="0"/>
    </format>
    <format dxfId="168">
      <pivotArea dataOnly="0" labelOnly="1" fieldPosition="0">
        <references count="1">
          <reference field="2" count="0"/>
        </references>
      </pivotArea>
    </format>
    <format dxfId="167">
      <pivotArea dataOnly="0" labelOnly="1" grandRow="1" outline="0" fieldPosition="0"/>
    </format>
    <format dxfId="166">
      <pivotArea dataOnly="0" labelOnly="1" outline="0" axis="axisValues" fieldPosition="0"/>
    </format>
    <format dxfId="165">
      <pivotArea type="all" dataOnly="0" outline="0" fieldPosition="0"/>
    </format>
    <format dxfId="164">
      <pivotArea outline="0" collapsedLevelsAreSubtotals="1" fieldPosition="0"/>
    </format>
    <format dxfId="163">
      <pivotArea field="2" type="button" dataOnly="0" labelOnly="1" outline="0" axis="axisRow" fieldPosition="0"/>
    </format>
    <format dxfId="162">
      <pivotArea dataOnly="0" labelOnly="1" fieldPosition="0">
        <references count="1">
          <reference field="2" count="0"/>
        </references>
      </pivotArea>
    </format>
    <format dxfId="161">
      <pivotArea dataOnly="0" labelOnly="1" grandRow="1" outline="0" fieldPosition="0"/>
    </format>
    <format dxfId="160">
      <pivotArea dataOnly="0" labelOnly="1" outline="0" axis="axisValues" fieldPosition="0"/>
    </format>
    <format dxfId="159">
      <pivotArea dataOnly="0" labelOnly="1" fieldPosition="0">
        <references count="1">
          <reference field="2" count="1">
            <x v="4"/>
          </reference>
        </references>
      </pivotArea>
    </format>
    <format dxfId="158">
      <pivotArea outline="0" collapsedLevelsAreSubtotals="1" fieldPosition="0"/>
    </format>
    <format dxfId="157">
      <pivotArea dataOnly="0" labelOnly="1" outline="0" fieldPosition="0">
        <references count="1">
          <reference field="1" count="0"/>
        </references>
      </pivotArea>
    </format>
    <format dxfId="156">
      <pivotArea dataOnly="0" labelOnly="1" outline="0" axis="axisValues"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PAA" displayName="PAA" ref="B10:AC858" totalsRowShown="0" headerRowDxfId="79" dataDxfId="77" headerRowBorderDxfId="78" tableBorderDxfId="76" totalsRowBorderDxfId="75">
  <autoFilter ref="B10:AC858" xr:uid="{00000000-0009-0000-0100-000001000000}"/>
  <sortState xmlns:xlrd2="http://schemas.microsoft.com/office/spreadsheetml/2017/richdata2" ref="B11:AC858">
    <sortCondition sortBy="cellColor" ref="B10:B858" dxfId="1"/>
  </sortState>
  <tableColumns count="28">
    <tableColumn id="1" xr3:uid="{00000000-0010-0000-0000-000001000000}" name="Id" dataDxfId="74" dataCellStyle="Millares"/>
    <tableColumn id="2" xr3:uid="{00000000-0010-0000-0000-000002000000}" name="Proyecto y nombre " dataDxfId="73" dataCellStyle="Millares"/>
    <tableColumn id="3" xr3:uid="{00000000-0010-0000-0000-000003000000}" name="Dependencia " dataDxfId="72"/>
    <tableColumn id="4" xr3:uid="{00000000-0010-0000-0000-000004000000}" name="Responsable" dataDxfId="71" dataCellStyle="Normal 2"/>
    <tableColumn id="5" xr3:uid="{00000000-0010-0000-0000-000005000000}" name="Objeto" dataDxfId="70"/>
    <tableColumn id="6" xr3:uid="{00000000-0010-0000-0000-000006000000}" name="Tipo de Contratación" dataDxfId="69"/>
    <tableColumn id="7" xr3:uid="{00000000-0010-0000-0000-000007000000}" name="Código UNSPSC (cada código separado por ;)" dataDxfId="68" dataCellStyle="Moneda"/>
    <tableColumn id="8" xr3:uid="{00000000-0010-0000-0000-000008000000}" name="Mes inicio de ejecución" dataDxfId="67"/>
    <tableColumn id="9" xr3:uid="{00000000-0010-0000-0000-000009000000}" name="plazo ejec Meses" dataDxfId="66"/>
    <tableColumn id="10" xr3:uid="{00000000-0010-0000-0000-00000A000000}" name="mas plazo ejec Días (si aplica)" dataDxfId="65" dataCellStyle="Millares"/>
    <tableColumn id="11" xr3:uid="{00000000-0010-0000-0000-00000B000000}" name="Valor Programado" dataDxfId="64" dataCellStyle="Millares"/>
    <tableColumn id="12" xr3:uid="{00000000-0010-0000-0000-00000C000000}" name="Fuente de Recursos" dataDxfId="63"/>
    <tableColumn id="13" xr3:uid="{00000000-0010-0000-0000-00000D000000}" name="Modalidad de Selección" dataDxfId="62" dataCellStyle="Millares"/>
    <tableColumn id="14" xr3:uid="{00000000-0010-0000-0000-00000E000000}" name="Meta Proyecto de Inversión" dataDxfId="61" dataCellStyle="Normal 2"/>
    <tableColumn id="15" xr3:uid="{00000000-0010-0000-0000-00000F000000}" name="Bogotá camina segura" dataDxfId="60" dataCellStyle="Normal 2">
      <calculatedColumnFormula>IFERROR(VLOOKUP(C11,TD!$B$32:$F$36,2,0)," ")</calculatedColumnFormula>
    </tableColumn>
    <tableColumn id="16" xr3:uid="{00000000-0010-0000-0000-000010000000}" name="Sector_Programa MGA" dataDxfId="59" dataCellStyle="Normal 2">
      <calculatedColumnFormula>IFERROR(VLOOKUP(C11,TD!$B$32:$F$36,3,0)," ")</calculatedColumnFormula>
    </tableColumn>
    <tableColumn id="17" xr3:uid="{00000000-0010-0000-0000-000011000000}" name="BPIN (AÑO+COD_PROYECTO)" dataDxfId="58" dataCellStyle="Normal 2">
      <calculatedColumnFormula>IFERROR(VLOOKUP(C11,TD!$B$32:$F$36,4,0)," ")</calculatedColumnFormula>
    </tableColumn>
    <tableColumn id="18" xr3:uid="{00000000-0010-0000-0000-000012000000}" name="Producto PMR" dataDxfId="57" dataCellStyle="Normal 2"/>
    <tableColumn id="19" xr3:uid="{00000000-0010-0000-0000-000013000000}" name="Descripción Producto PMR" dataDxfId="56" dataCellStyle="Normal 2"/>
    <tableColumn id="20" xr3:uid="{00000000-0010-0000-0000-000014000000}" name="PMR conca" dataDxfId="55" dataCellStyle="Normal 2">
      <calculatedColumnFormula>CONCATENATE(S11,"-",T11)</calculatedColumnFormula>
    </tableColumn>
    <tableColumn id="21" xr3:uid="{00000000-0010-0000-0000-000015000000}" name="Producto MGA" dataDxfId="54" dataCellStyle="Normal 2"/>
    <tableColumn id="22" xr3:uid="{00000000-0010-0000-0000-000016000000}" name="Descripción Producto MGA" dataDxfId="53" dataCellStyle="Normal 2"/>
    <tableColumn id="23" xr3:uid="{00000000-0010-0000-0000-000017000000}" name="concatenarMGA" dataDxfId="52" dataCellStyle="Normal 2">
      <calculatedColumnFormula>CONCATENATE(V11,"_",W11)</calculatedColumnFormula>
    </tableColumn>
    <tableColumn id="24" xr3:uid="{00000000-0010-0000-0000-000018000000}" name="PM MGA conca" dataDxfId="51" dataCellStyle="Normal 2">
      <calculatedColumnFormula>CONCATENATE(U11," ",X11)</calculatedColumnFormula>
    </tableColumn>
    <tableColumn id="25" xr3:uid="{00000000-0010-0000-0000-000019000000}" name="Código de proyecto de inversión, asociado a productos PMR y MGA" dataDxfId="50" dataCellStyle="Normal 2">
      <calculatedColumnFormula>CONCATENATE(P11,Q11,R11,S11,V11)</calculatedColumnFormula>
    </tableColumn>
    <tableColumn id="26" xr3:uid="{00000000-0010-0000-0000-00001A000000}" name="codigo PEP" dataDxfId="49" dataCellStyle="Normal 2">
      <calculatedColumnFormula>IFERROR(VLOOKUP(Y11,TD!$K$46:$L$64,2,0)," ")</calculatedColumnFormula>
    </tableColumn>
    <tableColumn id="27" xr3:uid="{00000000-0010-0000-0000-00001B000000}" name="POSPRE" dataDxfId="48" dataCellStyle="Millares"/>
    <tableColumn id="28" xr3:uid="{00000000-0010-0000-0000-00001C000000}" name="Si Secop / No Secop" dataDxfId="47" dataCellStyle="Normal 2"/>
  </tableColumns>
  <tableStyleInfo showFirstColumn="0" showLastColumn="0" showRowStripes="1" showColumnStripes="0"/>
</table>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ivotTable" Target="../pivotTables/pivotTable2.xml"/><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 Id="rId5" Type="http://schemas.openxmlformats.org/officeDocument/2006/relationships/table" Target="../tables/table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6"/>
  <dimension ref="A1:I85"/>
  <sheetViews>
    <sheetView topLeftCell="A10" zoomScale="85" zoomScaleNormal="85" workbookViewId="0">
      <selection activeCell="B23" sqref="B23"/>
    </sheetView>
  </sheetViews>
  <sheetFormatPr baseColWidth="10" defaultRowHeight="14.5" x14ac:dyDescent="0.35"/>
  <cols>
    <col min="1" max="1" width="35.453125" bestFit="1" customWidth="1"/>
    <col min="2" max="2" width="16.7265625" style="105" customWidth="1"/>
    <col min="3" max="3" width="10.453125" customWidth="1"/>
    <col min="4" max="4" width="29.1796875" customWidth="1"/>
    <col min="5" max="5" width="27.81640625" style="120" customWidth="1"/>
    <col min="6" max="6" width="20.54296875" style="104" customWidth="1"/>
    <col min="7" max="7" width="31.453125" customWidth="1"/>
    <col min="8" max="8" width="27.1796875" bestFit="1" customWidth="1"/>
    <col min="9" max="9" width="19" style="105" customWidth="1"/>
  </cols>
  <sheetData>
    <row r="1" spans="1:8" x14ac:dyDescent="0.35">
      <c r="A1" s="107" t="s">
        <v>296</v>
      </c>
      <c r="B1" s="111" t="s">
        <v>787</v>
      </c>
    </row>
    <row r="2" spans="1:8" x14ac:dyDescent="0.35">
      <c r="H2" s="105"/>
    </row>
    <row r="3" spans="1:8" x14ac:dyDescent="0.35">
      <c r="A3" s="107" t="s">
        <v>462</v>
      </c>
      <c r="B3" s="111" t="s">
        <v>464</v>
      </c>
      <c r="E3" s="10"/>
    </row>
    <row r="4" spans="1:8" x14ac:dyDescent="0.35">
      <c r="A4" s="108" t="s">
        <v>45</v>
      </c>
      <c r="B4" s="111">
        <v>1010000000</v>
      </c>
      <c r="E4" s="10"/>
      <c r="F4" s="116"/>
    </row>
    <row r="5" spans="1:8" x14ac:dyDescent="0.35">
      <c r="A5" s="108" t="s">
        <v>161</v>
      </c>
      <c r="B5" s="111">
        <v>1257000000</v>
      </c>
      <c r="E5" s="10"/>
      <c r="F5" s="116"/>
    </row>
    <row r="6" spans="1:8" x14ac:dyDescent="0.35">
      <c r="A6" s="108" t="s">
        <v>162</v>
      </c>
      <c r="B6" s="111">
        <v>7006050493</v>
      </c>
      <c r="E6" s="10"/>
      <c r="F6" s="116"/>
    </row>
    <row r="7" spans="1:8" x14ac:dyDescent="0.35">
      <c r="A7" s="108" t="s">
        <v>36</v>
      </c>
      <c r="B7" s="111">
        <v>1200000000</v>
      </c>
      <c r="E7" s="10"/>
      <c r="F7" s="116"/>
    </row>
    <row r="8" spans="1:8" x14ac:dyDescent="0.35">
      <c r="A8" s="109" t="s">
        <v>46</v>
      </c>
      <c r="B8" s="111">
        <v>710000000</v>
      </c>
      <c r="E8" s="10"/>
    </row>
    <row r="9" spans="1:8" x14ac:dyDescent="0.35">
      <c r="A9" s="108" t="s">
        <v>163</v>
      </c>
      <c r="B9" s="111">
        <v>310000000</v>
      </c>
      <c r="E9" s="10"/>
    </row>
    <row r="10" spans="1:8" x14ac:dyDescent="0.35">
      <c r="A10" s="108" t="s">
        <v>164</v>
      </c>
      <c r="B10" s="111">
        <v>2500000000</v>
      </c>
    </row>
    <row r="11" spans="1:8" x14ac:dyDescent="0.35">
      <c r="A11" s="108" t="s">
        <v>166</v>
      </c>
      <c r="B11" s="111">
        <v>18640000000</v>
      </c>
      <c r="E11" s="10"/>
    </row>
    <row r="12" spans="1:8" x14ac:dyDescent="0.35">
      <c r="A12" s="108" t="s">
        <v>165</v>
      </c>
      <c r="B12" s="111">
        <v>4000000000</v>
      </c>
      <c r="E12" s="10"/>
    </row>
    <row r="13" spans="1:8" x14ac:dyDescent="0.35">
      <c r="A13" s="108" t="s">
        <v>167</v>
      </c>
      <c r="B13" s="111">
        <v>4500000000</v>
      </c>
      <c r="E13" s="10"/>
    </row>
    <row r="14" spans="1:8" x14ac:dyDescent="0.35">
      <c r="A14" s="108" t="s">
        <v>168</v>
      </c>
      <c r="B14" s="111">
        <v>11000000000</v>
      </c>
      <c r="E14" s="10"/>
    </row>
    <row r="15" spans="1:8" x14ac:dyDescent="0.35">
      <c r="A15" s="108" t="s">
        <v>169</v>
      </c>
      <c r="B15" s="111">
        <v>15994376507</v>
      </c>
      <c r="E15" s="10"/>
    </row>
    <row r="16" spans="1:8" x14ac:dyDescent="0.35">
      <c r="A16" s="108" t="s">
        <v>463</v>
      </c>
      <c r="B16" s="111">
        <v>68127427000</v>
      </c>
      <c r="E16" s="10"/>
    </row>
    <row r="17" spans="1:9" x14ac:dyDescent="0.35">
      <c r="B17"/>
      <c r="E17" s="10"/>
    </row>
    <row r="18" spans="1:9" x14ac:dyDescent="0.35">
      <c r="B18" s="105">
        <f>+GETPIVOTDATA("Valor Programado",$A$3)-GETPIVOTDATA("Valor Programado",$A$3)</f>
        <v>0</v>
      </c>
      <c r="E18" s="10"/>
    </row>
    <row r="19" spans="1:9" x14ac:dyDescent="0.35">
      <c r="A19" s="106" t="s">
        <v>296</v>
      </c>
      <c r="B19" s="110" t="s">
        <v>209</v>
      </c>
      <c r="E19" s="10"/>
    </row>
    <row r="20" spans="1:9" x14ac:dyDescent="0.35">
      <c r="A20" s="167" t="s">
        <v>74</v>
      </c>
      <c r="B20" s="2" t="s">
        <v>169</v>
      </c>
      <c r="E20" s="10"/>
    </row>
    <row r="21" spans="1:9" x14ac:dyDescent="0.35">
      <c r="E21" s="10"/>
    </row>
    <row r="22" spans="1:9" ht="29" x14ac:dyDescent="0.35">
      <c r="A22" s="166" t="s">
        <v>462</v>
      </c>
      <c r="B22" s="167" t="s">
        <v>79</v>
      </c>
      <c r="C22" s="167" t="s">
        <v>81</v>
      </c>
      <c r="D22" s="167" t="s">
        <v>206</v>
      </c>
      <c r="E22" s="165" t="s">
        <v>231</v>
      </c>
      <c r="F22" s="117" t="s">
        <v>464</v>
      </c>
      <c r="I22"/>
    </row>
    <row r="23" spans="1:9" x14ac:dyDescent="0.35">
      <c r="A23" s="3" t="s">
        <v>222</v>
      </c>
      <c r="B23" s="3" t="s">
        <v>175</v>
      </c>
      <c r="C23" s="3" t="s">
        <v>232</v>
      </c>
      <c r="D23" s="3" t="s">
        <v>330</v>
      </c>
      <c r="E23" s="3" t="s">
        <v>258</v>
      </c>
      <c r="F23" s="118">
        <v>2509532647</v>
      </c>
      <c r="I23"/>
    </row>
    <row r="24" spans="1:9" x14ac:dyDescent="0.35">
      <c r="A24" s="3" t="s">
        <v>222</v>
      </c>
      <c r="B24" s="3" t="s">
        <v>189</v>
      </c>
      <c r="C24" s="3" t="s">
        <v>232</v>
      </c>
      <c r="D24" s="3" t="s">
        <v>331</v>
      </c>
      <c r="E24" s="3" t="s">
        <v>268</v>
      </c>
      <c r="F24" s="118">
        <v>4436467353</v>
      </c>
      <c r="I24"/>
    </row>
    <row r="25" spans="1:9" x14ac:dyDescent="0.35">
      <c r="A25" s="3" t="s">
        <v>223</v>
      </c>
      <c r="B25" s="3" t="s">
        <v>175</v>
      </c>
      <c r="C25" s="3" t="s">
        <v>232</v>
      </c>
      <c r="D25" s="3" t="s">
        <v>330</v>
      </c>
      <c r="E25" s="3" t="s">
        <v>258</v>
      </c>
      <c r="F25" s="118">
        <v>9048376507</v>
      </c>
      <c r="I25"/>
    </row>
    <row r="26" spans="1:9" x14ac:dyDescent="0.35">
      <c r="A26" s="121" t="s">
        <v>463</v>
      </c>
      <c r="B26" s="121"/>
      <c r="C26" s="121"/>
      <c r="D26" s="121"/>
      <c r="E26" s="121"/>
      <c r="F26" s="119">
        <v>15994376507</v>
      </c>
      <c r="I26"/>
    </row>
    <row r="27" spans="1:9" x14ac:dyDescent="0.35">
      <c r="B27"/>
      <c r="E27"/>
      <c r="F27"/>
      <c r="I27"/>
    </row>
    <row r="28" spans="1:9" x14ac:dyDescent="0.35">
      <c r="B28"/>
      <c r="E28"/>
      <c r="F28"/>
      <c r="I28"/>
    </row>
    <row r="29" spans="1:9" x14ac:dyDescent="0.35">
      <c r="B29"/>
      <c r="E29"/>
      <c r="F29"/>
      <c r="I29"/>
    </row>
    <row r="30" spans="1:9" x14ac:dyDescent="0.35">
      <c r="B30"/>
      <c r="E30"/>
      <c r="F30"/>
      <c r="I30"/>
    </row>
    <row r="31" spans="1:9" x14ac:dyDescent="0.35">
      <c r="B31"/>
      <c r="E31"/>
      <c r="F31"/>
      <c r="I31"/>
    </row>
    <row r="32" spans="1:9" x14ac:dyDescent="0.35">
      <c r="B32"/>
      <c r="E32"/>
      <c r="F32"/>
      <c r="I32"/>
    </row>
    <row r="33" spans="2:9" x14ac:dyDescent="0.35">
      <c r="B33"/>
      <c r="E33"/>
      <c r="F33"/>
      <c r="I33"/>
    </row>
    <row r="34" spans="2:9" x14ac:dyDescent="0.35">
      <c r="B34"/>
      <c r="E34"/>
      <c r="F34"/>
      <c r="I34"/>
    </row>
    <row r="35" spans="2:9" x14ac:dyDescent="0.35">
      <c r="B35"/>
      <c r="E35"/>
      <c r="F35"/>
      <c r="I35"/>
    </row>
    <row r="36" spans="2:9" x14ac:dyDescent="0.35">
      <c r="B36"/>
      <c r="E36"/>
      <c r="F36"/>
      <c r="I36"/>
    </row>
    <row r="37" spans="2:9" x14ac:dyDescent="0.35">
      <c r="B37"/>
      <c r="E37"/>
      <c r="F37"/>
      <c r="I37"/>
    </row>
    <row r="38" spans="2:9" x14ac:dyDescent="0.35">
      <c r="B38"/>
      <c r="E38"/>
      <c r="F38"/>
      <c r="I38"/>
    </row>
    <row r="39" spans="2:9" x14ac:dyDescent="0.35">
      <c r="B39"/>
      <c r="E39"/>
      <c r="F39"/>
      <c r="I39"/>
    </row>
    <row r="40" spans="2:9" x14ac:dyDescent="0.35">
      <c r="B40"/>
      <c r="E40"/>
      <c r="F40"/>
      <c r="I40"/>
    </row>
    <row r="41" spans="2:9" x14ac:dyDescent="0.35">
      <c r="B41"/>
      <c r="E41"/>
      <c r="F41"/>
      <c r="I41"/>
    </row>
    <row r="42" spans="2:9" x14ac:dyDescent="0.35">
      <c r="B42"/>
      <c r="E42"/>
      <c r="F42"/>
      <c r="I42"/>
    </row>
    <row r="43" spans="2:9" x14ac:dyDescent="0.35">
      <c r="B43"/>
      <c r="E43"/>
      <c r="F43"/>
      <c r="I43"/>
    </row>
    <row r="44" spans="2:9" x14ac:dyDescent="0.35">
      <c r="B44"/>
      <c r="E44"/>
      <c r="F44"/>
      <c r="I44"/>
    </row>
    <row r="45" spans="2:9" x14ac:dyDescent="0.35">
      <c r="B45"/>
      <c r="E45"/>
      <c r="F45"/>
      <c r="I45"/>
    </row>
    <row r="46" spans="2:9" x14ac:dyDescent="0.35">
      <c r="B46"/>
      <c r="E46"/>
      <c r="F46"/>
      <c r="I46"/>
    </row>
    <row r="47" spans="2:9" x14ac:dyDescent="0.35">
      <c r="B47"/>
      <c r="E47"/>
      <c r="F47"/>
    </row>
    <row r="48" spans="2:9" x14ac:dyDescent="0.35">
      <c r="B48"/>
      <c r="E48"/>
      <c r="F48"/>
    </row>
    <row r="49" spans="2:6" x14ac:dyDescent="0.35">
      <c r="B49"/>
      <c r="E49"/>
      <c r="F49"/>
    </row>
    <row r="50" spans="2:6" x14ac:dyDescent="0.35">
      <c r="B50"/>
      <c r="E50"/>
      <c r="F50"/>
    </row>
    <row r="51" spans="2:6" x14ac:dyDescent="0.35">
      <c r="B51"/>
      <c r="E51"/>
      <c r="F51"/>
    </row>
    <row r="52" spans="2:6" x14ac:dyDescent="0.35">
      <c r="B52"/>
      <c r="E52"/>
      <c r="F52"/>
    </row>
    <row r="53" spans="2:6" x14ac:dyDescent="0.35">
      <c r="B53"/>
      <c r="E53"/>
      <c r="F53"/>
    </row>
    <row r="54" spans="2:6" x14ac:dyDescent="0.35">
      <c r="B54"/>
      <c r="E54"/>
      <c r="F54"/>
    </row>
    <row r="55" spans="2:6" x14ac:dyDescent="0.35">
      <c r="B55"/>
      <c r="E55"/>
      <c r="F55"/>
    </row>
    <row r="56" spans="2:6" x14ac:dyDescent="0.35">
      <c r="B56"/>
      <c r="E56"/>
      <c r="F56"/>
    </row>
    <row r="57" spans="2:6" x14ac:dyDescent="0.35">
      <c r="B57"/>
      <c r="E57"/>
      <c r="F57"/>
    </row>
    <row r="58" spans="2:6" x14ac:dyDescent="0.35">
      <c r="B58"/>
      <c r="E58"/>
      <c r="F58"/>
    </row>
    <row r="59" spans="2:6" x14ac:dyDescent="0.35">
      <c r="B59"/>
      <c r="E59"/>
      <c r="F59"/>
    </row>
    <row r="60" spans="2:6" x14ac:dyDescent="0.35">
      <c r="B60"/>
      <c r="E60"/>
      <c r="F60"/>
    </row>
    <row r="61" spans="2:6" x14ac:dyDescent="0.35">
      <c r="B61"/>
      <c r="E61"/>
      <c r="F61"/>
    </row>
    <row r="62" spans="2:6" x14ac:dyDescent="0.35">
      <c r="B62"/>
      <c r="E62"/>
      <c r="F62"/>
    </row>
    <row r="63" spans="2:6" x14ac:dyDescent="0.35">
      <c r="B63"/>
      <c r="E63"/>
      <c r="F63"/>
    </row>
    <row r="64" spans="2:6" x14ac:dyDescent="0.35">
      <c r="B64"/>
      <c r="E64"/>
      <c r="F64"/>
    </row>
    <row r="65" spans="2:6" x14ac:dyDescent="0.35">
      <c r="B65"/>
      <c r="E65"/>
      <c r="F65"/>
    </row>
    <row r="66" spans="2:6" x14ac:dyDescent="0.35">
      <c r="B66"/>
      <c r="E66"/>
      <c r="F66"/>
    </row>
    <row r="67" spans="2:6" x14ac:dyDescent="0.35">
      <c r="B67"/>
      <c r="E67"/>
      <c r="F67"/>
    </row>
    <row r="68" spans="2:6" x14ac:dyDescent="0.35">
      <c r="B68"/>
      <c r="E68"/>
      <c r="F68"/>
    </row>
    <row r="69" spans="2:6" x14ac:dyDescent="0.35">
      <c r="B69"/>
      <c r="E69"/>
      <c r="F69"/>
    </row>
    <row r="70" spans="2:6" x14ac:dyDescent="0.35">
      <c r="B70"/>
      <c r="E70"/>
      <c r="F70"/>
    </row>
    <row r="71" spans="2:6" x14ac:dyDescent="0.35">
      <c r="B71"/>
      <c r="E71"/>
      <c r="F71"/>
    </row>
    <row r="72" spans="2:6" x14ac:dyDescent="0.35">
      <c r="B72"/>
      <c r="E72"/>
      <c r="F72"/>
    </row>
    <row r="73" spans="2:6" x14ac:dyDescent="0.35">
      <c r="B73"/>
      <c r="E73"/>
      <c r="F73"/>
    </row>
    <row r="74" spans="2:6" x14ac:dyDescent="0.35">
      <c r="B74"/>
      <c r="E74"/>
      <c r="F74"/>
    </row>
    <row r="75" spans="2:6" x14ac:dyDescent="0.35">
      <c r="B75"/>
      <c r="E75"/>
      <c r="F75"/>
    </row>
    <row r="76" spans="2:6" x14ac:dyDescent="0.35">
      <c r="B76"/>
      <c r="E76"/>
      <c r="F76"/>
    </row>
    <row r="77" spans="2:6" x14ac:dyDescent="0.35">
      <c r="B77"/>
      <c r="E77"/>
      <c r="F77"/>
    </row>
    <row r="78" spans="2:6" x14ac:dyDescent="0.35">
      <c r="B78"/>
      <c r="E78" s="10"/>
    </row>
    <row r="79" spans="2:6" x14ac:dyDescent="0.35">
      <c r="B79"/>
      <c r="E79" s="10"/>
    </row>
    <row r="80" spans="2:6" x14ac:dyDescent="0.35">
      <c r="B80"/>
      <c r="E80" s="10"/>
    </row>
    <row r="81" spans="2:2" x14ac:dyDescent="0.35">
      <c r="B81"/>
    </row>
    <row r="82" spans="2:2" x14ac:dyDescent="0.35">
      <c r="B82"/>
    </row>
    <row r="83" spans="2:2" x14ac:dyDescent="0.35">
      <c r="B83"/>
    </row>
    <row r="84" spans="2:2" x14ac:dyDescent="0.35">
      <c r="B84"/>
    </row>
    <row r="85" spans="2:2" x14ac:dyDescent="0.35">
      <c r="B85"/>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1"/>
  <dimension ref="B1:AD870"/>
  <sheetViews>
    <sheetView showGridLines="0" tabSelected="1" zoomScale="55" zoomScaleNormal="55" zoomScaleSheetLayoutView="55" workbookViewId="0">
      <selection activeCell="E5" sqref="E5:W6"/>
    </sheetView>
  </sheetViews>
  <sheetFormatPr baseColWidth="10" defaultColWidth="17.453125" defaultRowHeight="74.25" customHeight="1" x14ac:dyDescent="0.35"/>
  <cols>
    <col min="1" max="1" width="9.81640625" style="70" customWidth="1"/>
    <col min="2" max="2" width="17.453125" style="101" customWidth="1"/>
    <col min="3" max="3" width="29" style="69" customWidth="1"/>
    <col min="4" max="5" width="17.453125" style="70"/>
    <col min="6" max="6" width="53.36328125" style="70" customWidth="1"/>
    <col min="7" max="7" width="22.90625" style="70" customWidth="1"/>
    <col min="8" max="8" width="22.1796875" style="70" customWidth="1"/>
    <col min="9" max="10" width="10.08984375" style="70" customWidth="1"/>
    <col min="11" max="11" width="10.08984375" style="71" customWidth="1"/>
    <col min="12" max="12" width="19.26953125" style="72" bestFit="1" customWidth="1"/>
    <col min="13" max="13" width="28.1796875" style="101" customWidth="1"/>
    <col min="14" max="14" width="33.26953125" style="70" customWidth="1"/>
    <col min="15" max="15" width="49.54296875" style="102" customWidth="1"/>
    <col min="16" max="16" width="21.81640625" style="70" customWidth="1"/>
    <col min="17" max="18" width="17.453125" style="73"/>
    <col min="19" max="19" width="21" style="73" bestFit="1" customWidth="1"/>
    <col min="20" max="20" width="30.7265625" style="70" bestFit="1" customWidth="1"/>
    <col min="21" max="21" width="0" style="73" hidden="1" customWidth="1"/>
    <col min="22" max="22" width="14.453125" style="136" customWidth="1"/>
    <col min="23" max="23" width="30.81640625" style="70" customWidth="1"/>
    <col min="24" max="24" width="0" style="73" hidden="1" customWidth="1"/>
    <col min="25" max="25" width="10.453125" style="136" hidden="1" customWidth="1"/>
    <col min="26" max="26" width="36.54296875" style="136" customWidth="1"/>
    <col min="27" max="27" width="32.26953125" style="73" customWidth="1"/>
    <col min="28" max="28" width="52.1796875" style="73" customWidth="1"/>
    <col min="29" max="29" width="27.1796875" style="102" customWidth="1"/>
    <col min="30" max="16384" width="17.453125" style="70"/>
  </cols>
  <sheetData>
    <row r="1" spans="2:29" ht="14" x14ac:dyDescent="0.35">
      <c r="B1" s="68"/>
      <c r="M1" s="68"/>
      <c r="O1" s="72"/>
      <c r="AC1" s="72"/>
    </row>
    <row r="2" spans="2:29" s="28" customFormat="1" ht="14" x14ac:dyDescent="0.35">
      <c r="B2" s="198"/>
      <c r="C2" s="198"/>
      <c r="D2" s="27"/>
      <c r="F2" s="27"/>
      <c r="G2" s="27"/>
      <c r="H2" s="27"/>
      <c r="I2" s="27"/>
      <c r="J2" s="27"/>
      <c r="K2" s="75"/>
      <c r="L2" s="162"/>
      <c r="M2" s="112"/>
      <c r="N2" s="27"/>
      <c r="O2" s="27"/>
      <c r="P2" s="27"/>
      <c r="Q2" s="29"/>
      <c r="R2" s="29"/>
      <c r="S2" s="29"/>
      <c r="U2" s="30"/>
      <c r="V2" s="137"/>
      <c r="X2" s="30"/>
      <c r="Y2" s="137"/>
      <c r="Z2" s="137"/>
      <c r="AA2" s="30"/>
      <c r="AB2" s="30"/>
      <c r="AC2" s="27"/>
    </row>
    <row r="3" spans="2:29" s="28" customFormat="1" ht="17.5" x14ac:dyDescent="0.35">
      <c r="C3" s="27"/>
      <c r="D3" s="27"/>
      <c r="E3" s="199" t="s">
        <v>66</v>
      </c>
      <c r="F3" s="199"/>
      <c r="G3" s="199"/>
      <c r="H3" s="199"/>
      <c r="I3" s="199"/>
      <c r="J3" s="199"/>
      <c r="K3" s="199"/>
      <c r="L3" s="199"/>
      <c r="M3" s="113"/>
      <c r="N3" s="66" t="s">
        <v>454</v>
      </c>
      <c r="O3" s="31" t="s">
        <v>67</v>
      </c>
      <c r="P3" s="32">
        <v>2025</v>
      </c>
      <c r="Q3" s="30"/>
      <c r="R3" s="134"/>
      <c r="S3" s="29"/>
      <c r="T3"/>
      <c r="U3" s="104"/>
      <c r="V3" s="137"/>
      <c r="X3" s="30"/>
      <c r="Y3" s="137"/>
      <c r="Z3" s="137"/>
      <c r="AA3" s="30"/>
      <c r="AB3" s="30"/>
    </row>
    <row r="4" spans="2:29" s="28" customFormat="1" ht="17.5" x14ac:dyDescent="0.35">
      <c r="C4" s="27"/>
      <c r="D4" s="27"/>
      <c r="E4" s="199" t="s">
        <v>473</v>
      </c>
      <c r="F4" s="199"/>
      <c r="G4" s="199"/>
      <c r="H4" s="199"/>
      <c r="I4" s="199"/>
      <c r="J4" s="199"/>
      <c r="K4" s="199"/>
      <c r="L4" s="199"/>
      <c r="M4" s="197" t="s">
        <v>299</v>
      </c>
      <c r="N4" s="197"/>
      <c r="O4" s="197"/>
      <c r="P4" s="100">
        <f>IFERROR(SUMIF($C$11:$C$858,"8126-Fortalecimiento institucional de la UAECOB para un gobierno confiable Bogotá D.C.",$L$11:$L$858),0)</f>
        <v>21893051000</v>
      </c>
      <c r="Q4" s="30"/>
      <c r="R4" s="74" t="s">
        <v>302</v>
      </c>
      <c r="S4" s="99">
        <f>IFERROR(SUMIF($C$11:$C$858,"131- Funcionamiento",$L$11:$L$858),0)</f>
        <v>14414419000</v>
      </c>
      <c r="T4" s="104"/>
      <c r="U4" s="104"/>
      <c r="V4" s="137"/>
      <c r="X4" s="30"/>
      <c r="Y4" s="137"/>
      <c r="Z4" s="137"/>
      <c r="AA4" s="30"/>
      <c r="AB4" s="30"/>
    </row>
    <row r="5" spans="2:29" s="28" customFormat="1" ht="17.5" x14ac:dyDescent="0.35">
      <c r="B5" s="34"/>
      <c r="C5" s="35"/>
      <c r="D5" s="35"/>
      <c r="E5" s="199" t="s">
        <v>788</v>
      </c>
      <c r="F5" s="199"/>
      <c r="G5" s="199"/>
      <c r="H5" s="199"/>
      <c r="I5" s="199"/>
      <c r="J5" s="199"/>
      <c r="K5" s="199"/>
      <c r="L5" s="199"/>
      <c r="M5" s="197" t="s">
        <v>300</v>
      </c>
      <c r="N5" s="197"/>
      <c r="O5" s="197"/>
      <c r="P5" s="100">
        <f>IFERROR(SUMIF($C$11:$C$858,"8173-Modernización de las capacidades del Cuerpo Oficial de Bomberos Bogotá D.C.",$L$11:$L$858),0)</f>
        <v>46234376000</v>
      </c>
      <c r="Q5" s="30"/>
      <c r="R5" s="30"/>
      <c r="S5" s="33"/>
      <c r="T5" s="104"/>
      <c r="U5" s="104"/>
      <c r="V5" s="137"/>
      <c r="X5" s="30"/>
      <c r="Y5" s="137"/>
      <c r="Z5" s="137"/>
      <c r="AA5" s="30"/>
      <c r="AB5" s="30"/>
    </row>
    <row r="6" spans="2:29" s="28" customFormat="1" ht="14.5" x14ac:dyDescent="0.35">
      <c r="B6" s="34"/>
      <c r="C6" s="35"/>
      <c r="D6" s="35"/>
      <c r="E6" s="36"/>
      <c r="F6" s="35"/>
      <c r="G6" s="35"/>
      <c r="H6" s="35"/>
      <c r="I6" s="35"/>
      <c r="J6" s="37"/>
      <c r="K6" s="38"/>
      <c r="L6" s="163"/>
      <c r="M6" s="197" t="s">
        <v>301</v>
      </c>
      <c r="N6" s="197"/>
      <c r="O6" s="197"/>
      <c r="P6" s="35">
        <f>+P4+P5</f>
        <v>68127427000</v>
      </c>
      <c r="Q6" s="30"/>
      <c r="R6" s="74" t="s">
        <v>303</v>
      </c>
      <c r="S6" s="39">
        <f>+S4+P6</f>
        <v>82541846000</v>
      </c>
      <c r="T6" s="104"/>
      <c r="U6" s="104"/>
      <c r="V6" s="137"/>
      <c r="X6" s="30"/>
      <c r="Y6" s="137"/>
      <c r="Z6" s="137"/>
      <c r="AA6" s="30"/>
      <c r="AB6" s="30"/>
    </row>
    <row r="7" spans="2:29" s="28" customFormat="1" ht="14" x14ac:dyDescent="0.35">
      <c r="B7" s="34"/>
      <c r="C7" s="35"/>
      <c r="D7" s="35"/>
      <c r="E7" s="36"/>
      <c r="F7" s="35"/>
      <c r="G7" s="35"/>
      <c r="H7" s="54"/>
      <c r="I7" s="35"/>
      <c r="J7" s="37"/>
      <c r="K7" s="38"/>
      <c r="L7" s="163"/>
      <c r="M7" s="114"/>
      <c r="O7" s="67" t="s">
        <v>78</v>
      </c>
      <c r="P7" s="103">
        <v>45678</v>
      </c>
      <c r="Q7" s="42"/>
      <c r="R7" s="65"/>
      <c r="S7" s="29"/>
      <c r="T7" s="122"/>
      <c r="U7" s="30"/>
      <c r="V7" s="137"/>
      <c r="X7" s="30"/>
      <c r="Y7" s="137"/>
      <c r="Z7" s="137"/>
      <c r="AA7" s="30"/>
      <c r="AB7" s="30"/>
    </row>
    <row r="8" spans="2:29" s="28" customFormat="1" ht="14" x14ac:dyDescent="0.35">
      <c r="B8" s="34"/>
      <c r="C8" s="35"/>
      <c r="D8" s="35"/>
      <c r="E8" s="36"/>
      <c r="F8" s="35"/>
      <c r="G8" s="35"/>
      <c r="H8" s="54"/>
      <c r="I8" s="35"/>
      <c r="J8" s="37"/>
      <c r="K8" s="38"/>
      <c r="L8" s="163"/>
      <c r="M8" s="114"/>
      <c r="N8" s="122"/>
      <c r="P8" s="40"/>
      <c r="Q8" s="41"/>
      <c r="R8" s="41"/>
      <c r="S8" s="29"/>
      <c r="U8" s="30"/>
      <c r="V8" s="137"/>
      <c r="X8" s="30"/>
      <c r="Y8" s="137"/>
      <c r="Z8" s="137"/>
      <c r="AA8" s="30"/>
      <c r="AB8" s="30"/>
      <c r="AC8" s="35"/>
    </row>
    <row r="9" spans="2:29" s="28" customFormat="1" ht="14" x14ac:dyDescent="0.35">
      <c r="B9" s="34"/>
      <c r="C9" s="43"/>
      <c r="D9" s="44"/>
      <c r="E9" s="26"/>
      <c r="I9" s="45"/>
      <c r="J9" s="46"/>
      <c r="K9" s="76"/>
      <c r="L9" s="164"/>
      <c r="M9" s="115"/>
      <c r="P9" s="47"/>
      <c r="Q9" s="48"/>
      <c r="R9" s="48"/>
      <c r="S9" s="48"/>
      <c r="T9" s="49"/>
      <c r="U9" s="30"/>
      <c r="V9" s="137"/>
      <c r="X9" s="30"/>
      <c r="Y9" s="137"/>
      <c r="Z9" s="137"/>
      <c r="AA9" s="30"/>
      <c r="AB9" s="30"/>
    </row>
    <row r="10" spans="2:29" s="161" customFormat="1" ht="70" x14ac:dyDescent="0.35">
      <c r="B10" s="150" t="s">
        <v>68</v>
      </c>
      <c r="C10" s="151" t="s">
        <v>296</v>
      </c>
      <c r="D10" s="152" t="s">
        <v>74</v>
      </c>
      <c r="E10" s="153" t="s">
        <v>75</v>
      </c>
      <c r="F10" s="154" t="s">
        <v>69</v>
      </c>
      <c r="G10" s="154" t="s">
        <v>82</v>
      </c>
      <c r="H10" s="153" t="s">
        <v>1</v>
      </c>
      <c r="I10" s="155" t="s">
        <v>72</v>
      </c>
      <c r="J10" s="155" t="s">
        <v>73</v>
      </c>
      <c r="K10" s="156" t="s">
        <v>368</v>
      </c>
      <c r="L10" s="152" t="s">
        <v>70</v>
      </c>
      <c r="M10" s="157" t="s">
        <v>71</v>
      </c>
      <c r="N10" s="156" t="s">
        <v>76</v>
      </c>
      <c r="O10" s="153" t="s">
        <v>2</v>
      </c>
      <c r="P10" s="158" t="s">
        <v>195</v>
      </c>
      <c r="Q10" s="158" t="s">
        <v>196</v>
      </c>
      <c r="R10" s="158" t="s">
        <v>174</v>
      </c>
      <c r="S10" s="151" t="s">
        <v>79</v>
      </c>
      <c r="T10" s="158" t="s">
        <v>80</v>
      </c>
      <c r="U10" s="159" t="s">
        <v>298</v>
      </c>
      <c r="V10" s="151" t="s">
        <v>81</v>
      </c>
      <c r="W10" s="158" t="s">
        <v>244</v>
      </c>
      <c r="X10" s="159" t="s">
        <v>275</v>
      </c>
      <c r="Y10" s="159" t="s">
        <v>297</v>
      </c>
      <c r="Z10" s="158" t="s">
        <v>206</v>
      </c>
      <c r="AA10" s="158" t="s">
        <v>231</v>
      </c>
      <c r="AB10" s="156" t="s">
        <v>84</v>
      </c>
      <c r="AC10" s="160" t="s">
        <v>77</v>
      </c>
    </row>
    <row r="11" spans="2:29" s="28" customFormat="1" ht="74.25" customHeight="1" x14ac:dyDescent="0.35">
      <c r="B11" s="170">
        <v>20250006</v>
      </c>
      <c r="C11" s="171" t="s">
        <v>208</v>
      </c>
      <c r="D11" s="172" t="s">
        <v>164</v>
      </c>
      <c r="E11" s="173" t="s">
        <v>392</v>
      </c>
      <c r="F11" s="172" t="s">
        <v>838</v>
      </c>
      <c r="G11" s="172" t="s">
        <v>155</v>
      </c>
      <c r="H11" s="174">
        <v>80111600</v>
      </c>
      <c r="I11" s="175">
        <v>2</v>
      </c>
      <c r="J11" s="175">
        <v>11</v>
      </c>
      <c r="K11" s="176">
        <v>0</v>
      </c>
      <c r="L11" s="177">
        <f>110000000-5500000</f>
        <v>104500000</v>
      </c>
      <c r="M11" s="172" t="s">
        <v>484</v>
      </c>
      <c r="N11" s="177" t="s">
        <v>113</v>
      </c>
      <c r="O11" s="173" t="s">
        <v>219</v>
      </c>
      <c r="P11" s="178" t="str">
        <f>IFERROR(VLOOKUP(C11,TD!$B$32:$F$36,2,0)," ")</f>
        <v>O230117</v>
      </c>
      <c r="Q11" s="178" t="str">
        <f>IFERROR(VLOOKUP(C11,TD!$B$32:$F$36,3,0)," ")</f>
        <v>4599</v>
      </c>
      <c r="R11" s="178">
        <f>IFERROR(VLOOKUP(C11,TD!$B$32:$F$36,4,0)," ")</f>
        <v>20240207</v>
      </c>
      <c r="S11" s="173" t="s">
        <v>185</v>
      </c>
      <c r="T11" s="178" t="str">
        <f>IFERROR(VLOOKUP(S11,TD!$J$33:$K$43,2,0)," ")</f>
        <v>Infraestructura física, mantenimiento y dotación (Sedes construidas, mantenidas reforzadas)</v>
      </c>
      <c r="U11" s="127" t="str">
        <f>CONCATENATE(S11,"-",T11)</f>
        <v>08-Infraestructura física, mantenimiento y dotación (Sedes construidas, mantenidas reforzadas)</v>
      </c>
      <c r="V11" s="173" t="s">
        <v>238</v>
      </c>
      <c r="W11" s="178" t="str">
        <f>IFERROR(VLOOKUP(V11,TD!$N$33:$O$45,2,0)," ")</f>
        <v>Sedes mantenidas</v>
      </c>
      <c r="X11" s="127" t="str">
        <f>CONCATENATE(V11,"_",W11)</f>
        <v>016_Sedes mantenidas</v>
      </c>
      <c r="Y11" s="127" t="str">
        <f>CONCATENATE(U11," ",X11)</f>
        <v>08-Infraestructura física, mantenimiento y dotación (Sedes construidas, mantenidas reforzadas) 016_Sedes mantenidas</v>
      </c>
      <c r="Z11" s="178" t="str">
        <f>CONCATENATE(P11,Q11,R11,S11,V11)</f>
        <v>O23011745992024020708016</v>
      </c>
      <c r="AA11" s="178" t="str">
        <f>IFERROR(VLOOKUP(Y11,TD!$K$46:$L$64,2,0)," ")</f>
        <v>PM/0131/0108/45990160207</v>
      </c>
      <c r="AB11" s="177" t="s">
        <v>120</v>
      </c>
      <c r="AC11" s="179" t="s">
        <v>204</v>
      </c>
    </row>
    <row r="12" spans="2:29" s="28" customFormat="1" ht="74.25" customHeight="1" x14ac:dyDescent="0.35">
      <c r="B12" s="170">
        <v>20250007</v>
      </c>
      <c r="C12" s="171" t="s">
        <v>208</v>
      </c>
      <c r="D12" s="172" t="s">
        <v>164</v>
      </c>
      <c r="E12" s="173" t="s">
        <v>392</v>
      </c>
      <c r="F12" s="172" t="s">
        <v>827</v>
      </c>
      <c r="G12" s="172" t="s">
        <v>155</v>
      </c>
      <c r="H12" s="174">
        <v>80111600</v>
      </c>
      <c r="I12" s="175">
        <v>2</v>
      </c>
      <c r="J12" s="175">
        <v>11</v>
      </c>
      <c r="K12" s="176">
        <v>0</v>
      </c>
      <c r="L12" s="177">
        <v>110000000</v>
      </c>
      <c r="M12" s="172" t="s">
        <v>484</v>
      </c>
      <c r="N12" s="177" t="s">
        <v>113</v>
      </c>
      <c r="O12" s="173" t="s">
        <v>219</v>
      </c>
      <c r="P12" s="178" t="str">
        <f>IFERROR(VLOOKUP(C12,TD!$B$32:$F$36,2,0)," ")</f>
        <v>O230117</v>
      </c>
      <c r="Q12" s="178" t="str">
        <f>IFERROR(VLOOKUP(C12,TD!$B$32:$F$36,3,0)," ")</f>
        <v>4599</v>
      </c>
      <c r="R12" s="178">
        <f>IFERROR(VLOOKUP(C12,TD!$B$32:$F$36,4,0)," ")</f>
        <v>20240207</v>
      </c>
      <c r="S12" s="173" t="s">
        <v>185</v>
      </c>
      <c r="T12" s="178" t="str">
        <f>IFERROR(VLOOKUP(S12,TD!$J$33:$K$43,2,0)," ")</f>
        <v>Infraestructura física, mantenimiento y dotación (Sedes construidas, mantenidas reforzadas)</v>
      </c>
      <c r="U12" s="127" t="str">
        <f>CONCATENATE(S12,"-",T12)</f>
        <v>08-Infraestructura física, mantenimiento y dotación (Sedes construidas, mantenidas reforzadas)</v>
      </c>
      <c r="V12" s="173" t="s">
        <v>238</v>
      </c>
      <c r="W12" s="178" t="str">
        <f>IFERROR(VLOOKUP(V12,TD!$N$33:$O$45,2,0)," ")</f>
        <v>Sedes mantenidas</v>
      </c>
      <c r="X12" s="127" t="str">
        <f>CONCATENATE(V12,"_",W12)</f>
        <v>016_Sedes mantenidas</v>
      </c>
      <c r="Y12" s="127" t="str">
        <f>CONCATENATE(U12," ",X12)</f>
        <v>08-Infraestructura física, mantenimiento y dotación (Sedes construidas, mantenidas reforzadas) 016_Sedes mantenidas</v>
      </c>
      <c r="Z12" s="178" t="str">
        <f>CONCATENATE(P12,Q12,R12,S12,V12)</f>
        <v>O23011745992024020708016</v>
      </c>
      <c r="AA12" s="178" t="str">
        <f>IFERROR(VLOOKUP(Y12,TD!$K$46:$L$64,2,0)," ")</f>
        <v>PM/0131/0108/45990160207</v>
      </c>
      <c r="AB12" s="177" t="s">
        <v>120</v>
      </c>
      <c r="AC12" s="179" t="s">
        <v>204</v>
      </c>
    </row>
    <row r="13" spans="2:29" s="28" customFormat="1" ht="74.25" customHeight="1" x14ac:dyDescent="0.35">
      <c r="B13" s="170">
        <v>20250010</v>
      </c>
      <c r="C13" s="171" t="s">
        <v>208</v>
      </c>
      <c r="D13" s="172" t="s">
        <v>164</v>
      </c>
      <c r="E13" s="173" t="s">
        <v>392</v>
      </c>
      <c r="F13" s="172" t="s">
        <v>476</v>
      </c>
      <c r="G13" s="172" t="s">
        <v>155</v>
      </c>
      <c r="H13" s="174">
        <v>80111600</v>
      </c>
      <c r="I13" s="175">
        <v>2</v>
      </c>
      <c r="J13" s="175">
        <v>11</v>
      </c>
      <c r="K13" s="176">
        <v>0</v>
      </c>
      <c r="L13" s="177">
        <f>61300000-9050000</f>
        <v>52250000</v>
      </c>
      <c r="M13" s="172" t="s">
        <v>484</v>
      </c>
      <c r="N13" s="177" t="s">
        <v>113</v>
      </c>
      <c r="O13" s="173" t="s">
        <v>219</v>
      </c>
      <c r="P13" s="178" t="str">
        <f>IFERROR(VLOOKUP(C13,TD!$B$32:$F$36,2,0)," ")</f>
        <v>O230117</v>
      </c>
      <c r="Q13" s="178" t="str">
        <f>IFERROR(VLOOKUP(C13,TD!$B$32:$F$36,3,0)," ")</f>
        <v>4599</v>
      </c>
      <c r="R13" s="178">
        <f>IFERROR(VLOOKUP(C13,TD!$B$32:$F$36,4,0)," ")</f>
        <v>20240207</v>
      </c>
      <c r="S13" s="173" t="s">
        <v>185</v>
      </c>
      <c r="T13" s="178" t="str">
        <f>IFERROR(VLOOKUP(S13,TD!$J$33:$K$43,2,0)," ")</f>
        <v>Infraestructura física, mantenimiento y dotación (Sedes construidas, mantenidas reforzadas)</v>
      </c>
      <c r="U13" s="127" t="str">
        <f>CONCATENATE(S13,"-",T13)</f>
        <v>08-Infraestructura física, mantenimiento y dotación (Sedes construidas, mantenidas reforzadas)</v>
      </c>
      <c r="V13" s="173" t="s">
        <v>238</v>
      </c>
      <c r="W13" s="178" t="str">
        <f>IFERROR(VLOOKUP(V13,TD!$N$33:$O$45,2,0)," ")</f>
        <v>Sedes mantenidas</v>
      </c>
      <c r="X13" s="127" t="str">
        <f>CONCATENATE(V13,"_",W13)</f>
        <v>016_Sedes mantenidas</v>
      </c>
      <c r="Y13" s="127" t="str">
        <f>CONCATENATE(U13," ",X13)</f>
        <v>08-Infraestructura física, mantenimiento y dotación (Sedes construidas, mantenidas reforzadas) 016_Sedes mantenidas</v>
      </c>
      <c r="Z13" s="178" t="str">
        <f>CONCATENATE(P13,Q13,R13,S13,V13)</f>
        <v>O23011745992024020708016</v>
      </c>
      <c r="AA13" s="178" t="str">
        <f>IFERROR(VLOOKUP(Y13,TD!$K$46:$L$64,2,0)," ")</f>
        <v>PM/0131/0108/45990160207</v>
      </c>
      <c r="AB13" s="177" t="s">
        <v>138</v>
      </c>
      <c r="AC13" s="179" t="s">
        <v>204</v>
      </c>
    </row>
    <row r="14" spans="2:29" s="28" customFormat="1" ht="74.25" customHeight="1" x14ac:dyDescent="0.35">
      <c r="B14" s="170">
        <v>20250011</v>
      </c>
      <c r="C14" s="171" t="s">
        <v>208</v>
      </c>
      <c r="D14" s="172" t="s">
        <v>164</v>
      </c>
      <c r="E14" s="173" t="s">
        <v>392</v>
      </c>
      <c r="F14" s="172" t="s">
        <v>477</v>
      </c>
      <c r="G14" s="172" t="s">
        <v>155</v>
      </c>
      <c r="H14" s="174">
        <v>80111600</v>
      </c>
      <c r="I14" s="175">
        <v>2</v>
      </c>
      <c r="J14" s="175">
        <v>11</v>
      </c>
      <c r="K14" s="176">
        <v>0</v>
      </c>
      <c r="L14" s="177">
        <f>121000000-11000000</f>
        <v>110000000</v>
      </c>
      <c r="M14" s="172" t="s">
        <v>484</v>
      </c>
      <c r="N14" s="177" t="s">
        <v>113</v>
      </c>
      <c r="O14" s="173" t="s">
        <v>219</v>
      </c>
      <c r="P14" s="178" t="str">
        <f>IFERROR(VLOOKUP(C14,TD!$B$32:$F$36,2,0)," ")</f>
        <v>O230117</v>
      </c>
      <c r="Q14" s="178" t="str">
        <f>IFERROR(VLOOKUP(C14,TD!$B$32:$F$36,3,0)," ")</f>
        <v>4599</v>
      </c>
      <c r="R14" s="178">
        <f>IFERROR(VLOOKUP(C14,TD!$B$32:$F$36,4,0)," ")</f>
        <v>20240207</v>
      </c>
      <c r="S14" s="173" t="s">
        <v>185</v>
      </c>
      <c r="T14" s="178" t="str">
        <f>IFERROR(VLOOKUP(S14,TD!$J$33:$K$43,2,0)," ")</f>
        <v>Infraestructura física, mantenimiento y dotación (Sedes construidas, mantenidas reforzadas)</v>
      </c>
      <c r="U14" s="127" t="str">
        <f>CONCATENATE(S14,"-",T14)</f>
        <v>08-Infraestructura física, mantenimiento y dotación (Sedes construidas, mantenidas reforzadas)</v>
      </c>
      <c r="V14" s="173" t="s">
        <v>238</v>
      </c>
      <c r="W14" s="178" t="str">
        <f>IFERROR(VLOOKUP(V14,TD!$N$33:$O$45,2,0)," ")</f>
        <v>Sedes mantenidas</v>
      </c>
      <c r="X14" s="127" t="str">
        <f>CONCATENATE(V14,"_",W14)</f>
        <v>016_Sedes mantenidas</v>
      </c>
      <c r="Y14" s="127" t="str">
        <f>CONCATENATE(U14," ",X14)</f>
        <v>08-Infraestructura física, mantenimiento y dotación (Sedes construidas, mantenidas reforzadas) 016_Sedes mantenidas</v>
      </c>
      <c r="Z14" s="178" t="str">
        <f>CONCATENATE(P14,Q14,R14,S14,V14)</f>
        <v>O23011745992024020708016</v>
      </c>
      <c r="AA14" s="178" t="str">
        <f>IFERROR(VLOOKUP(Y14,TD!$K$46:$L$64,2,0)," ")</f>
        <v>PM/0131/0108/45990160207</v>
      </c>
      <c r="AB14" s="177" t="s">
        <v>120</v>
      </c>
      <c r="AC14" s="179" t="s">
        <v>204</v>
      </c>
    </row>
    <row r="15" spans="2:29" s="28" customFormat="1" ht="74.25" customHeight="1" x14ac:dyDescent="0.35">
      <c r="B15" s="170">
        <v>20250012</v>
      </c>
      <c r="C15" s="171" t="s">
        <v>208</v>
      </c>
      <c r="D15" s="172" t="s">
        <v>164</v>
      </c>
      <c r="E15" s="173" t="s">
        <v>392</v>
      </c>
      <c r="F15" s="172" t="s">
        <v>828</v>
      </c>
      <c r="G15" s="172" t="s">
        <v>155</v>
      </c>
      <c r="H15" s="174">
        <v>80111600</v>
      </c>
      <c r="I15" s="175">
        <v>2</v>
      </c>
      <c r="J15" s="175">
        <v>11</v>
      </c>
      <c r="K15" s="176">
        <v>0</v>
      </c>
      <c r="L15" s="177">
        <f>93500000-11000000</f>
        <v>82500000</v>
      </c>
      <c r="M15" s="172" t="s">
        <v>484</v>
      </c>
      <c r="N15" s="177" t="s">
        <v>113</v>
      </c>
      <c r="O15" s="173" t="s">
        <v>219</v>
      </c>
      <c r="P15" s="178" t="str">
        <f>IFERROR(VLOOKUP(C15,TD!$B$32:$F$36,2,0)," ")</f>
        <v>O230117</v>
      </c>
      <c r="Q15" s="178" t="str">
        <f>IFERROR(VLOOKUP(C15,TD!$B$32:$F$36,3,0)," ")</f>
        <v>4599</v>
      </c>
      <c r="R15" s="178">
        <f>IFERROR(VLOOKUP(C15,TD!$B$32:$F$36,4,0)," ")</f>
        <v>20240207</v>
      </c>
      <c r="S15" s="173" t="s">
        <v>185</v>
      </c>
      <c r="T15" s="178" t="str">
        <f>IFERROR(VLOOKUP(S15,TD!$J$33:$K$43,2,0)," ")</f>
        <v>Infraestructura física, mantenimiento y dotación (Sedes construidas, mantenidas reforzadas)</v>
      </c>
      <c r="U15" s="127" t="str">
        <f>CONCATENATE(S15,"-",T15)</f>
        <v>08-Infraestructura física, mantenimiento y dotación (Sedes construidas, mantenidas reforzadas)</v>
      </c>
      <c r="V15" s="173" t="s">
        <v>238</v>
      </c>
      <c r="W15" s="178" t="str">
        <f>IFERROR(VLOOKUP(V15,TD!$N$33:$O$45,2,0)," ")</f>
        <v>Sedes mantenidas</v>
      </c>
      <c r="X15" s="127" t="str">
        <f>CONCATENATE(V15,"_",W15)</f>
        <v>016_Sedes mantenidas</v>
      </c>
      <c r="Y15" s="127" t="str">
        <f>CONCATENATE(U15," ",X15)</f>
        <v>08-Infraestructura física, mantenimiento y dotación (Sedes construidas, mantenidas reforzadas) 016_Sedes mantenidas</v>
      </c>
      <c r="Z15" s="178" t="str">
        <f>CONCATENATE(P15,Q15,R15,S15,V15)</f>
        <v>O23011745992024020708016</v>
      </c>
      <c r="AA15" s="178" t="str">
        <f>IFERROR(VLOOKUP(Y15,TD!$K$46:$L$64,2,0)," ")</f>
        <v>PM/0131/0108/45990160207</v>
      </c>
      <c r="AB15" s="177" t="s">
        <v>120</v>
      </c>
      <c r="AC15" s="179" t="s">
        <v>204</v>
      </c>
    </row>
    <row r="16" spans="2:29" s="28" customFormat="1" ht="74.25" customHeight="1" x14ac:dyDescent="0.35">
      <c r="B16" s="170">
        <v>20250013</v>
      </c>
      <c r="C16" s="171" t="s">
        <v>208</v>
      </c>
      <c r="D16" s="172" t="s">
        <v>164</v>
      </c>
      <c r="E16" s="173" t="s">
        <v>392</v>
      </c>
      <c r="F16" s="172" t="s">
        <v>828</v>
      </c>
      <c r="G16" s="172" t="s">
        <v>155</v>
      </c>
      <c r="H16" s="174">
        <v>80111600</v>
      </c>
      <c r="I16" s="175">
        <v>2</v>
      </c>
      <c r="J16" s="175">
        <v>11</v>
      </c>
      <c r="K16" s="176">
        <v>0</v>
      </c>
      <c r="L16" s="177">
        <f>93500000-5500000</f>
        <v>88000000</v>
      </c>
      <c r="M16" s="172" t="s">
        <v>484</v>
      </c>
      <c r="N16" s="177" t="s">
        <v>113</v>
      </c>
      <c r="O16" s="173" t="s">
        <v>219</v>
      </c>
      <c r="P16" s="178" t="str">
        <f>IFERROR(VLOOKUP(C16,TD!$B$32:$F$36,2,0)," ")</f>
        <v>O230117</v>
      </c>
      <c r="Q16" s="178" t="str">
        <f>IFERROR(VLOOKUP(C16,TD!$B$32:$F$36,3,0)," ")</f>
        <v>4599</v>
      </c>
      <c r="R16" s="178">
        <f>IFERROR(VLOOKUP(C16,TD!$B$32:$F$36,4,0)," ")</f>
        <v>20240207</v>
      </c>
      <c r="S16" s="173" t="s">
        <v>185</v>
      </c>
      <c r="T16" s="178" t="str">
        <f>IFERROR(VLOOKUP(S16,TD!$J$33:$K$43,2,0)," ")</f>
        <v>Infraestructura física, mantenimiento y dotación (Sedes construidas, mantenidas reforzadas)</v>
      </c>
      <c r="U16" s="127" t="str">
        <f>CONCATENATE(S16,"-",T16)</f>
        <v>08-Infraestructura física, mantenimiento y dotación (Sedes construidas, mantenidas reforzadas)</v>
      </c>
      <c r="V16" s="173" t="s">
        <v>238</v>
      </c>
      <c r="W16" s="178" t="str">
        <f>IFERROR(VLOOKUP(V16,TD!$N$33:$O$45,2,0)," ")</f>
        <v>Sedes mantenidas</v>
      </c>
      <c r="X16" s="127" t="str">
        <f>CONCATENATE(V16,"_",W16)</f>
        <v>016_Sedes mantenidas</v>
      </c>
      <c r="Y16" s="127" t="str">
        <f>CONCATENATE(U16," ",X16)</f>
        <v>08-Infraestructura física, mantenimiento y dotación (Sedes construidas, mantenidas reforzadas) 016_Sedes mantenidas</v>
      </c>
      <c r="Z16" s="178" t="str">
        <f>CONCATENATE(P16,Q16,R16,S16,V16)</f>
        <v>O23011745992024020708016</v>
      </c>
      <c r="AA16" s="178" t="str">
        <f>IFERROR(VLOOKUP(Y16,TD!$K$46:$L$64,2,0)," ")</f>
        <v>PM/0131/0108/45990160207</v>
      </c>
      <c r="AB16" s="177" t="s">
        <v>120</v>
      </c>
      <c r="AC16" s="179" t="s">
        <v>204</v>
      </c>
    </row>
    <row r="17" spans="2:29" s="28" customFormat="1" ht="74.25" customHeight="1" x14ac:dyDescent="0.35">
      <c r="B17" s="170">
        <v>20250014</v>
      </c>
      <c r="C17" s="171" t="s">
        <v>208</v>
      </c>
      <c r="D17" s="172" t="s">
        <v>164</v>
      </c>
      <c r="E17" s="173" t="s">
        <v>392</v>
      </c>
      <c r="F17" s="172" t="s">
        <v>828</v>
      </c>
      <c r="G17" s="172" t="s">
        <v>155</v>
      </c>
      <c r="H17" s="174">
        <v>80111600</v>
      </c>
      <c r="I17" s="175">
        <v>2</v>
      </c>
      <c r="J17" s="175">
        <v>11</v>
      </c>
      <c r="K17" s="176">
        <v>0</v>
      </c>
      <c r="L17" s="177">
        <v>93500000</v>
      </c>
      <c r="M17" s="172" t="s">
        <v>484</v>
      </c>
      <c r="N17" s="177" t="s">
        <v>113</v>
      </c>
      <c r="O17" s="173" t="s">
        <v>219</v>
      </c>
      <c r="P17" s="178" t="str">
        <f>IFERROR(VLOOKUP(C17,TD!$B$32:$F$36,2,0)," ")</f>
        <v>O230117</v>
      </c>
      <c r="Q17" s="178" t="str">
        <f>IFERROR(VLOOKUP(C17,TD!$B$32:$F$36,3,0)," ")</f>
        <v>4599</v>
      </c>
      <c r="R17" s="178">
        <f>IFERROR(VLOOKUP(C17,TD!$B$32:$F$36,4,0)," ")</f>
        <v>20240207</v>
      </c>
      <c r="S17" s="173" t="s">
        <v>185</v>
      </c>
      <c r="T17" s="178" t="str">
        <f>IFERROR(VLOOKUP(S17,TD!$J$33:$K$43,2,0)," ")</f>
        <v>Infraestructura física, mantenimiento y dotación (Sedes construidas, mantenidas reforzadas)</v>
      </c>
      <c r="U17" s="127" t="str">
        <f>CONCATENATE(S17,"-",T17)</f>
        <v>08-Infraestructura física, mantenimiento y dotación (Sedes construidas, mantenidas reforzadas)</v>
      </c>
      <c r="V17" s="173" t="s">
        <v>238</v>
      </c>
      <c r="W17" s="178" t="str">
        <f>IFERROR(VLOOKUP(V17,TD!$N$33:$O$45,2,0)," ")</f>
        <v>Sedes mantenidas</v>
      </c>
      <c r="X17" s="127" t="str">
        <f>CONCATENATE(V17,"_",W17)</f>
        <v>016_Sedes mantenidas</v>
      </c>
      <c r="Y17" s="127" t="str">
        <f>CONCATENATE(U17," ",X17)</f>
        <v>08-Infraestructura física, mantenimiento y dotación (Sedes construidas, mantenidas reforzadas) 016_Sedes mantenidas</v>
      </c>
      <c r="Z17" s="178" t="str">
        <f>CONCATENATE(P17,Q17,R17,S17,V17)</f>
        <v>O23011745992024020708016</v>
      </c>
      <c r="AA17" s="178" t="str">
        <f>IFERROR(VLOOKUP(Y17,TD!$K$46:$L$64,2,0)," ")</f>
        <v>PM/0131/0108/45990160207</v>
      </c>
      <c r="AB17" s="177" t="s">
        <v>120</v>
      </c>
      <c r="AC17" s="179" t="s">
        <v>204</v>
      </c>
    </row>
    <row r="18" spans="2:29" s="28" customFormat="1" ht="74.25" customHeight="1" x14ac:dyDescent="0.35">
      <c r="B18" s="170">
        <v>20250015</v>
      </c>
      <c r="C18" s="171" t="s">
        <v>208</v>
      </c>
      <c r="D18" s="172" t="s">
        <v>164</v>
      </c>
      <c r="E18" s="173" t="s">
        <v>392</v>
      </c>
      <c r="F18" s="172" t="s">
        <v>829</v>
      </c>
      <c r="G18" s="172" t="s">
        <v>155</v>
      </c>
      <c r="H18" s="174">
        <v>80111600</v>
      </c>
      <c r="I18" s="175">
        <v>2</v>
      </c>
      <c r="J18" s="175">
        <v>11</v>
      </c>
      <c r="K18" s="176">
        <v>0</v>
      </c>
      <c r="L18" s="177">
        <f>82500000-5500000</f>
        <v>77000000</v>
      </c>
      <c r="M18" s="172" t="s">
        <v>484</v>
      </c>
      <c r="N18" s="177" t="s">
        <v>113</v>
      </c>
      <c r="O18" s="173" t="s">
        <v>219</v>
      </c>
      <c r="P18" s="178" t="str">
        <f>IFERROR(VLOOKUP(C18,TD!$B$32:$F$36,2,0)," ")</f>
        <v>O230117</v>
      </c>
      <c r="Q18" s="178" t="str">
        <f>IFERROR(VLOOKUP(C18,TD!$B$32:$F$36,3,0)," ")</f>
        <v>4599</v>
      </c>
      <c r="R18" s="178">
        <f>IFERROR(VLOOKUP(C18,TD!$B$32:$F$36,4,0)," ")</f>
        <v>20240207</v>
      </c>
      <c r="S18" s="173" t="s">
        <v>185</v>
      </c>
      <c r="T18" s="178" t="str">
        <f>IFERROR(VLOOKUP(S18,TD!$J$33:$K$43,2,0)," ")</f>
        <v>Infraestructura física, mantenimiento y dotación (Sedes construidas, mantenidas reforzadas)</v>
      </c>
      <c r="U18" s="127" t="str">
        <f>CONCATENATE(S18,"-",T18)</f>
        <v>08-Infraestructura física, mantenimiento y dotación (Sedes construidas, mantenidas reforzadas)</v>
      </c>
      <c r="V18" s="173" t="s">
        <v>238</v>
      </c>
      <c r="W18" s="178" t="str">
        <f>IFERROR(VLOOKUP(V18,TD!$N$33:$O$45,2,0)," ")</f>
        <v>Sedes mantenidas</v>
      </c>
      <c r="X18" s="127" t="str">
        <f>CONCATENATE(V18,"_",W18)</f>
        <v>016_Sedes mantenidas</v>
      </c>
      <c r="Y18" s="127" t="str">
        <f>CONCATENATE(U18," ",X18)</f>
        <v>08-Infraestructura física, mantenimiento y dotación (Sedes construidas, mantenidas reforzadas) 016_Sedes mantenidas</v>
      </c>
      <c r="Z18" s="178" t="str">
        <f>CONCATENATE(P18,Q18,R18,S18,V18)</f>
        <v>O23011745992024020708016</v>
      </c>
      <c r="AA18" s="178" t="str">
        <f>IFERROR(VLOOKUP(Y18,TD!$K$46:$L$64,2,0)," ")</f>
        <v>PM/0131/0108/45990160207</v>
      </c>
      <c r="AB18" s="177" t="s">
        <v>120</v>
      </c>
      <c r="AC18" s="179" t="s">
        <v>204</v>
      </c>
    </row>
    <row r="19" spans="2:29" s="28" customFormat="1" ht="74.25" customHeight="1" x14ac:dyDescent="0.35">
      <c r="B19" s="170">
        <v>20250016</v>
      </c>
      <c r="C19" s="171" t="s">
        <v>208</v>
      </c>
      <c r="D19" s="172" t="s">
        <v>164</v>
      </c>
      <c r="E19" s="173" t="s">
        <v>392</v>
      </c>
      <c r="F19" s="172" t="s">
        <v>828</v>
      </c>
      <c r="G19" s="172" t="s">
        <v>155</v>
      </c>
      <c r="H19" s="174">
        <v>80111600</v>
      </c>
      <c r="I19" s="175">
        <v>2</v>
      </c>
      <c r="J19" s="175">
        <v>11</v>
      </c>
      <c r="K19" s="176">
        <v>0</v>
      </c>
      <c r="L19" s="177">
        <f>82500000-11000000</f>
        <v>71500000</v>
      </c>
      <c r="M19" s="172" t="s">
        <v>484</v>
      </c>
      <c r="N19" s="177" t="s">
        <v>113</v>
      </c>
      <c r="O19" s="173" t="s">
        <v>219</v>
      </c>
      <c r="P19" s="178" t="str">
        <f>IFERROR(VLOOKUP(C19,TD!$B$32:$F$36,2,0)," ")</f>
        <v>O230117</v>
      </c>
      <c r="Q19" s="178" t="str">
        <f>IFERROR(VLOOKUP(C19,TD!$B$32:$F$36,3,0)," ")</f>
        <v>4599</v>
      </c>
      <c r="R19" s="178">
        <f>IFERROR(VLOOKUP(C19,TD!$B$32:$F$36,4,0)," ")</f>
        <v>20240207</v>
      </c>
      <c r="S19" s="173" t="s">
        <v>185</v>
      </c>
      <c r="T19" s="178" t="str">
        <f>IFERROR(VLOOKUP(S19,TD!$J$33:$K$43,2,0)," ")</f>
        <v>Infraestructura física, mantenimiento y dotación (Sedes construidas, mantenidas reforzadas)</v>
      </c>
      <c r="U19" s="127" t="str">
        <f>CONCATENATE(S19,"-",T19)</f>
        <v>08-Infraestructura física, mantenimiento y dotación (Sedes construidas, mantenidas reforzadas)</v>
      </c>
      <c r="V19" s="173" t="s">
        <v>238</v>
      </c>
      <c r="W19" s="178" t="str">
        <f>IFERROR(VLOOKUP(V19,TD!$N$33:$O$45,2,0)," ")</f>
        <v>Sedes mantenidas</v>
      </c>
      <c r="X19" s="127" t="str">
        <f>CONCATENATE(V19,"_",W19)</f>
        <v>016_Sedes mantenidas</v>
      </c>
      <c r="Y19" s="127" t="str">
        <f>CONCATENATE(U19," ",X19)</f>
        <v>08-Infraestructura física, mantenimiento y dotación (Sedes construidas, mantenidas reforzadas) 016_Sedes mantenidas</v>
      </c>
      <c r="Z19" s="178" t="str">
        <f>CONCATENATE(P19,Q19,R19,S19,V19)</f>
        <v>O23011745992024020708016</v>
      </c>
      <c r="AA19" s="178" t="str">
        <f>IFERROR(VLOOKUP(Y19,TD!$K$46:$L$64,2,0)," ")</f>
        <v>PM/0131/0108/45990160207</v>
      </c>
      <c r="AB19" s="177" t="s">
        <v>120</v>
      </c>
      <c r="AC19" s="179" t="s">
        <v>204</v>
      </c>
    </row>
    <row r="20" spans="2:29" s="28" customFormat="1" ht="74.25" customHeight="1" x14ac:dyDescent="0.35">
      <c r="B20" s="170">
        <v>20250017</v>
      </c>
      <c r="C20" s="171" t="s">
        <v>208</v>
      </c>
      <c r="D20" s="172" t="s">
        <v>164</v>
      </c>
      <c r="E20" s="173" t="s">
        <v>392</v>
      </c>
      <c r="F20" s="172" t="s">
        <v>828</v>
      </c>
      <c r="G20" s="172" t="s">
        <v>155</v>
      </c>
      <c r="H20" s="174">
        <v>80111600</v>
      </c>
      <c r="I20" s="175">
        <v>2</v>
      </c>
      <c r="J20" s="175">
        <v>11</v>
      </c>
      <c r="K20" s="176">
        <v>0</v>
      </c>
      <c r="L20" s="177">
        <v>82500000</v>
      </c>
      <c r="M20" s="172" t="s">
        <v>484</v>
      </c>
      <c r="N20" s="177" t="s">
        <v>113</v>
      </c>
      <c r="O20" s="173" t="s">
        <v>219</v>
      </c>
      <c r="P20" s="178" t="str">
        <f>IFERROR(VLOOKUP(C20,TD!$B$32:$F$36,2,0)," ")</f>
        <v>O230117</v>
      </c>
      <c r="Q20" s="178" t="str">
        <f>IFERROR(VLOOKUP(C20,TD!$B$32:$F$36,3,0)," ")</f>
        <v>4599</v>
      </c>
      <c r="R20" s="178">
        <f>IFERROR(VLOOKUP(C20,TD!$B$32:$F$36,4,0)," ")</f>
        <v>20240207</v>
      </c>
      <c r="S20" s="173" t="s">
        <v>185</v>
      </c>
      <c r="T20" s="178" t="str">
        <f>IFERROR(VLOOKUP(S20,TD!$J$33:$K$43,2,0)," ")</f>
        <v>Infraestructura física, mantenimiento y dotación (Sedes construidas, mantenidas reforzadas)</v>
      </c>
      <c r="U20" s="127" t="str">
        <f>CONCATENATE(S20,"-",T20)</f>
        <v>08-Infraestructura física, mantenimiento y dotación (Sedes construidas, mantenidas reforzadas)</v>
      </c>
      <c r="V20" s="173" t="s">
        <v>238</v>
      </c>
      <c r="W20" s="178" t="str">
        <f>IFERROR(VLOOKUP(V20,TD!$N$33:$O$45,2,0)," ")</f>
        <v>Sedes mantenidas</v>
      </c>
      <c r="X20" s="127" t="str">
        <f>CONCATENATE(V20,"_",W20)</f>
        <v>016_Sedes mantenidas</v>
      </c>
      <c r="Y20" s="127" t="str">
        <f>CONCATENATE(U20," ",X20)</f>
        <v>08-Infraestructura física, mantenimiento y dotación (Sedes construidas, mantenidas reforzadas) 016_Sedes mantenidas</v>
      </c>
      <c r="Z20" s="178" t="str">
        <f>CONCATENATE(P20,Q20,R20,S20,V20)</f>
        <v>O23011745992024020708016</v>
      </c>
      <c r="AA20" s="178" t="str">
        <f>IFERROR(VLOOKUP(Y20,TD!$K$46:$L$64,2,0)," ")</f>
        <v>PM/0131/0108/45990160207</v>
      </c>
      <c r="AB20" s="177" t="s">
        <v>120</v>
      </c>
      <c r="AC20" s="179" t="s">
        <v>204</v>
      </c>
    </row>
    <row r="21" spans="2:29" s="28" customFormat="1" ht="74.25" customHeight="1" x14ac:dyDescent="0.35">
      <c r="B21" s="170">
        <v>20250018</v>
      </c>
      <c r="C21" s="171" t="s">
        <v>208</v>
      </c>
      <c r="D21" s="172" t="s">
        <v>164</v>
      </c>
      <c r="E21" s="173" t="s">
        <v>392</v>
      </c>
      <c r="F21" s="172" t="s">
        <v>828</v>
      </c>
      <c r="G21" s="172" t="s">
        <v>155</v>
      </c>
      <c r="H21" s="174">
        <v>80111600</v>
      </c>
      <c r="I21" s="175">
        <v>2</v>
      </c>
      <c r="J21" s="175">
        <v>11</v>
      </c>
      <c r="K21" s="176">
        <v>0</v>
      </c>
      <c r="L21" s="177">
        <f>82500000-24800000</f>
        <v>57700000</v>
      </c>
      <c r="M21" s="172" t="s">
        <v>484</v>
      </c>
      <c r="N21" s="177" t="s">
        <v>113</v>
      </c>
      <c r="O21" s="173" t="s">
        <v>219</v>
      </c>
      <c r="P21" s="178" t="str">
        <f>IFERROR(VLOOKUP(C21,TD!$B$32:$F$36,2,0)," ")</f>
        <v>O230117</v>
      </c>
      <c r="Q21" s="178" t="str">
        <f>IFERROR(VLOOKUP(C21,TD!$B$32:$F$36,3,0)," ")</f>
        <v>4599</v>
      </c>
      <c r="R21" s="178">
        <f>IFERROR(VLOOKUP(C21,TD!$B$32:$F$36,4,0)," ")</f>
        <v>20240207</v>
      </c>
      <c r="S21" s="173" t="s">
        <v>185</v>
      </c>
      <c r="T21" s="178" t="str">
        <f>IFERROR(VLOOKUP(S21,TD!$J$33:$K$43,2,0)," ")</f>
        <v>Infraestructura física, mantenimiento y dotación (Sedes construidas, mantenidas reforzadas)</v>
      </c>
      <c r="U21" s="127" t="str">
        <f>CONCATENATE(S21,"-",T21)</f>
        <v>08-Infraestructura física, mantenimiento y dotación (Sedes construidas, mantenidas reforzadas)</v>
      </c>
      <c r="V21" s="173" t="s">
        <v>238</v>
      </c>
      <c r="W21" s="178" t="str">
        <f>IFERROR(VLOOKUP(V21,TD!$N$33:$O$45,2,0)," ")</f>
        <v>Sedes mantenidas</v>
      </c>
      <c r="X21" s="127" t="str">
        <f>CONCATENATE(V21,"_",W21)</f>
        <v>016_Sedes mantenidas</v>
      </c>
      <c r="Y21" s="127" t="str">
        <f>CONCATENATE(U21," ",X21)</f>
        <v>08-Infraestructura física, mantenimiento y dotación (Sedes construidas, mantenidas reforzadas) 016_Sedes mantenidas</v>
      </c>
      <c r="Z21" s="178" t="str">
        <f>CONCATENATE(P21,Q21,R21,S21,V21)</f>
        <v>O23011745992024020708016</v>
      </c>
      <c r="AA21" s="178" t="str">
        <f>IFERROR(VLOOKUP(Y21,TD!$K$46:$L$64,2,0)," ")</f>
        <v>PM/0131/0108/45990160207</v>
      </c>
      <c r="AB21" s="177" t="s">
        <v>120</v>
      </c>
      <c r="AC21" s="179" t="s">
        <v>204</v>
      </c>
    </row>
    <row r="22" spans="2:29" s="28" customFormat="1" ht="102" customHeight="1" x14ac:dyDescent="0.35">
      <c r="B22" s="170">
        <v>20250019</v>
      </c>
      <c r="C22" s="171" t="s">
        <v>208</v>
      </c>
      <c r="D22" s="172" t="s">
        <v>164</v>
      </c>
      <c r="E22" s="173" t="s">
        <v>392</v>
      </c>
      <c r="F22" s="172" t="s">
        <v>830</v>
      </c>
      <c r="G22" s="172" t="s">
        <v>156</v>
      </c>
      <c r="H22" s="174">
        <v>80111600</v>
      </c>
      <c r="I22" s="175">
        <v>2</v>
      </c>
      <c r="J22" s="175">
        <v>11</v>
      </c>
      <c r="K22" s="176">
        <v>0</v>
      </c>
      <c r="L22" s="177">
        <v>66000000</v>
      </c>
      <c r="M22" s="172" t="s">
        <v>484</v>
      </c>
      <c r="N22" s="177" t="s">
        <v>113</v>
      </c>
      <c r="O22" s="173" t="s">
        <v>219</v>
      </c>
      <c r="P22" s="178" t="str">
        <f>IFERROR(VLOOKUP(C22,TD!$B$32:$F$36,2,0)," ")</f>
        <v>O230117</v>
      </c>
      <c r="Q22" s="178" t="str">
        <f>IFERROR(VLOOKUP(C22,TD!$B$32:$F$36,3,0)," ")</f>
        <v>4599</v>
      </c>
      <c r="R22" s="178">
        <f>IFERROR(VLOOKUP(C22,TD!$B$32:$F$36,4,0)," ")</f>
        <v>20240207</v>
      </c>
      <c r="S22" s="173" t="s">
        <v>185</v>
      </c>
      <c r="T22" s="178" t="str">
        <f>IFERROR(VLOOKUP(S22,TD!$J$33:$K$43,2,0)," ")</f>
        <v>Infraestructura física, mantenimiento y dotación (Sedes construidas, mantenidas reforzadas)</v>
      </c>
      <c r="U22" s="127" t="str">
        <f>CONCATENATE(S22,"-",T22)</f>
        <v>08-Infraestructura física, mantenimiento y dotación (Sedes construidas, mantenidas reforzadas)</v>
      </c>
      <c r="V22" s="173" t="s">
        <v>238</v>
      </c>
      <c r="W22" s="178" t="str">
        <f>IFERROR(VLOOKUP(V22,TD!$N$33:$O$45,2,0)," ")</f>
        <v>Sedes mantenidas</v>
      </c>
      <c r="X22" s="127" t="str">
        <f>CONCATENATE(V22,"_",W22)</f>
        <v>016_Sedes mantenidas</v>
      </c>
      <c r="Y22" s="127" t="str">
        <f>CONCATENATE(U22," ",X22)</f>
        <v>08-Infraestructura física, mantenimiento y dotación (Sedes construidas, mantenidas reforzadas) 016_Sedes mantenidas</v>
      </c>
      <c r="Z22" s="178" t="str">
        <f>CONCATENATE(P22,Q22,R22,S22,V22)</f>
        <v>O23011745992024020708016</v>
      </c>
      <c r="AA22" s="178" t="str">
        <f>IFERROR(VLOOKUP(Y22,TD!$K$46:$L$64,2,0)," ")</f>
        <v>PM/0131/0108/45990160207</v>
      </c>
      <c r="AB22" s="177" t="s">
        <v>470</v>
      </c>
      <c r="AC22" s="179" t="s">
        <v>204</v>
      </c>
    </row>
    <row r="23" spans="2:29" s="28" customFormat="1" ht="97.5" customHeight="1" x14ac:dyDescent="0.35">
      <c r="B23" s="170">
        <v>20250020</v>
      </c>
      <c r="C23" s="171" t="s">
        <v>208</v>
      </c>
      <c r="D23" s="172" t="s">
        <v>164</v>
      </c>
      <c r="E23" s="173" t="s">
        <v>392</v>
      </c>
      <c r="F23" s="172" t="s">
        <v>830</v>
      </c>
      <c r="G23" s="172" t="s">
        <v>156</v>
      </c>
      <c r="H23" s="174">
        <v>80111600</v>
      </c>
      <c r="I23" s="175">
        <v>2</v>
      </c>
      <c r="J23" s="175">
        <v>11</v>
      </c>
      <c r="K23" s="176">
        <v>0</v>
      </c>
      <c r="L23" s="177">
        <v>66000000</v>
      </c>
      <c r="M23" s="172" t="s">
        <v>484</v>
      </c>
      <c r="N23" s="177" t="s">
        <v>113</v>
      </c>
      <c r="O23" s="173" t="s">
        <v>219</v>
      </c>
      <c r="P23" s="178" t="str">
        <f>IFERROR(VLOOKUP(C23,TD!$B$32:$F$36,2,0)," ")</f>
        <v>O230117</v>
      </c>
      <c r="Q23" s="178" t="str">
        <f>IFERROR(VLOOKUP(C23,TD!$B$32:$F$36,3,0)," ")</f>
        <v>4599</v>
      </c>
      <c r="R23" s="178">
        <f>IFERROR(VLOOKUP(C23,TD!$B$32:$F$36,4,0)," ")</f>
        <v>20240207</v>
      </c>
      <c r="S23" s="173" t="s">
        <v>185</v>
      </c>
      <c r="T23" s="178" t="str">
        <f>IFERROR(VLOOKUP(S23,TD!$J$33:$K$43,2,0)," ")</f>
        <v>Infraestructura física, mantenimiento y dotación (Sedes construidas, mantenidas reforzadas)</v>
      </c>
      <c r="U23" s="127" t="str">
        <f>CONCATENATE(S23,"-",T23)</f>
        <v>08-Infraestructura física, mantenimiento y dotación (Sedes construidas, mantenidas reforzadas)</v>
      </c>
      <c r="V23" s="173" t="s">
        <v>238</v>
      </c>
      <c r="W23" s="178" t="str">
        <f>IFERROR(VLOOKUP(V23,TD!$N$33:$O$45,2,0)," ")</f>
        <v>Sedes mantenidas</v>
      </c>
      <c r="X23" s="127" t="str">
        <f>CONCATENATE(V23,"_",W23)</f>
        <v>016_Sedes mantenidas</v>
      </c>
      <c r="Y23" s="127" t="str">
        <f>CONCATENATE(U23," ",X23)</f>
        <v>08-Infraestructura física, mantenimiento y dotación (Sedes construidas, mantenidas reforzadas) 016_Sedes mantenidas</v>
      </c>
      <c r="Z23" s="178" t="str">
        <f>CONCATENATE(P23,Q23,R23,S23,V23)</f>
        <v>O23011745992024020708016</v>
      </c>
      <c r="AA23" s="178" t="str">
        <f>IFERROR(VLOOKUP(Y23,TD!$K$46:$L$64,2,0)," ")</f>
        <v>PM/0131/0108/45990160207</v>
      </c>
      <c r="AB23" s="177" t="s">
        <v>470</v>
      </c>
      <c r="AC23" s="179" t="s">
        <v>204</v>
      </c>
    </row>
    <row r="24" spans="2:29" s="28" customFormat="1" ht="92.25" customHeight="1" x14ac:dyDescent="0.35">
      <c r="B24" s="170">
        <v>20250021</v>
      </c>
      <c r="C24" s="171" t="s">
        <v>208</v>
      </c>
      <c r="D24" s="172" t="s">
        <v>164</v>
      </c>
      <c r="E24" s="173" t="s">
        <v>392</v>
      </c>
      <c r="F24" s="172" t="s">
        <v>830</v>
      </c>
      <c r="G24" s="172" t="s">
        <v>156</v>
      </c>
      <c r="H24" s="174">
        <v>80111600</v>
      </c>
      <c r="I24" s="175">
        <v>2</v>
      </c>
      <c r="J24" s="175">
        <v>11</v>
      </c>
      <c r="K24" s="176">
        <v>0</v>
      </c>
      <c r="L24" s="177">
        <v>71500000</v>
      </c>
      <c r="M24" s="172" t="s">
        <v>484</v>
      </c>
      <c r="N24" s="177" t="s">
        <v>113</v>
      </c>
      <c r="O24" s="173" t="s">
        <v>219</v>
      </c>
      <c r="P24" s="178" t="str">
        <f>IFERROR(VLOOKUP(C24,TD!$B$32:$F$36,2,0)," ")</f>
        <v>O230117</v>
      </c>
      <c r="Q24" s="178" t="str">
        <f>IFERROR(VLOOKUP(C24,TD!$B$32:$F$36,3,0)," ")</f>
        <v>4599</v>
      </c>
      <c r="R24" s="178">
        <f>IFERROR(VLOOKUP(C24,TD!$B$32:$F$36,4,0)," ")</f>
        <v>20240207</v>
      </c>
      <c r="S24" s="173" t="s">
        <v>185</v>
      </c>
      <c r="T24" s="178" t="str">
        <f>IFERROR(VLOOKUP(S24,TD!$J$33:$K$43,2,0)," ")</f>
        <v>Infraestructura física, mantenimiento y dotación (Sedes construidas, mantenidas reforzadas)</v>
      </c>
      <c r="U24" s="127" t="str">
        <f>CONCATENATE(S24,"-",T24)</f>
        <v>08-Infraestructura física, mantenimiento y dotación (Sedes construidas, mantenidas reforzadas)</v>
      </c>
      <c r="V24" s="173" t="s">
        <v>238</v>
      </c>
      <c r="W24" s="178" t="str">
        <f>IFERROR(VLOOKUP(V24,TD!$N$33:$O$45,2,0)," ")</f>
        <v>Sedes mantenidas</v>
      </c>
      <c r="X24" s="127" t="str">
        <f>CONCATENATE(V24,"_",W24)</f>
        <v>016_Sedes mantenidas</v>
      </c>
      <c r="Y24" s="127" t="str">
        <f>CONCATENATE(U24," ",X24)</f>
        <v>08-Infraestructura física, mantenimiento y dotación (Sedes construidas, mantenidas reforzadas) 016_Sedes mantenidas</v>
      </c>
      <c r="Z24" s="178" t="str">
        <f>CONCATENATE(P24,Q24,R24,S24,V24)</f>
        <v>O23011745992024020708016</v>
      </c>
      <c r="AA24" s="178" t="str">
        <f>IFERROR(VLOOKUP(Y24,TD!$K$46:$L$64,2,0)," ")</f>
        <v>PM/0131/0108/45990160207</v>
      </c>
      <c r="AB24" s="177" t="s">
        <v>470</v>
      </c>
      <c r="AC24" s="179" t="s">
        <v>204</v>
      </c>
    </row>
    <row r="25" spans="2:29" s="28" customFormat="1" ht="93" customHeight="1" x14ac:dyDescent="0.35">
      <c r="B25" s="170">
        <v>20250022</v>
      </c>
      <c r="C25" s="171" t="s">
        <v>208</v>
      </c>
      <c r="D25" s="172" t="s">
        <v>164</v>
      </c>
      <c r="E25" s="173" t="s">
        <v>392</v>
      </c>
      <c r="F25" s="172" t="s">
        <v>830</v>
      </c>
      <c r="G25" s="172" t="s">
        <v>155</v>
      </c>
      <c r="H25" s="174">
        <v>80111600</v>
      </c>
      <c r="I25" s="175">
        <v>2</v>
      </c>
      <c r="J25" s="175">
        <v>11</v>
      </c>
      <c r="K25" s="176">
        <v>0</v>
      </c>
      <c r="L25" s="177">
        <v>71500000</v>
      </c>
      <c r="M25" s="172" t="s">
        <v>484</v>
      </c>
      <c r="N25" s="177" t="s">
        <v>113</v>
      </c>
      <c r="O25" s="173" t="s">
        <v>219</v>
      </c>
      <c r="P25" s="178" t="str">
        <f>IFERROR(VLOOKUP(C25,TD!$B$32:$F$36,2,0)," ")</f>
        <v>O230117</v>
      </c>
      <c r="Q25" s="178" t="str">
        <f>IFERROR(VLOOKUP(C25,TD!$B$32:$F$36,3,0)," ")</f>
        <v>4599</v>
      </c>
      <c r="R25" s="178">
        <f>IFERROR(VLOOKUP(C25,TD!$B$32:$F$36,4,0)," ")</f>
        <v>20240207</v>
      </c>
      <c r="S25" s="173" t="s">
        <v>185</v>
      </c>
      <c r="T25" s="178" t="str">
        <f>IFERROR(VLOOKUP(S25,TD!$J$33:$K$43,2,0)," ")</f>
        <v>Infraestructura física, mantenimiento y dotación (Sedes construidas, mantenidas reforzadas)</v>
      </c>
      <c r="U25" s="127" t="str">
        <f>CONCATENATE(S25,"-",T25)</f>
        <v>08-Infraestructura física, mantenimiento y dotación (Sedes construidas, mantenidas reforzadas)</v>
      </c>
      <c r="V25" s="173" t="s">
        <v>238</v>
      </c>
      <c r="W25" s="178" t="str">
        <f>IFERROR(VLOOKUP(V25,TD!$N$33:$O$45,2,0)," ")</f>
        <v>Sedes mantenidas</v>
      </c>
      <c r="X25" s="127" t="str">
        <f>CONCATENATE(V25,"_",W25)</f>
        <v>016_Sedes mantenidas</v>
      </c>
      <c r="Y25" s="127" t="str">
        <f>CONCATENATE(U25," ",X25)</f>
        <v>08-Infraestructura física, mantenimiento y dotación (Sedes construidas, mantenidas reforzadas) 016_Sedes mantenidas</v>
      </c>
      <c r="Z25" s="178" t="str">
        <f>CONCATENATE(P25,Q25,R25,S25,V25)</f>
        <v>O23011745992024020708016</v>
      </c>
      <c r="AA25" s="178" t="str">
        <f>IFERROR(VLOOKUP(Y25,TD!$K$46:$L$64,2,0)," ")</f>
        <v>PM/0131/0108/45990160207</v>
      </c>
      <c r="AB25" s="177" t="s">
        <v>470</v>
      </c>
      <c r="AC25" s="179" t="s">
        <v>204</v>
      </c>
    </row>
    <row r="26" spans="2:29" s="28" customFormat="1" ht="93" customHeight="1" x14ac:dyDescent="0.35">
      <c r="B26" s="170">
        <v>20250023</v>
      </c>
      <c r="C26" s="171" t="s">
        <v>208</v>
      </c>
      <c r="D26" s="172" t="s">
        <v>164</v>
      </c>
      <c r="E26" s="173" t="s">
        <v>392</v>
      </c>
      <c r="F26" s="172" t="s">
        <v>391</v>
      </c>
      <c r="G26" s="172" t="s">
        <v>155</v>
      </c>
      <c r="H26" s="174">
        <v>80111600</v>
      </c>
      <c r="I26" s="175">
        <v>2</v>
      </c>
      <c r="J26" s="175">
        <v>11</v>
      </c>
      <c r="K26" s="176">
        <v>0</v>
      </c>
      <c r="L26" s="177">
        <f>93500000-1650000</f>
        <v>91850000</v>
      </c>
      <c r="M26" s="172" t="s">
        <v>484</v>
      </c>
      <c r="N26" s="177" t="s">
        <v>113</v>
      </c>
      <c r="O26" s="173" t="s">
        <v>219</v>
      </c>
      <c r="P26" s="178" t="str">
        <f>IFERROR(VLOOKUP(C26,TD!$B$32:$F$36,2,0)," ")</f>
        <v>O230117</v>
      </c>
      <c r="Q26" s="178" t="str">
        <f>IFERROR(VLOOKUP(C26,TD!$B$32:$F$36,3,0)," ")</f>
        <v>4599</v>
      </c>
      <c r="R26" s="178">
        <f>IFERROR(VLOOKUP(C26,TD!$B$32:$F$36,4,0)," ")</f>
        <v>20240207</v>
      </c>
      <c r="S26" s="173" t="s">
        <v>185</v>
      </c>
      <c r="T26" s="178" t="str">
        <f>IFERROR(VLOOKUP(S26,TD!$J$33:$K$43,2,0)," ")</f>
        <v>Infraestructura física, mantenimiento y dotación (Sedes construidas, mantenidas reforzadas)</v>
      </c>
      <c r="U26" s="127" t="str">
        <f>CONCATENATE(S26,"-",T26)</f>
        <v>08-Infraestructura física, mantenimiento y dotación (Sedes construidas, mantenidas reforzadas)</v>
      </c>
      <c r="V26" s="173" t="s">
        <v>238</v>
      </c>
      <c r="W26" s="178" t="str">
        <f>IFERROR(VLOOKUP(V26,TD!$N$33:$O$45,2,0)," ")</f>
        <v>Sedes mantenidas</v>
      </c>
      <c r="X26" s="127" t="str">
        <f>CONCATENATE(V26,"_",W26)</f>
        <v>016_Sedes mantenidas</v>
      </c>
      <c r="Y26" s="127" t="str">
        <f>CONCATENATE(U26," ",X26)</f>
        <v>08-Infraestructura física, mantenimiento y dotación (Sedes construidas, mantenidas reforzadas) 016_Sedes mantenidas</v>
      </c>
      <c r="Z26" s="178" t="str">
        <f>CONCATENATE(P26,Q26,R26,S26,V26)</f>
        <v>O23011745992024020708016</v>
      </c>
      <c r="AA26" s="178" t="str">
        <f>IFERROR(VLOOKUP(Y26,TD!$K$46:$L$64,2,0)," ")</f>
        <v>PM/0131/0108/45990160207</v>
      </c>
      <c r="AB26" s="177" t="s">
        <v>138</v>
      </c>
      <c r="AC26" s="179" t="s">
        <v>204</v>
      </c>
    </row>
    <row r="27" spans="2:29" s="28" customFormat="1" ht="95.25" customHeight="1" x14ac:dyDescent="0.35">
      <c r="B27" s="170">
        <v>20250024</v>
      </c>
      <c r="C27" s="171" t="s">
        <v>208</v>
      </c>
      <c r="D27" s="172" t="s">
        <v>164</v>
      </c>
      <c r="E27" s="173" t="s">
        <v>392</v>
      </c>
      <c r="F27" s="172" t="s">
        <v>478</v>
      </c>
      <c r="G27" s="172" t="s">
        <v>155</v>
      </c>
      <c r="H27" s="174">
        <v>80111600</v>
      </c>
      <c r="I27" s="175">
        <v>2</v>
      </c>
      <c r="J27" s="175">
        <v>11</v>
      </c>
      <c r="K27" s="176">
        <v>0</v>
      </c>
      <c r="L27" s="196">
        <v>346500000</v>
      </c>
      <c r="M27" s="172" t="s">
        <v>484</v>
      </c>
      <c r="N27" s="177" t="s">
        <v>113</v>
      </c>
      <c r="O27" s="173" t="s">
        <v>219</v>
      </c>
      <c r="P27" s="178" t="str">
        <f>IFERROR(VLOOKUP(C27,TD!$B$32:$F$36,2,0)," ")</f>
        <v>O230117</v>
      </c>
      <c r="Q27" s="178" t="str">
        <f>IFERROR(VLOOKUP(C27,TD!$B$32:$F$36,3,0)," ")</f>
        <v>4599</v>
      </c>
      <c r="R27" s="178">
        <f>IFERROR(VLOOKUP(C27,TD!$B$32:$F$36,4,0)," ")</f>
        <v>20240207</v>
      </c>
      <c r="S27" s="173" t="s">
        <v>185</v>
      </c>
      <c r="T27" s="178" t="str">
        <f>IFERROR(VLOOKUP(S27,TD!$J$33:$K$43,2,0)," ")</f>
        <v>Infraestructura física, mantenimiento y dotación (Sedes construidas, mantenidas reforzadas)</v>
      </c>
      <c r="U27" s="127" t="str">
        <f>CONCATENATE(S27,"-",T27)</f>
        <v>08-Infraestructura física, mantenimiento y dotación (Sedes construidas, mantenidas reforzadas)</v>
      </c>
      <c r="V27" s="173" t="s">
        <v>238</v>
      </c>
      <c r="W27" s="178" t="str">
        <f>IFERROR(VLOOKUP(V27,TD!$N$33:$O$45,2,0)," ")</f>
        <v>Sedes mantenidas</v>
      </c>
      <c r="X27" s="127" t="str">
        <f>CONCATENATE(V27,"_",W27)</f>
        <v>016_Sedes mantenidas</v>
      </c>
      <c r="Y27" s="127" t="str">
        <f>CONCATENATE(U27," ",X27)</f>
        <v>08-Infraestructura física, mantenimiento y dotación (Sedes construidas, mantenidas reforzadas) 016_Sedes mantenidas</v>
      </c>
      <c r="Z27" s="178" t="str">
        <f>CONCATENATE(P27,Q27,R27,S27,V27)</f>
        <v>O23011745992024020708016</v>
      </c>
      <c r="AA27" s="178" t="str">
        <f>IFERROR(VLOOKUP(Y27,TD!$K$46:$L$64,2,0)," ")</f>
        <v>PM/0131/0108/45990160207</v>
      </c>
      <c r="AB27" s="177" t="s">
        <v>120</v>
      </c>
      <c r="AC27" s="179" t="s">
        <v>204</v>
      </c>
    </row>
    <row r="28" spans="2:29" s="28" customFormat="1" ht="94.5" customHeight="1" x14ac:dyDescent="0.35">
      <c r="B28" s="170">
        <v>20250025</v>
      </c>
      <c r="C28" s="171" t="s">
        <v>208</v>
      </c>
      <c r="D28" s="172" t="s">
        <v>164</v>
      </c>
      <c r="E28" s="173" t="s">
        <v>392</v>
      </c>
      <c r="F28" s="172" t="s">
        <v>831</v>
      </c>
      <c r="G28" s="172" t="s">
        <v>155</v>
      </c>
      <c r="H28" s="174">
        <v>80111600</v>
      </c>
      <c r="I28" s="175">
        <v>2</v>
      </c>
      <c r="J28" s="175">
        <v>11</v>
      </c>
      <c r="K28" s="176">
        <v>0</v>
      </c>
      <c r="L28" s="177">
        <f>55000000-2750000</f>
        <v>52250000</v>
      </c>
      <c r="M28" s="172" t="s">
        <v>484</v>
      </c>
      <c r="N28" s="177" t="s">
        <v>113</v>
      </c>
      <c r="O28" s="173" t="s">
        <v>219</v>
      </c>
      <c r="P28" s="178" t="str">
        <f>IFERROR(VLOOKUP(C28,TD!$B$32:$F$36,2,0)," ")</f>
        <v>O230117</v>
      </c>
      <c r="Q28" s="178" t="str">
        <f>IFERROR(VLOOKUP(C28,TD!$B$32:$F$36,3,0)," ")</f>
        <v>4599</v>
      </c>
      <c r="R28" s="178">
        <f>IFERROR(VLOOKUP(C28,TD!$B$32:$F$36,4,0)," ")</f>
        <v>20240207</v>
      </c>
      <c r="S28" s="173" t="s">
        <v>185</v>
      </c>
      <c r="T28" s="178" t="str">
        <f>IFERROR(VLOOKUP(S28,TD!$J$33:$K$43,2,0)," ")</f>
        <v>Infraestructura física, mantenimiento y dotación (Sedes construidas, mantenidas reforzadas)</v>
      </c>
      <c r="U28" s="127" t="str">
        <f>CONCATENATE(S28,"-",T28)</f>
        <v>08-Infraestructura física, mantenimiento y dotación (Sedes construidas, mantenidas reforzadas)</v>
      </c>
      <c r="V28" s="173" t="s">
        <v>238</v>
      </c>
      <c r="W28" s="178" t="str">
        <f>IFERROR(VLOOKUP(V28,TD!$N$33:$O$45,2,0)," ")</f>
        <v>Sedes mantenidas</v>
      </c>
      <c r="X28" s="127" t="str">
        <f>CONCATENATE(V28,"_",W28)</f>
        <v>016_Sedes mantenidas</v>
      </c>
      <c r="Y28" s="127" t="str">
        <f>CONCATENATE(U28," ",X28)</f>
        <v>08-Infraestructura física, mantenimiento y dotación (Sedes construidas, mantenidas reforzadas) 016_Sedes mantenidas</v>
      </c>
      <c r="Z28" s="178" t="str">
        <f>CONCATENATE(P28,Q28,R28,S28,V28)</f>
        <v>O23011745992024020708016</v>
      </c>
      <c r="AA28" s="178" t="str">
        <f>IFERROR(VLOOKUP(Y28,TD!$K$46:$L$64,2,0)," ")</f>
        <v>PM/0131/0108/45990160207</v>
      </c>
      <c r="AB28" s="177" t="s">
        <v>138</v>
      </c>
      <c r="AC28" s="179" t="s">
        <v>204</v>
      </c>
    </row>
    <row r="29" spans="2:29" s="28" customFormat="1" ht="74.25" customHeight="1" x14ac:dyDescent="0.35">
      <c r="B29" s="170">
        <v>20250029</v>
      </c>
      <c r="C29" s="171" t="s">
        <v>208</v>
      </c>
      <c r="D29" s="172" t="s">
        <v>164</v>
      </c>
      <c r="E29" s="173" t="s">
        <v>392</v>
      </c>
      <c r="F29" s="172" t="s">
        <v>832</v>
      </c>
      <c r="G29" s="172" t="s">
        <v>155</v>
      </c>
      <c r="H29" s="174">
        <v>80111600</v>
      </c>
      <c r="I29" s="175">
        <v>2</v>
      </c>
      <c r="J29" s="175">
        <v>11</v>
      </c>
      <c r="K29" s="176">
        <v>0</v>
      </c>
      <c r="L29" s="177">
        <v>71500000</v>
      </c>
      <c r="M29" s="172" t="s">
        <v>484</v>
      </c>
      <c r="N29" s="177" t="s">
        <v>113</v>
      </c>
      <c r="O29" s="173" t="s">
        <v>219</v>
      </c>
      <c r="P29" s="178" t="str">
        <f>IFERROR(VLOOKUP(C29,TD!$B$32:$F$36,2,0)," ")</f>
        <v>O230117</v>
      </c>
      <c r="Q29" s="178" t="str">
        <f>IFERROR(VLOOKUP(C29,TD!$B$32:$F$36,3,0)," ")</f>
        <v>4599</v>
      </c>
      <c r="R29" s="178">
        <f>IFERROR(VLOOKUP(C29,TD!$B$32:$F$36,4,0)," ")</f>
        <v>20240207</v>
      </c>
      <c r="S29" s="173" t="s">
        <v>185</v>
      </c>
      <c r="T29" s="178" t="str">
        <f>IFERROR(VLOOKUP(S29,TD!$J$33:$K$43,2,0)," ")</f>
        <v>Infraestructura física, mantenimiento y dotación (Sedes construidas, mantenidas reforzadas)</v>
      </c>
      <c r="U29" s="127" t="str">
        <f>CONCATENATE(S29,"-",T29)</f>
        <v>08-Infraestructura física, mantenimiento y dotación (Sedes construidas, mantenidas reforzadas)</v>
      </c>
      <c r="V29" s="173" t="s">
        <v>238</v>
      </c>
      <c r="W29" s="178" t="str">
        <f>IFERROR(VLOOKUP(V29,TD!$N$33:$O$45,2,0)," ")</f>
        <v>Sedes mantenidas</v>
      </c>
      <c r="X29" s="127" t="str">
        <f>CONCATENATE(V29,"_",W29)</f>
        <v>016_Sedes mantenidas</v>
      </c>
      <c r="Y29" s="127" t="str">
        <f>CONCATENATE(U29," ",X29)</f>
        <v>08-Infraestructura física, mantenimiento y dotación (Sedes construidas, mantenidas reforzadas) 016_Sedes mantenidas</v>
      </c>
      <c r="Z29" s="178" t="str">
        <f>CONCATENATE(P29,Q29,R29,S29,V29)</f>
        <v>O23011745992024020708016</v>
      </c>
      <c r="AA29" s="178" t="str">
        <f>IFERROR(VLOOKUP(Y29,TD!$K$46:$L$64,2,0)," ")</f>
        <v>PM/0131/0108/45990160207</v>
      </c>
      <c r="AB29" s="177" t="s">
        <v>138</v>
      </c>
      <c r="AC29" s="179" t="s">
        <v>204</v>
      </c>
    </row>
    <row r="30" spans="2:29" s="28" customFormat="1" ht="74.25" customHeight="1" x14ac:dyDescent="0.35">
      <c r="B30" s="170">
        <v>20250030</v>
      </c>
      <c r="C30" s="171" t="s">
        <v>208</v>
      </c>
      <c r="D30" s="172" t="s">
        <v>164</v>
      </c>
      <c r="E30" s="173" t="s">
        <v>392</v>
      </c>
      <c r="F30" s="172" t="s">
        <v>480</v>
      </c>
      <c r="G30" s="172" t="s">
        <v>155</v>
      </c>
      <c r="H30" s="174">
        <v>80111600</v>
      </c>
      <c r="I30" s="175">
        <v>2</v>
      </c>
      <c r="J30" s="175">
        <v>11</v>
      </c>
      <c r="K30" s="176">
        <v>0</v>
      </c>
      <c r="L30" s="177">
        <v>71500000</v>
      </c>
      <c r="M30" s="172" t="s">
        <v>484</v>
      </c>
      <c r="N30" s="177" t="s">
        <v>113</v>
      </c>
      <c r="O30" s="173" t="s">
        <v>219</v>
      </c>
      <c r="P30" s="178" t="str">
        <f>IFERROR(VLOOKUP(C30,TD!$B$32:$F$36,2,0)," ")</f>
        <v>O230117</v>
      </c>
      <c r="Q30" s="178" t="str">
        <f>IFERROR(VLOOKUP(C30,TD!$B$32:$F$36,3,0)," ")</f>
        <v>4599</v>
      </c>
      <c r="R30" s="178">
        <f>IFERROR(VLOOKUP(C30,TD!$B$32:$F$36,4,0)," ")</f>
        <v>20240207</v>
      </c>
      <c r="S30" s="173" t="s">
        <v>185</v>
      </c>
      <c r="T30" s="178" t="str">
        <f>IFERROR(VLOOKUP(S30,TD!$J$33:$K$43,2,0)," ")</f>
        <v>Infraestructura física, mantenimiento y dotación (Sedes construidas, mantenidas reforzadas)</v>
      </c>
      <c r="U30" s="127" t="str">
        <f>CONCATENATE(S30,"-",T30)</f>
        <v>08-Infraestructura física, mantenimiento y dotación (Sedes construidas, mantenidas reforzadas)</v>
      </c>
      <c r="V30" s="173" t="s">
        <v>238</v>
      </c>
      <c r="W30" s="178" t="str">
        <f>IFERROR(VLOOKUP(V30,TD!$N$33:$O$45,2,0)," ")</f>
        <v>Sedes mantenidas</v>
      </c>
      <c r="X30" s="127" t="str">
        <f>CONCATENATE(V30,"_",W30)</f>
        <v>016_Sedes mantenidas</v>
      </c>
      <c r="Y30" s="127" t="str">
        <f>CONCATENATE(U30," ",X30)</f>
        <v>08-Infraestructura física, mantenimiento y dotación (Sedes construidas, mantenidas reforzadas) 016_Sedes mantenidas</v>
      </c>
      <c r="Z30" s="178" t="str">
        <f>CONCATENATE(P30,Q30,R30,S30,V30)</f>
        <v>O23011745992024020708016</v>
      </c>
      <c r="AA30" s="178" t="str">
        <f>IFERROR(VLOOKUP(Y30,TD!$K$46:$L$64,2,0)," ")</f>
        <v>PM/0131/0108/45990160207</v>
      </c>
      <c r="AB30" s="177" t="s">
        <v>120</v>
      </c>
      <c r="AC30" s="179" t="s">
        <v>204</v>
      </c>
    </row>
    <row r="31" spans="2:29" s="28" customFormat="1" ht="74.25" customHeight="1" x14ac:dyDescent="0.35">
      <c r="B31" s="170">
        <v>20250031</v>
      </c>
      <c r="C31" s="171" t="s">
        <v>208</v>
      </c>
      <c r="D31" s="172" t="s">
        <v>164</v>
      </c>
      <c r="E31" s="173" t="s">
        <v>392</v>
      </c>
      <c r="F31" s="172" t="s">
        <v>481</v>
      </c>
      <c r="G31" s="172" t="s">
        <v>155</v>
      </c>
      <c r="H31" s="174">
        <v>80111600</v>
      </c>
      <c r="I31" s="175">
        <v>2</v>
      </c>
      <c r="J31" s="175">
        <v>11</v>
      </c>
      <c r="K31" s="176">
        <v>0</v>
      </c>
      <c r="L31" s="177">
        <f>60500000-8250000</f>
        <v>52250000</v>
      </c>
      <c r="M31" s="172" t="s">
        <v>484</v>
      </c>
      <c r="N31" s="177" t="s">
        <v>113</v>
      </c>
      <c r="O31" s="173" t="s">
        <v>219</v>
      </c>
      <c r="P31" s="178" t="str">
        <f>IFERROR(VLOOKUP(C31,TD!$B$32:$F$36,2,0)," ")</f>
        <v>O230117</v>
      </c>
      <c r="Q31" s="178" t="str">
        <f>IFERROR(VLOOKUP(C31,TD!$B$32:$F$36,3,0)," ")</f>
        <v>4599</v>
      </c>
      <c r="R31" s="178">
        <f>IFERROR(VLOOKUP(C31,TD!$B$32:$F$36,4,0)," ")</f>
        <v>20240207</v>
      </c>
      <c r="S31" s="173" t="s">
        <v>185</v>
      </c>
      <c r="T31" s="178" t="str">
        <f>IFERROR(VLOOKUP(S31,TD!$J$33:$K$43,2,0)," ")</f>
        <v>Infraestructura física, mantenimiento y dotación (Sedes construidas, mantenidas reforzadas)</v>
      </c>
      <c r="U31" s="127" t="str">
        <f>CONCATENATE(S31,"-",T31)</f>
        <v>08-Infraestructura física, mantenimiento y dotación (Sedes construidas, mantenidas reforzadas)</v>
      </c>
      <c r="V31" s="173" t="s">
        <v>238</v>
      </c>
      <c r="W31" s="178" t="str">
        <f>IFERROR(VLOOKUP(V31,TD!$N$33:$O$45,2,0)," ")</f>
        <v>Sedes mantenidas</v>
      </c>
      <c r="X31" s="127" t="str">
        <f>CONCATENATE(V31,"_",W31)</f>
        <v>016_Sedes mantenidas</v>
      </c>
      <c r="Y31" s="127" t="str">
        <f>CONCATENATE(U31," ",X31)</f>
        <v>08-Infraestructura física, mantenimiento y dotación (Sedes construidas, mantenidas reforzadas) 016_Sedes mantenidas</v>
      </c>
      <c r="Z31" s="178" t="str">
        <f>CONCATENATE(P31,Q31,R31,S31,V31)</f>
        <v>O23011745992024020708016</v>
      </c>
      <c r="AA31" s="178" t="str">
        <f>IFERROR(VLOOKUP(Y31,TD!$K$46:$L$64,2,0)," ")</f>
        <v>PM/0131/0108/45990160207</v>
      </c>
      <c r="AB31" s="177" t="s">
        <v>138</v>
      </c>
      <c r="AC31" s="179" t="s">
        <v>204</v>
      </c>
    </row>
    <row r="32" spans="2:29" s="28" customFormat="1" ht="74.25" customHeight="1" x14ac:dyDescent="0.35">
      <c r="B32" s="170">
        <v>20250032</v>
      </c>
      <c r="C32" s="171" t="s">
        <v>208</v>
      </c>
      <c r="D32" s="172" t="s">
        <v>164</v>
      </c>
      <c r="E32" s="173" t="s">
        <v>392</v>
      </c>
      <c r="F32" s="172" t="s">
        <v>481</v>
      </c>
      <c r="G32" s="172" t="s">
        <v>155</v>
      </c>
      <c r="H32" s="174">
        <v>80111600</v>
      </c>
      <c r="I32" s="175">
        <v>2</v>
      </c>
      <c r="J32" s="175">
        <v>11</v>
      </c>
      <c r="K32" s="176">
        <v>0</v>
      </c>
      <c r="L32" s="177">
        <f>60500000-8250000</f>
        <v>52250000</v>
      </c>
      <c r="M32" s="172" t="s">
        <v>484</v>
      </c>
      <c r="N32" s="177" t="s">
        <v>113</v>
      </c>
      <c r="O32" s="173" t="s">
        <v>219</v>
      </c>
      <c r="P32" s="178" t="str">
        <f>IFERROR(VLOOKUP(C32,TD!$B$32:$F$36,2,0)," ")</f>
        <v>O230117</v>
      </c>
      <c r="Q32" s="178" t="str">
        <f>IFERROR(VLOOKUP(C32,TD!$B$32:$F$36,3,0)," ")</f>
        <v>4599</v>
      </c>
      <c r="R32" s="178">
        <f>IFERROR(VLOOKUP(C32,TD!$B$32:$F$36,4,0)," ")</f>
        <v>20240207</v>
      </c>
      <c r="S32" s="173" t="s">
        <v>185</v>
      </c>
      <c r="T32" s="178" t="str">
        <f>IFERROR(VLOOKUP(S32,TD!$J$33:$K$43,2,0)," ")</f>
        <v>Infraestructura física, mantenimiento y dotación (Sedes construidas, mantenidas reforzadas)</v>
      </c>
      <c r="U32" s="127" t="str">
        <f>CONCATENATE(S32,"-",T32)</f>
        <v>08-Infraestructura física, mantenimiento y dotación (Sedes construidas, mantenidas reforzadas)</v>
      </c>
      <c r="V32" s="173" t="s">
        <v>238</v>
      </c>
      <c r="W32" s="178" t="str">
        <f>IFERROR(VLOOKUP(V32,TD!$N$33:$O$45,2,0)," ")</f>
        <v>Sedes mantenidas</v>
      </c>
      <c r="X32" s="127" t="str">
        <f>CONCATENATE(V32,"_",W32)</f>
        <v>016_Sedes mantenidas</v>
      </c>
      <c r="Y32" s="127" t="str">
        <f>CONCATENATE(U32," ",X32)</f>
        <v>08-Infraestructura física, mantenimiento y dotación (Sedes construidas, mantenidas reforzadas) 016_Sedes mantenidas</v>
      </c>
      <c r="Z32" s="178" t="str">
        <f>CONCATENATE(P32,Q32,R32,S32,V32)</f>
        <v>O23011745992024020708016</v>
      </c>
      <c r="AA32" s="178" t="str">
        <f>IFERROR(VLOOKUP(Y32,TD!$K$46:$L$64,2,0)," ")</f>
        <v>PM/0131/0108/45990160207</v>
      </c>
      <c r="AB32" s="177" t="s">
        <v>138</v>
      </c>
      <c r="AC32" s="179" t="s">
        <v>204</v>
      </c>
    </row>
    <row r="33" spans="2:29" s="28" customFormat="1" ht="74.25" customHeight="1" x14ac:dyDescent="0.35">
      <c r="B33" s="170">
        <v>20250033</v>
      </c>
      <c r="C33" s="171" t="s">
        <v>208</v>
      </c>
      <c r="D33" s="172" t="s">
        <v>164</v>
      </c>
      <c r="E33" s="173" t="s">
        <v>392</v>
      </c>
      <c r="F33" s="172" t="s">
        <v>482</v>
      </c>
      <c r="G33" s="172" t="s">
        <v>155</v>
      </c>
      <c r="H33" s="174">
        <v>80111600</v>
      </c>
      <c r="I33" s="175">
        <v>2</v>
      </c>
      <c r="J33" s="175">
        <v>11</v>
      </c>
      <c r="K33" s="176">
        <v>0</v>
      </c>
      <c r="L33" s="177">
        <v>71500000</v>
      </c>
      <c r="M33" s="172" t="s">
        <v>484</v>
      </c>
      <c r="N33" s="177" t="s">
        <v>113</v>
      </c>
      <c r="O33" s="173" t="s">
        <v>219</v>
      </c>
      <c r="P33" s="178" t="str">
        <f>IFERROR(VLOOKUP(C33,TD!$B$32:$F$36,2,0)," ")</f>
        <v>O230117</v>
      </c>
      <c r="Q33" s="178" t="str">
        <f>IFERROR(VLOOKUP(C33,TD!$B$32:$F$36,3,0)," ")</f>
        <v>4599</v>
      </c>
      <c r="R33" s="178">
        <f>IFERROR(VLOOKUP(C33,TD!$B$32:$F$36,4,0)," ")</f>
        <v>20240207</v>
      </c>
      <c r="S33" s="173" t="s">
        <v>185</v>
      </c>
      <c r="T33" s="178" t="str">
        <f>IFERROR(VLOOKUP(S33,TD!$J$33:$K$43,2,0)," ")</f>
        <v>Infraestructura física, mantenimiento y dotación (Sedes construidas, mantenidas reforzadas)</v>
      </c>
      <c r="U33" s="127" t="str">
        <f>CONCATENATE(S33,"-",T33)</f>
        <v>08-Infraestructura física, mantenimiento y dotación (Sedes construidas, mantenidas reforzadas)</v>
      </c>
      <c r="V33" s="173" t="s">
        <v>238</v>
      </c>
      <c r="W33" s="178" t="str">
        <f>IFERROR(VLOOKUP(V33,TD!$N$33:$O$45,2,0)," ")</f>
        <v>Sedes mantenidas</v>
      </c>
      <c r="X33" s="127" t="str">
        <f>CONCATENATE(V33,"_",W33)</f>
        <v>016_Sedes mantenidas</v>
      </c>
      <c r="Y33" s="127" t="str">
        <f>CONCATENATE(U33," ",X33)</f>
        <v>08-Infraestructura física, mantenimiento y dotación (Sedes construidas, mantenidas reforzadas) 016_Sedes mantenidas</v>
      </c>
      <c r="Z33" s="178" t="str">
        <f>CONCATENATE(P33,Q33,R33,S33,V33)</f>
        <v>O23011745992024020708016</v>
      </c>
      <c r="AA33" s="178" t="str">
        <f>IFERROR(VLOOKUP(Y33,TD!$K$46:$L$64,2,0)," ")</f>
        <v>PM/0131/0108/45990160207</v>
      </c>
      <c r="AB33" s="177" t="s">
        <v>120</v>
      </c>
      <c r="AC33" s="179" t="s">
        <v>204</v>
      </c>
    </row>
    <row r="34" spans="2:29" s="28" customFormat="1" ht="74.25" customHeight="1" x14ac:dyDescent="0.35">
      <c r="B34" s="170">
        <v>20250034</v>
      </c>
      <c r="C34" s="171" t="s">
        <v>208</v>
      </c>
      <c r="D34" s="172" t="s">
        <v>164</v>
      </c>
      <c r="E34" s="173" t="s">
        <v>392</v>
      </c>
      <c r="F34" s="172" t="s">
        <v>483</v>
      </c>
      <c r="G34" s="172" t="s">
        <v>155</v>
      </c>
      <c r="H34" s="174">
        <v>80111600</v>
      </c>
      <c r="I34" s="175">
        <v>2</v>
      </c>
      <c r="J34" s="175">
        <v>11</v>
      </c>
      <c r="K34" s="176">
        <v>0</v>
      </c>
      <c r="L34" s="177">
        <v>82500000</v>
      </c>
      <c r="M34" s="172" t="s">
        <v>484</v>
      </c>
      <c r="N34" s="177" t="s">
        <v>113</v>
      </c>
      <c r="O34" s="173" t="s">
        <v>219</v>
      </c>
      <c r="P34" s="178" t="str">
        <f>IFERROR(VLOOKUP(C34,TD!$B$32:$F$36,2,0)," ")</f>
        <v>O230117</v>
      </c>
      <c r="Q34" s="178" t="str">
        <f>IFERROR(VLOOKUP(C34,TD!$B$32:$F$36,3,0)," ")</f>
        <v>4599</v>
      </c>
      <c r="R34" s="178">
        <f>IFERROR(VLOOKUP(C34,TD!$B$32:$F$36,4,0)," ")</f>
        <v>20240207</v>
      </c>
      <c r="S34" s="173" t="s">
        <v>185</v>
      </c>
      <c r="T34" s="178" t="str">
        <f>IFERROR(VLOOKUP(S34,TD!$J$33:$K$43,2,0)," ")</f>
        <v>Infraestructura física, mantenimiento y dotación (Sedes construidas, mantenidas reforzadas)</v>
      </c>
      <c r="U34" s="127" t="str">
        <f>CONCATENATE(S34,"-",T34)</f>
        <v>08-Infraestructura física, mantenimiento y dotación (Sedes construidas, mantenidas reforzadas)</v>
      </c>
      <c r="V34" s="173" t="s">
        <v>238</v>
      </c>
      <c r="W34" s="178" t="str">
        <f>IFERROR(VLOOKUP(V34,TD!$N$33:$O$45,2,0)," ")</f>
        <v>Sedes mantenidas</v>
      </c>
      <c r="X34" s="127" t="str">
        <f>CONCATENATE(V34,"_",W34)</f>
        <v>016_Sedes mantenidas</v>
      </c>
      <c r="Y34" s="127" t="str">
        <f>CONCATENATE(U34," ",X34)</f>
        <v>08-Infraestructura física, mantenimiento y dotación (Sedes construidas, mantenidas reforzadas) 016_Sedes mantenidas</v>
      </c>
      <c r="Z34" s="178" t="str">
        <f>CONCATENATE(P34,Q34,R34,S34,V34)</f>
        <v>O23011745992024020708016</v>
      </c>
      <c r="AA34" s="178" t="str">
        <f>IFERROR(VLOOKUP(Y34,TD!$K$46:$L$64,2,0)," ")</f>
        <v>PM/0131/0108/45990160207</v>
      </c>
      <c r="AB34" s="177" t="s">
        <v>120</v>
      </c>
      <c r="AC34" s="179" t="s">
        <v>204</v>
      </c>
    </row>
    <row r="35" spans="2:29" s="28" customFormat="1" ht="74.25" customHeight="1" x14ac:dyDescent="0.35">
      <c r="B35" s="170">
        <v>20250066</v>
      </c>
      <c r="C35" s="171" t="s">
        <v>208</v>
      </c>
      <c r="D35" s="172" t="s">
        <v>36</v>
      </c>
      <c r="E35" s="173" t="s">
        <v>379</v>
      </c>
      <c r="F35" s="172" t="s">
        <v>504</v>
      </c>
      <c r="G35" s="172" t="s">
        <v>156</v>
      </c>
      <c r="H35" s="174">
        <v>80111600</v>
      </c>
      <c r="I35" s="175">
        <v>9</v>
      </c>
      <c r="J35" s="175">
        <v>1</v>
      </c>
      <c r="K35" s="176">
        <v>0</v>
      </c>
      <c r="L35" s="177">
        <f>25795040+507</f>
        <v>25795547</v>
      </c>
      <c r="M35" s="172" t="s">
        <v>484</v>
      </c>
      <c r="N35" s="177" t="s">
        <v>113</v>
      </c>
      <c r="O35" s="173" t="s">
        <v>213</v>
      </c>
      <c r="P35" s="178" t="str">
        <f>IFERROR(VLOOKUP(C35,TD!$B$32:$F$36,2,0)," ")</f>
        <v>O230117</v>
      </c>
      <c r="Q35" s="178" t="str">
        <f>IFERROR(VLOOKUP(C35,TD!$B$32:$F$36,3,0)," ")</f>
        <v>4599</v>
      </c>
      <c r="R35" s="178">
        <f>IFERROR(VLOOKUP(C35,TD!$B$32:$F$36,4,0)," ")</f>
        <v>20240207</v>
      </c>
      <c r="S35" s="173" t="s">
        <v>193</v>
      </c>
      <c r="T35" s="178" t="str">
        <f>IFERROR(VLOOKUP(S35,TD!$J$33:$K$43,2,0)," ")</f>
        <v>Servicios para la planeación y sistemas de gestión y comunicación estratégica</v>
      </c>
      <c r="U35" s="127" t="str">
        <f>CONCATENATE(S35,"-",T35)</f>
        <v>13-Servicios para la planeación y sistemas de gestión y comunicación estratégica</v>
      </c>
      <c r="V35" s="173" t="s">
        <v>241</v>
      </c>
      <c r="W35" s="178" t="str">
        <f>IFERROR(VLOOKUP(V35,TD!$N$33:$O$45,2,0)," ")</f>
        <v>Servicio de Implementación Sistemas de Gestión</v>
      </c>
      <c r="X35" s="127" t="str">
        <f>CONCATENATE(V35,"_",W35)</f>
        <v>023_Servicio de Implementación Sistemas de Gestión</v>
      </c>
      <c r="Y35" s="127" t="str">
        <f>CONCATENATE(U35," ",X35)</f>
        <v>13-Servicios para la planeación y sistemas de gestión y comunicación estratégica 023_Servicio de Implementación Sistemas de Gestión</v>
      </c>
      <c r="Z35" s="178" t="str">
        <f>CONCATENATE(P35,Q35,R35,S35,V35)</f>
        <v>O23011745992024020713023</v>
      </c>
      <c r="AA35" s="178" t="str">
        <f>IFERROR(VLOOKUP(Y35,TD!$K$46:$L$64,2,0)," ")</f>
        <v>PM/0131/0113/45990230207</v>
      </c>
      <c r="AB35" s="177" t="s">
        <v>138</v>
      </c>
      <c r="AC35" s="179" t="s">
        <v>204</v>
      </c>
    </row>
    <row r="36" spans="2:29" s="28" customFormat="1" ht="74.25" customHeight="1" x14ac:dyDescent="0.35">
      <c r="B36" s="170">
        <v>20250067</v>
      </c>
      <c r="C36" s="171" t="s">
        <v>208</v>
      </c>
      <c r="D36" s="172" t="s">
        <v>45</v>
      </c>
      <c r="E36" s="173" t="s">
        <v>355</v>
      </c>
      <c r="F36" s="172" t="s">
        <v>357</v>
      </c>
      <c r="G36" s="172" t="s">
        <v>155</v>
      </c>
      <c r="H36" s="174">
        <v>80111600</v>
      </c>
      <c r="I36" s="175">
        <v>2</v>
      </c>
      <c r="J36" s="175">
        <v>11</v>
      </c>
      <c r="K36" s="176">
        <v>0</v>
      </c>
      <c r="L36" s="177">
        <v>57200000</v>
      </c>
      <c r="M36" s="172" t="s">
        <v>484</v>
      </c>
      <c r="N36" s="177" t="s">
        <v>113</v>
      </c>
      <c r="O36" s="173" t="s">
        <v>219</v>
      </c>
      <c r="P36" s="178" t="str">
        <f>IFERROR(VLOOKUP(C36,TD!$B$32:$F$36,2,0)," ")</f>
        <v>O230117</v>
      </c>
      <c r="Q36" s="178" t="str">
        <f>IFERROR(VLOOKUP(C36,TD!$B$32:$F$36,3,0)," ")</f>
        <v>4599</v>
      </c>
      <c r="R36" s="178">
        <f>IFERROR(VLOOKUP(C36,TD!$B$32:$F$36,4,0)," ")</f>
        <v>20240207</v>
      </c>
      <c r="S36" s="173" t="s">
        <v>185</v>
      </c>
      <c r="T36" s="178" t="str">
        <f>IFERROR(VLOOKUP(S36,TD!$J$33:$K$43,2,0)," ")</f>
        <v>Infraestructura física, mantenimiento y dotación (Sedes construidas, mantenidas reforzadas)</v>
      </c>
      <c r="U36" s="127" t="str">
        <f>CONCATENATE(S36,"-",T36)</f>
        <v>08-Infraestructura física, mantenimiento y dotación (Sedes construidas, mantenidas reforzadas)</v>
      </c>
      <c r="V36" s="173" t="s">
        <v>238</v>
      </c>
      <c r="W36" s="178" t="str">
        <f>IFERROR(VLOOKUP(V36,TD!$N$33:$O$45,2,0)," ")</f>
        <v>Sedes mantenidas</v>
      </c>
      <c r="X36" s="127" t="str">
        <f>CONCATENATE(V36,"_",W36)</f>
        <v>016_Sedes mantenidas</v>
      </c>
      <c r="Y36" s="127" t="str">
        <f>CONCATENATE(U36," ",X36)</f>
        <v>08-Infraestructura física, mantenimiento y dotación (Sedes construidas, mantenidas reforzadas) 016_Sedes mantenidas</v>
      </c>
      <c r="Z36" s="178" t="str">
        <f>CONCATENATE(P36,Q36,R36,S36,V36)</f>
        <v>O23011745992024020708016</v>
      </c>
      <c r="AA36" s="178" t="str">
        <f>IFERROR(VLOOKUP(Y36,TD!$K$46:$L$64,2,0)," ")</f>
        <v>PM/0131/0108/45990160207</v>
      </c>
      <c r="AB36" s="177" t="s">
        <v>120</v>
      </c>
      <c r="AC36" s="179" t="s">
        <v>204</v>
      </c>
    </row>
    <row r="37" spans="2:29" s="28" customFormat="1" ht="74.25" customHeight="1" x14ac:dyDescent="0.35">
      <c r="B37" s="170">
        <v>20250071</v>
      </c>
      <c r="C37" s="171" t="s">
        <v>208</v>
      </c>
      <c r="D37" s="172" t="s">
        <v>45</v>
      </c>
      <c r="E37" s="173" t="s">
        <v>355</v>
      </c>
      <c r="F37" s="172" t="s">
        <v>507</v>
      </c>
      <c r="G37" s="172" t="s">
        <v>155</v>
      </c>
      <c r="H37" s="174">
        <v>80111600</v>
      </c>
      <c r="I37" s="175">
        <v>2</v>
      </c>
      <c r="J37" s="175">
        <v>11</v>
      </c>
      <c r="K37" s="176">
        <v>0</v>
      </c>
      <c r="L37" s="177">
        <v>110000000</v>
      </c>
      <c r="M37" s="172" t="s">
        <v>484</v>
      </c>
      <c r="N37" s="177" t="s">
        <v>113</v>
      </c>
      <c r="O37" s="173" t="s">
        <v>219</v>
      </c>
      <c r="P37" s="178" t="str">
        <f>IFERROR(VLOOKUP(C37,TD!$B$32:$F$36,2,0)," ")</f>
        <v>O230117</v>
      </c>
      <c r="Q37" s="178" t="str">
        <f>IFERROR(VLOOKUP(C37,TD!$B$32:$F$36,3,0)," ")</f>
        <v>4599</v>
      </c>
      <c r="R37" s="178">
        <f>IFERROR(VLOOKUP(C37,TD!$B$32:$F$36,4,0)," ")</f>
        <v>20240207</v>
      </c>
      <c r="S37" s="173" t="s">
        <v>185</v>
      </c>
      <c r="T37" s="178" t="str">
        <f>IFERROR(VLOOKUP(S37,TD!$J$33:$K$43,2,0)," ")</f>
        <v>Infraestructura física, mantenimiento y dotación (Sedes construidas, mantenidas reforzadas)</v>
      </c>
      <c r="U37" s="127" t="str">
        <f>CONCATENATE(S37,"-",T37)</f>
        <v>08-Infraestructura física, mantenimiento y dotación (Sedes construidas, mantenidas reforzadas)</v>
      </c>
      <c r="V37" s="173" t="s">
        <v>238</v>
      </c>
      <c r="W37" s="178" t="str">
        <f>IFERROR(VLOOKUP(V37,TD!$N$33:$O$45,2,0)," ")</f>
        <v>Sedes mantenidas</v>
      </c>
      <c r="X37" s="127" t="str">
        <f>CONCATENATE(V37,"_",W37)</f>
        <v>016_Sedes mantenidas</v>
      </c>
      <c r="Y37" s="127" t="str">
        <f>CONCATENATE(U37," ",X37)</f>
        <v>08-Infraestructura física, mantenimiento y dotación (Sedes construidas, mantenidas reforzadas) 016_Sedes mantenidas</v>
      </c>
      <c r="Z37" s="178" t="str">
        <f>CONCATENATE(P37,Q37,R37,S37,V37)</f>
        <v>O23011745992024020708016</v>
      </c>
      <c r="AA37" s="178" t="str">
        <f>IFERROR(VLOOKUP(Y37,TD!$K$46:$L$64,2,0)," ")</f>
        <v>PM/0131/0108/45990160207</v>
      </c>
      <c r="AB37" s="177" t="s">
        <v>120</v>
      </c>
      <c r="AC37" s="179" t="s">
        <v>204</v>
      </c>
    </row>
    <row r="38" spans="2:29" s="28" customFormat="1" ht="74.25" customHeight="1" x14ac:dyDescent="0.35">
      <c r="B38" s="170">
        <v>20250074</v>
      </c>
      <c r="C38" s="171" t="s">
        <v>208</v>
      </c>
      <c r="D38" s="172" t="s">
        <v>45</v>
      </c>
      <c r="E38" s="173" t="s">
        <v>355</v>
      </c>
      <c r="F38" s="172" t="s">
        <v>508</v>
      </c>
      <c r="G38" s="172" t="s">
        <v>155</v>
      </c>
      <c r="H38" s="174">
        <v>80111600</v>
      </c>
      <c r="I38" s="175">
        <v>2</v>
      </c>
      <c r="J38" s="175">
        <v>6</v>
      </c>
      <c r="K38" s="176">
        <v>0</v>
      </c>
      <c r="L38" s="177">
        <f>98000000-39200000</f>
        <v>58800000</v>
      </c>
      <c r="M38" s="172" t="s">
        <v>484</v>
      </c>
      <c r="N38" s="177" t="s">
        <v>113</v>
      </c>
      <c r="O38" s="173" t="s">
        <v>219</v>
      </c>
      <c r="P38" s="178" t="str">
        <f>IFERROR(VLOOKUP(C38,TD!$B$32:$F$36,2,0)," ")</f>
        <v>O230117</v>
      </c>
      <c r="Q38" s="178" t="str">
        <f>IFERROR(VLOOKUP(C38,TD!$B$32:$F$36,3,0)," ")</f>
        <v>4599</v>
      </c>
      <c r="R38" s="178">
        <f>IFERROR(VLOOKUP(C38,TD!$B$32:$F$36,4,0)," ")</f>
        <v>20240207</v>
      </c>
      <c r="S38" s="173" t="s">
        <v>185</v>
      </c>
      <c r="T38" s="178" t="str">
        <f>IFERROR(VLOOKUP(S38,TD!$J$33:$K$43,2,0)," ")</f>
        <v>Infraestructura física, mantenimiento y dotación (Sedes construidas, mantenidas reforzadas)</v>
      </c>
      <c r="U38" s="127" t="str">
        <f>CONCATENATE(S38,"-",T38)</f>
        <v>08-Infraestructura física, mantenimiento y dotación (Sedes construidas, mantenidas reforzadas)</v>
      </c>
      <c r="V38" s="173" t="s">
        <v>238</v>
      </c>
      <c r="W38" s="178" t="str">
        <f>IFERROR(VLOOKUP(V38,TD!$N$33:$O$45,2,0)," ")</f>
        <v>Sedes mantenidas</v>
      </c>
      <c r="X38" s="127" t="str">
        <f>CONCATENATE(V38,"_",W38)</f>
        <v>016_Sedes mantenidas</v>
      </c>
      <c r="Y38" s="127" t="str">
        <f>CONCATENATE(U38," ",X38)</f>
        <v>08-Infraestructura física, mantenimiento y dotación (Sedes construidas, mantenidas reforzadas) 016_Sedes mantenidas</v>
      </c>
      <c r="Z38" s="178" t="str">
        <f>CONCATENATE(P38,Q38,R38,S38,V38)</f>
        <v>O23011745992024020708016</v>
      </c>
      <c r="AA38" s="178" t="str">
        <f>IFERROR(VLOOKUP(Y38,TD!$K$46:$L$64,2,0)," ")</f>
        <v>PM/0131/0108/45990160207</v>
      </c>
      <c r="AB38" s="177" t="s">
        <v>138</v>
      </c>
      <c r="AC38" s="179" t="s">
        <v>204</v>
      </c>
    </row>
    <row r="39" spans="2:29" s="28" customFormat="1" ht="74.25" customHeight="1" x14ac:dyDescent="0.35">
      <c r="B39" s="170">
        <v>20250075</v>
      </c>
      <c r="C39" s="171" t="s">
        <v>208</v>
      </c>
      <c r="D39" s="172" t="s">
        <v>45</v>
      </c>
      <c r="E39" s="173" t="s">
        <v>355</v>
      </c>
      <c r="F39" s="172" t="s">
        <v>442</v>
      </c>
      <c r="G39" s="172" t="s">
        <v>155</v>
      </c>
      <c r="H39" s="174">
        <v>80111600</v>
      </c>
      <c r="I39" s="175">
        <v>2</v>
      </c>
      <c r="J39" s="175">
        <v>6</v>
      </c>
      <c r="K39" s="176">
        <v>0</v>
      </c>
      <c r="L39" s="177">
        <f>98000000-39200000</f>
        <v>58800000</v>
      </c>
      <c r="M39" s="172" t="s">
        <v>484</v>
      </c>
      <c r="N39" s="177" t="s">
        <v>113</v>
      </c>
      <c r="O39" s="173" t="s">
        <v>219</v>
      </c>
      <c r="P39" s="178" t="str">
        <f>IFERROR(VLOOKUP(C39,TD!$B$32:$F$36,2,0)," ")</f>
        <v>O230117</v>
      </c>
      <c r="Q39" s="178" t="str">
        <f>IFERROR(VLOOKUP(C39,TD!$B$32:$F$36,3,0)," ")</f>
        <v>4599</v>
      </c>
      <c r="R39" s="178">
        <f>IFERROR(VLOOKUP(C39,TD!$B$32:$F$36,4,0)," ")</f>
        <v>20240207</v>
      </c>
      <c r="S39" s="173" t="s">
        <v>185</v>
      </c>
      <c r="T39" s="178" t="str">
        <f>IFERROR(VLOOKUP(S39,TD!$J$33:$K$43,2,0)," ")</f>
        <v>Infraestructura física, mantenimiento y dotación (Sedes construidas, mantenidas reforzadas)</v>
      </c>
      <c r="U39" s="127" t="str">
        <f>CONCATENATE(S39,"-",T39)</f>
        <v>08-Infraestructura física, mantenimiento y dotación (Sedes construidas, mantenidas reforzadas)</v>
      </c>
      <c r="V39" s="173" t="s">
        <v>238</v>
      </c>
      <c r="W39" s="178" t="str">
        <f>IFERROR(VLOOKUP(V39,TD!$N$33:$O$45,2,0)," ")</f>
        <v>Sedes mantenidas</v>
      </c>
      <c r="X39" s="127" t="str">
        <f>CONCATENATE(V39,"_",W39)</f>
        <v>016_Sedes mantenidas</v>
      </c>
      <c r="Y39" s="127" t="str">
        <f>CONCATENATE(U39," ",X39)</f>
        <v>08-Infraestructura física, mantenimiento y dotación (Sedes construidas, mantenidas reforzadas) 016_Sedes mantenidas</v>
      </c>
      <c r="Z39" s="178" t="str">
        <f>CONCATENATE(P39,Q39,R39,S39,V39)</f>
        <v>O23011745992024020708016</v>
      </c>
      <c r="AA39" s="178" t="str">
        <f>IFERROR(VLOOKUP(Y39,TD!$K$46:$L$64,2,0)," ")</f>
        <v>PM/0131/0108/45990160207</v>
      </c>
      <c r="AB39" s="177" t="s">
        <v>138</v>
      </c>
      <c r="AC39" s="179" t="s">
        <v>204</v>
      </c>
    </row>
    <row r="40" spans="2:29" s="28" customFormat="1" ht="74.25" customHeight="1" x14ac:dyDescent="0.35">
      <c r="B40" s="170">
        <v>20250078</v>
      </c>
      <c r="C40" s="171" t="s">
        <v>208</v>
      </c>
      <c r="D40" s="172" t="s">
        <v>161</v>
      </c>
      <c r="E40" s="173" t="s">
        <v>355</v>
      </c>
      <c r="F40" s="172" t="s">
        <v>366</v>
      </c>
      <c r="G40" s="172" t="s">
        <v>156</v>
      </c>
      <c r="H40" s="174">
        <v>80111600</v>
      </c>
      <c r="I40" s="175">
        <v>2</v>
      </c>
      <c r="J40" s="175">
        <v>11</v>
      </c>
      <c r="K40" s="176">
        <v>0</v>
      </c>
      <c r="L40" s="177">
        <f>44000000+4400000</f>
        <v>48400000</v>
      </c>
      <c r="M40" s="172" t="s">
        <v>484</v>
      </c>
      <c r="N40" s="177" t="s">
        <v>113</v>
      </c>
      <c r="O40" s="173" t="s">
        <v>220</v>
      </c>
      <c r="P40" s="178" t="str">
        <f>IFERROR(VLOOKUP(C40,TD!$B$32:$F$36,2,0)," ")</f>
        <v>O230117</v>
      </c>
      <c r="Q40" s="178" t="str">
        <f>IFERROR(VLOOKUP(C40,TD!$B$32:$F$36,3,0)," ")</f>
        <v>4599</v>
      </c>
      <c r="R40" s="178">
        <f>IFERROR(VLOOKUP(C40,TD!$B$32:$F$36,4,0)," ")</f>
        <v>20240207</v>
      </c>
      <c r="S40" s="173" t="s">
        <v>193</v>
      </c>
      <c r="T40" s="178" t="str">
        <f>IFERROR(VLOOKUP(S40,TD!$J$33:$K$43,2,0)," ")</f>
        <v>Servicios para la planeación y sistemas de gestión y comunicación estratégica</v>
      </c>
      <c r="U40" s="127" t="str">
        <f>CONCATENATE(S40,"-",T40)</f>
        <v>13-Servicios para la planeación y sistemas de gestión y comunicación estratégica</v>
      </c>
      <c r="V40" s="173" t="s">
        <v>242</v>
      </c>
      <c r="W40" s="178" t="str">
        <f>IFERROR(VLOOKUP(V40,TD!$N$33:$O$45,2,0)," ")</f>
        <v>Documentos de planeación</v>
      </c>
      <c r="X40" s="127" t="str">
        <f>CONCATENATE(V40,"_",W40)</f>
        <v>019_Documentos de planeación</v>
      </c>
      <c r="Y40" s="127" t="str">
        <f>CONCATENATE(U40," ",X40)</f>
        <v>13-Servicios para la planeación y sistemas de gestión y comunicación estratégica 019_Documentos de planeación</v>
      </c>
      <c r="Z40" s="178" t="str">
        <f>CONCATENATE(P40,Q40,R40,S40,V40)</f>
        <v>O23011745992024020713019</v>
      </c>
      <c r="AA40" s="178" t="str">
        <f>IFERROR(VLOOKUP(Y40,TD!$K$46:$L$64,2,0)," ")</f>
        <v>PM/0131/0113/45990190207</v>
      </c>
      <c r="AB40" s="177" t="s">
        <v>138</v>
      </c>
      <c r="AC40" s="179" t="s">
        <v>204</v>
      </c>
    </row>
    <row r="41" spans="2:29" s="28" customFormat="1" ht="74.25" customHeight="1" x14ac:dyDescent="0.35">
      <c r="B41" s="170">
        <v>20250082</v>
      </c>
      <c r="C41" s="171" t="s">
        <v>208</v>
      </c>
      <c r="D41" s="172" t="s">
        <v>45</v>
      </c>
      <c r="E41" s="173" t="s">
        <v>355</v>
      </c>
      <c r="F41" s="172" t="s">
        <v>837</v>
      </c>
      <c r="G41" s="172" t="s">
        <v>155</v>
      </c>
      <c r="H41" s="174">
        <v>80111600</v>
      </c>
      <c r="I41" s="175">
        <v>2</v>
      </c>
      <c r="J41" s="175">
        <v>8</v>
      </c>
      <c r="K41" s="176">
        <v>0</v>
      </c>
      <c r="L41" s="177">
        <f>61723493-13723493+12000000</f>
        <v>60000000</v>
      </c>
      <c r="M41" s="172" t="s">
        <v>484</v>
      </c>
      <c r="N41" s="177" t="s">
        <v>113</v>
      </c>
      <c r="O41" s="173" t="s">
        <v>219</v>
      </c>
      <c r="P41" s="178" t="str">
        <f>IFERROR(VLOOKUP(C41,TD!$B$32:$F$36,2,0)," ")</f>
        <v>O230117</v>
      </c>
      <c r="Q41" s="178" t="str">
        <f>IFERROR(VLOOKUP(C41,TD!$B$32:$F$36,3,0)," ")</f>
        <v>4599</v>
      </c>
      <c r="R41" s="178">
        <f>IFERROR(VLOOKUP(C41,TD!$B$32:$F$36,4,0)," ")</f>
        <v>20240207</v>
      </c>
      <c r="S41" s="173" t="s">
        <v>185</v>
      </c>
      <c r="T41" s="178" t="str">
        <f>IFERROR(VLOOKUP(S41,TD!$J$33:$K$43,2,0)," ")</f>
        <v>Infraestructura física, mantenimiento y dotación (Sedes construidas, mantenidas reforzadas)</v>
      </c>
      <c r="U41" s="127" t="str">
        <f>CONCATENATE(S41,"-",T41)</f>
        <v>08-Infraestructura física, mantenimiento y dotación (Sedes construidas, mantenidas reforzadas)</v>
      </c>
      <c r="V41" s="173" t="s">
        <v>238</v>
      </c>
      <c r="W41" s="178" t="str">
        <f>IFERROR(VLOOKUP(V41,TD!$N$33:$O$45,2,0)," ")</f>
        <v>Sedes mantenidas</v>
      </c>
      <c r="X41" s="127" t="str">
        <f>CONCATENATE(V41,"_",W41)</f>
        <v>016_Sedes mantenidas</v>
      </c>
      <c r="Y41" s="127" t="str">
        <f>CONCATENATE(U41," ",X41)</f>
        <v>08-Infraestructura física, mantenimiento y dotación (Sedes construidas, mantenidas reforzadas) 016_Sedes mantenidas</v>
      </c>
      <c r="Z41" s="178" t="str">
        <f>CONCATENATE(P41,Q41,R41,S41,V41)</f>
        <v>O23011745992024020708016</v>
      </c>
      <c r="AA41" s="178" t="str">
        <f>IFERROR(VLOOKUP(Y41,TD!$K$46:$L$64,2,0)," ")</f>
        <v>PM/0131/0108/45990160207</v>
      </c>
      <c r="AB41" s="177" t="s">
        <v>138</v>
      </c>
      <c r="AC41" s="179" t="s">
        <v>204</v>
      </c>
    </row>
    <row r="42" spans="2:29" s="28" customFormat="1" ht="74.25" customHeight="1" x14ac:dyDescent="0.35">
      <c r="B42" s="170">
        <v>20250085</v>
      </c>
      <c r="C42" s="171" t="s">
        <v>208</v>
      </c>
      <c r="D42" s="172" t="s">
        <v>161</v>
      </c>
      <c r="E42" s="173" t="s">
        <v>355</v>
      </c>
      <c r="F42" s="172" t="s">
        <v>367</v>
      </c>
      <c r="G42" s="172" t="s">
        <v>156</v>
      </c>
      <c r="H42" s="174">
        <v>80111600</v>
      </c>
      <c r="I42" s="175">
        <v>2</v>
      </c>
      <c r="J42" s="175">
        <v>11</v>
      </c>
      <c r="K42" s="176">
        <v>0</v>
      </c>
      <c r="L42" s="177">
        <f>44000000+4400000</f>
        <v>48400000</v>
      </c>
      <c r="M42" s="172" t="s">
        <v>484</v>
      </c>
      <c r="N42" s="177" t="s">
        <v>113</v>
      </c>
      <c r="O42" s="173" t="s">
        <v>220</v>
      </c>
      <c r="P42" s="178" t="str">
        <f>IFERROR(VLOOKUP(C42,TD!$B$32:$F$36,2,0)," ")</f>
        <v>O230117</v>
      </c>
      <c r="Q42" s="178" t="str">
        <f>IFERROR(VLOOKUP(C42,TD!$B$32:$F$36,3,0)," ")</f>
        <v>4599</v>
      </c>
      <c r="R42" s="178">
        <f>IFERROR(VLOOKUP(C42,TD!$B$32:$F$36,4,0)," ")</f>
        <v>20240207</v>
      </c>
      <c r="S42" s="173" t="s">
        <v>193</v>
      </c>
      <c r="T42" s="178" t="str">
        <f>IFERROR(VLOOKUP(S42,TD!$J$33:$K$43,2,0)," ")</f>
        <v>Servicios para la planeación y sistemas de gestión y comunicación estratégica</v>
      </c>
      <c r="U42" s="127" t="str">
        <f>CONCATENATE(S42,"-",T42)</f>
        <v>13-Servicios para la planeación y sistemas de gestión y comunicación estratégica</v>
      </c>
      <c r="V42" s="173" t="s">
        <v>242</v>
      </c>
      <c r="W42" s="178" t="str">
        <f>IFERROR(VLOOKUP(V42,TD!$N$33:$O$45,2,0)," ")</f>
        <v>Documentos de planeación</v>
      </c>
      <c r="X42" s="127" t="str">
        <f>CONCATENATE(V42,"_",W42)</f>
        <v>019_Documentos de planeación</v>
      </c>
      <c r="Y42" s="127" t="str">
        <f>CONCATENATE(U42," ",X42)</f>
        <v>13-Servicios para la planeación y sistemas de gestión y comunicación estratégica 019_Documentos de planeación</v>
      </c>
      <c r="Z42" s="178" t="str">
        <f>CONCATENATE(P42,Q42,R42,S42,V42)</f>
        <v>O23011745992024020713019</v>
      </c>
      <c r="AA42" s="178" t="str">
        <f>IFERROR(VLOOKUP(Y42,TD!$K$46:$L$64,2,0)," ")</f>
        <v>PM/0131/0113/45990190207</v>
      </c>
      <c r="AB42" s="177" t="s">
        <v>138</v>
      </c>
      <c r="AC42" s="179" t="s">
        <v>204</v>
      </c>
    </row>
    <row r="43" spans="2:29" s="28" customFormat="1" ht="74.25" customHeight="1" x14ac:dyDescent="0.35">
      <c r="B43" s="170">
        <v>20250087</v>
      </c>
      <c r="C43" s="171" t="s">
        <v>208</v>
      </c>
      <c r="D43" s="172" t="s">
        <v>161</v>
      </c>
      <c r="E43" s="173" t="s">
        <v>355</v>
      </c>
      <c r="F43" s="172" t="s">
        <v>448</v>
      </c>
      <c r="G43" s="172" t="s">
        <v>155</v>
      </c>
      <c r="H43" s="174">
        <v>80111600</v>
      </c>
      <c r="I43" s="175">
        <v>2</v>
      </c>
      <c r="J43" s="175">
        <v>6</v>
      </c>
      <c r="K43" s="176">
        <v>0</v>
      </c>
      <c r="L43" s="177">
        <f>57200000-26000000</f>
        <v>31200000</v>
      </c>
      <c r="M43" s="172" t="s">
        <v>484</v>
      </c>
      <c r="N43" s="177" t="s">
        <v>113</v>
      </c>
      <c r="O43" s="173" t="s">
        <v>220</v>
      </c>
      <c r="P43" s="178" t="str">
        <f>IFERROR(VLOOKUP(C43,TD!$B$32:$F$36,2,0)," ")</f>
        <v>O230117</v>
      </c>
      <c r="Q43" s="178" t="str">
        <f>IFERROR(VLOOKUP(C43,TD!$B$32:$F$36,3,0)," ")</f>
        <v>4599</v>
      </c>
      <c r="R43" s="178">
        <f>IFERROR(VLOOKUP(C43,TD!$B$32:$F$36,4,0)," ")</f>
        <v>20240207</v>
      </c>
      <c r="S43" s="173" t="s">
        <v>193</v>
      </c>
      <c r="T43" s="178" t="str">
        <f>IFERROR(VLOOKUP(S43,TD!$J$33:$K$43,2,0)," ")</f>
        <v>Servicios para la planeación y sistemas de gestión y comunicación estratégica</v>
      </c>
      <c r="U43" s="127" t="str">
        <f>CONCATENATE(S43,"-",T43)</f>
        <v>13-Servicios para la planeación y sistemas de gestión y comunicación estratégica</v>
      </c>
      <c r="V43" s="173" t="s">
        <v>242</v>
      </c>
      <c r="W43" s="178" t="str">
        <f>IFERROR(VLOOKUP(V43,TD!$N$33:$O$45,2,0)," ")</f>
        <v>Documentos de planeación</v>
      </c>
      <c r="X43" s="127" t="str">
        <f>CONCATENATE(V43,"_",W43)</f>
        <v>019_Documentos de planeación</v>
      </c>
      <c r="Y43" s="127" t="str">
        <f>CONCATENATE(U43," ",X43)</f>
        <v>13-Servicios para la planeación y sistemas de gestión y comunicación estratégica 019_Documentos de planeación</v>
      </c>
      <c r="Z43" s="178" t="str">
        <f>CONCATENATE(P43,Q43,R43,S43,V43)</f>
        <v>O23011745992024020713019</v>
      </c>
      <c r="AA43" s="178" t="str">
        <f>IFERROR(VLOOKUP(Y43,TD!$K$46:$L$64,2,0)," ")</f>
        <v>PM/0131/0113/45990190207</v>
      </c>
      <c r="AB43" s="177" t="s">
        <v>138</v>
      </c>
      <c r="AC43" s="179" t="s">
        <v>204</v>
      </c>
    </row>
    <row r="44" spans="2:29" s="28" customFormat="1" ht="74.25" customHeight="1" x14ac:dyDescent="0.35">
      <c r="B44" s="170">
        <v>20250089</v>
      </c>
      <c r="C44" s="171" t="s">
        <v>208</v>
      </c>
      <c r="D44" s="172" t="s">
        <v>161</v>
      </c>
      <c r="E44" s="173" t="s">
        <v>355</v>
      </c>
      <c r="F44" s="172" t="s">
        <v>823</v>
      </c>
      <c r="G44" s="172" t="s">
        <v>155</v>
      </c>
      <c r="H44" s="174">
        <v>80111600</v>
      </c>
      <c r="I44" s="175">
        <v>2</v>
      </c>
      <c r="J44" s="175">
        <v>6</v>
      </c>
      <c r="K44" s="176">
        <v>0</v>
      </c>
      <c r="L44" s="177">
        <f>24000000+24000000</f>
        <v>48000000</v>
      </c>
      <c r="M44" s="172" t="s">
        <v>484</v>
      </c>
      <c r="N44" s="177" t="s">
        <v>113</v>
      </c>
      <c r="O44" s="173" t="s">
        <v>220</v>
      </c>
      <c r="P44" s="178" t="str">
        <f>IFERROR(VLOOKUP(C44,TD!$B$32:$F$36,2,0)," ")</f>
        <v>O230117</v>
      </c>
      <c r="Q44" s="178" t="str">
        <f>IFERROR(VLOOKUP(C44,TD!$B$32:$F$36,3,0)," ")</f>
        <v>4599</v>
      </c>
      <c r="R44" s="178">
        <f>IFERROR(VLOOKUP(C44,TD!$B$32:$F$36,4,0)," ")</f>
        <v>20240207</v>
      </c>
      <c r="S44" s="173" t="s">
        <v>193</v>
      </c>
      <c r="T44" s="178" t="str">
        <f>IFERROR(VLOOKUP(S44,TD!$J$33:$K$43,2,0)," ")</f>
        <v>Servicios para la planeación y sistemas de gestión y comunicación estratégica</v>
      </c>
      <c r="U44" s="127" t="str">
        <f>CONCATENATE(S44,"-",T44)</f>
        <v>13-Servicios para la planeación y sistemas de gestión y comunicación estratégica</v>
      </c>
      <c r="V44" s="173" t="s">
        <v>242</v>
      </c>
      <c r="W44" s="178" t="str">
        <f>IFERROR(VLOOKUP(V44,TD!$N$33:$O$45,2,0)," ")</f>
        <v>Documentos de planeación</v>
      </c>
      <c r="X44" s="127" t="str">
        <f>CONCATENATE(V44,"_",W44)</f>
        <v>019_Documentos de planeación</v>
      </c>
      <c r="Y44" s="127" t="str">
        <f>CONCATENATE(U44," ",X44)</f>
        <v>13-Servicios para la planeación y sistemas de gestión y comunicación estratégica 019_Documentos de planeación</v>
      </c>
      <c r="Z44" s="178" t="str">
        <f>CONCATENATE(P44,Q44,R44,S44,V44)</f>
        <v>O23011745992024020713019</v>
      </c>
      <c r="AA44" s="178" t="str">
        <f>IFERROR(VLOOKUP(Y44,TD!$K$46:$L$64,2,0)," ")</f>
        <v>PM/0131/0113/45990190207</v>
      </c>
      <c r="AB44" s="177" t="s">
        <v>138</v>
      </c>
      <c r="AC44" s="179" t="s">
        <v>204</v>
      </c>
    </row>
    <row r="45" spans="2:29" s="28" customFormat="1" ht="74.25" customHeight="1" x14ac:dyDescent="0.35">
      <c r="B45" s="170">
        <v>20250091</v>
      </c>
      <c r="C45" s="171" t="s">
        <v>208</v>
      </c>
      <c r="D45" s="172" t="s">
        <v>161</v>
      </c>
      <c r="E45" s="173" t="s">
        <v>355</v>
      </c>
      <c r="F45" s="172" t="s">
        <v>449</v>
      </c>
      <c r="G45" s="172" t="s">
        <v>155</v>
      </c>
      <c r="H45" s="174">
        <v>80111600</v>
      </c>
      <c r="I45" s="175">
        <v>2</v>
      </c>
      <c r="J45" s="175">
        <v>6</v>
      </c>
      <c r="K45" s="176">
        <v>0</v>
      </c>
      <c r="L45" s="177">
        <f>57200000-26000000</f>
        <v>31200000</v>
      </c>
      <c r="M45" s="172" t="s">
        <v>484</v>
      </c>
      <c r="N45" s="177" t="s">
        <v>113</v>
      </c>
      <c r="O45" s="173" t="s">
        <v>220</v>
      </c>
      <c r="P45" s="178" t="str">
        <f>IFERROR(VLOOKUP(C45,TD!$B$32:$F$36,2,0)," ")</f>
        <v>O230117</v>
      </c>
      <c r="Q45" s="178" t="str">
        <f>IFERROR(VLOOKUP(C45,TD!$B$32:$F$36,3,0)," ")</f>
        <v>4599</v>
      </c>
      <c r="R45" s="178">
        <f>IFERROR(VLOOKUP(C45,TD!$B$32:$F$36,4,0)," ")</f>
        <v>20240207</v>
      </c>
      <c r="S45" s="173" t="s">
        <v>193</v>
      </c>
      <c r="T45" s="178" t="str">
        <f>IFERROR(VLOOKUP(S45,TD!$J$33:$K$43,2,0)," ")</f>
        <v>Servicios para la planeación y sistemas de gestión y comunicación estratégica</v>
      </c>
      <c r="U45" s="127" t="str">
        <f>CONCATENATE(S45,"-",T45)</f>
        <v>13-Servicios para la planeación y sistemas de gestión y comunicación estratégica</v>
      </c>
      <c r="V45" s="173" t="s">
        <v>242</v>
      </c>
      <c r="W45" s="178" t="str">
        <f>IFERROR(VLOOKUP(V45,TD!$N$33:$O$45,2,0)," ")</f>
        <v>Documentos de planeación</v>
      </c>
      <c r="X45" s="127" t="str">
        <f>CONCATENATE(V45,"_",W45)</f>
        <v>019_Documentos de planeación</v>
      </c>
      <c r="Y45" s="127" t="str">
        <f>CONCATENATE(U45," ",X45)</f>
        <v>13-Servicios para la planeación y sistemas de gestión y comunicación estratégica 019_Documentos de planeación</v>
      </c>
      <c r="Z45" s="178" t="str">
        <f>CONCATENATE(P45,Q45,R45,S45,V45)</f>
        <v>O23011745992024020713019</v>
      </c>
      <c r="AA45" s="178" t="str">
        <f>IFERROR(VLOOKUP(Y45,TD!$K$46:$L$64,2,0)," ")</f>
        <v>PM/0131/0113/45990190207</v>
      </c>
      <c r="AB45" s="177" t="s">
        <v>138</v>
      </c>
      <c r="AC45" s="179" t="s">
        <v>204</v>
      </c>
    </row>
    <row r="46" spans="2:29" s="28" customFormat="1" ht="74.25" customHeight="1" x14ac:dyDescent="0.35">
      <c r="B46" s="170">
        <v>20250093</v>
      </c>
      <c r="C46" s="171" t="s">
        <v>208</v>
      </c>
      <c r="D46" s="172" t="s">
        <v>161</v>
      </c>
      <c r="E46" s="173" t="s">
        <v>355</v>
      </c>
      <c r="F46" s="172" t="s">
        <v>453</v>
      </c>
      <c r="G46" s="172" t="s">
        <v>155</v>
      </c>
      <c r="H46" s="174">
        <v>80111600</v>
      </c>
      <c r="I46" s="175">
        <v>2</v>
      </c>
      <c r="J46" s="175">
        <v>6</v>
      </c>
      <c r="K46" s="176">
        <v>0</v>
      </c>
      <c r="L46" s="177">
        <f>57200000-26000000</f>
        <v>31200000</v>
      </c>
      <c r="M46" s="172" t="s">
        <v>484</v>
      </c>
      <c r="N46" s="177" t="s">
        <v>113</v>
      </c>
      <c r="O46" s="173" t="s">
        <v>220</v>
      </c>
      <c r="P46" s="178" t="str">
        <f>IFERROR(VLOOKUP(C46,TD!$B$32:$F$36,2,0)," ")</f>
        <v>O230117</v>
      </c>
      <c r="Q46" s="178" t="str">
        <f>IFERROR(VLOOKUP(C46,TD!$B$32:$F$36,3,0)," ")</f>
        <v>4599</v>
      </c>
      <c r="R46" s="178">
        <f>IFERROR(VLOOKUP(C46,TD!$B$32:$F$36,4,0)," ")</f>
        <v>20240207</v>
      </c>
      <c r="S46" s="173" t="s">
        <v>193</v>
      </c>
      <c r="T46" s="178" t="str">
        <f>IFERROR(VLOOKUP(S46,TD!$J$33:$K$43,2,0)," ")</f>
        <v>Servicios para la planeación y sistemas de gestión y comunicación estratégica</v>
      </c>
      <c r="U46" s="127" t="str">
        <f>CONCATENATE(S46,"-",T46)</f>
        <v>13-Servicios para la planeación y sistemas de gestión y comunicación estratégica</v>
      </c>
      <c r="V46" s="173" t="s">
        <v>242</v>
      </c>
      <c r="W46" s="178" t="str">
        <f>IFERROR(VLOOKUP(V46,TD!$N$33:$O$45,2,0)," ")</f>
        <v>Documentos de planeación</v>
      </c>
      <c r="X46" s="127" t="str">
        <f>CONCATENATE(V46,"_",W46)</f>
        <v>019_Documentos de planeación</v>
      </c>
      <c r="Y46" s="127" t="str">
        <f>CONCATENATE(U46," ",X46)</f>
        <v>13-Servicios para la planeación y sistemas de gestión y comunicación estratégica 019_Documentos de planeación</v>
      </c>
      <c r="Z46" s="178" t="str">
        <f>CONCATENATE(P46,Q46,R46,S46,V46)</f>
        <v>O23011745992024020713019</v>
      </c>
      <c r="AA46" s="178" t="str">
        <f>IFERROR(VLOOKUP(Y46,TD!$K$46:$L$64,2,0)," ")</f>
        <v>PM/0131/0113/45990190207</v>
      </c>
      <c r="AB46" s="177" t="s">
        <v>138</v>
      </c>
      <c r="AC46" s="179" t="s">
        <v>204</v>
      </c>
    </row>
    <row r="47" spans="2:29" s="28" customFormat="1" ht="74.25" customHeight="1" x14ac:dyDescent="0.35">
      <c r="B47" s="170">
        <v>20250094</v>
      </c>
      <c r="C47" s="171" t="s">
        <v>208</v>
      </c>
      <c r="D47" s="172" t="s">
        <v>161</v>
      </c>
      <c r="E47" s="173" t="s">
        <v>355</v>
      </c>
      <c r="F47" s="172" t="s">
        <v>794</v>
      </c>
      <c r="G47" s="172" t="s">
        <v>155</v>
      </c>
      <c r="H47" s="174">
        <v>80111600</v>
      </c>
      <c r="I47" s="175">
        <v>2</v>
      </c>
      <c r="J47" s="175">
        <v>6</v>
      </c>
      <c r="K47" s="176">
        <v>0</v>
      </c>
      <c r="L47" s="177">
        <f>29700000+300000</f>
        <v>30000000</v>
      </c>
      <c r="M47" s="172" t="s">
        <v>484</v>
      </c>
      <c r="N47" s="177" t="s">
        <v>113</v>
      </c>
      <c r="O47" s="173" t="s">
        <v>220</v>
      </c>
      <c r="P47" s="178" t="str">
        <f>IFERROR(VLOOKUP(C47,TD!$B$32:$F$36,2,0)," ")</f>
        <v>O230117</v>
      </c>
      <c r="Q47" s="178" t="str">
        <f>IFERROR(VLOOKUP(C47,TD!$B$32:$F$36,3,0)," ")</f>
        <v>4599</v>
      </c>
      <c r="R47" s="178">
        <f>IFERROR(VLOOKUP(C47,TD!$B$32:$F$36,4,0)," ")</f>
        <v>20240207</v>
      </c>
      <c r="S47" s="173" t="s">
        <v>193</v>
      </c>
      <c r="T47" s="178" t="str">
        <f>IFERROR(VLOOKUP(S47,TD!$J$33:$K$43,2,0)," ")</f>
        <v>Servicios para la planeación y sistemas de gestión y comunicación estratégica</v>
      </c>
      <c r="U47" s="127" t="str">
        <f>CONCATENATE(S47,"-",T47)</f>
        <v>13-Servicios para la planeación y sistemas de gestión y comunicación estratégica</v>
      </c>
      <c r="V47" s="173" t="s">
        <v>242</v>
      </c>
      <c r="W47" s="178" t="str">
        <f>IFERROR(VLOOKUP(V47,TD!$N$33:$O$45,2,0)," ")</f>
        <v>Documentos de planeación</v>
      </c>
      <c r="X47" s="127" t="str">
        <f>CONCATENATE(V47,"_",W47)</f>
        <v>019_Documentos de planeación</v>
      </c>
      <c r="Y47" s="127" t="str">
        <f>CONCATENATE(U47," ",X47)</f>
        <v>13-Servicios para la planeación y sistemas de gestión y comunicación estratégica 019_Documentos de planeación</v>
      </c>
      <c r="Z47" s="178" t="str">
        <f>CONCATENATE(P47,Q47,R47,S47,V47)</f>
        <v>O23011745992024020713019</v>
      </c>
      <c r="AA47" s="178" t="str">
        <f>IFERROR(VLOOKUP(Y47,TD!$K$46:$L$64,2,0)," ")</f>
        <v>PM/0131/0113/45990190207</v>
      </c>
      <c r="AB47" s="177" t="s">
        <v>138</v>
      </c>
      <c r="AC47" s="179" t="s">
        <v>204</v>
      </c>
    </row>
    <row r="48" spans="2:29" s="28" customFormat="1" ht="74.25" customHeight="1" x14ac:dyDescent="0.35">
      <c r="B48" s="170">
        <v>20250095</v>
      </c>
      <c r="C48" s="171" t="s">
        <v>208</v>
      </c>
      <c r="D48" s="172" t="s">
        <v>45</v>
      </c>
      <c r="E48" s="173" t="s">
        <v>355</v>
      </c>
      <c r="F48" s="172" t="s">
        <v>825</v>
      </c>
      <c r="G48" s="172" t="s">
        <v>155</v>
      </c>
      <c r="H48" s="174">
        <v>80111600</v>
      </c>
      <c r="I48" s="175">
        <v>2</v>
      </c>
      <c r="J48" s="175">
        <v>9</v>
      </c>
      <c r="K48" s="176">
        <v>0</v>
      </c>
      <c r="L48" s="177">
        <f>197876507-107876507</f>
        <v>90000000</v>
      </c>
      <c r="M48" s="172" t="s">
        <v>484</v>
      </c>
      <c r="N48" s="177" t="s">
        <v>113</v>
      </c>
      <c r="O48" s="173" t="s">
        <v>219</v>
      </c>
      <c r="P48" s="178" t="str">
        <f>IFERROR(VLOOKUP(C48,TD!$B$32:$F$36,2,0)," ")</f>
        <v>O230117</v>
      </c>
      <c r="Q48" s="178" t="str">
        <f>IFERROR(VLOOKUP(C48,TD!$B$32:$F$36,3,0)," ")</f>
        <v>4599</v>
      </c>
      <c r="R48" s="178">
        <f>IFERROR(VLOOKUP(C48,TD!$B$32:$F$36,4,0)," ")</f>
        <v>20240207</v>
      </c>
      <c r="S48" s="173" t="s">
        <v>185</v>
      </c>
      <c r="T48" s="178" t="str">
        <f>IFERROR(VLOOKUP(S48,TD!$J$33:$K$43,2,0)," ")</f>
        <v>Infraestructura física, mantenimiento y dotación (Sedes construidas, mantenidas reforzadas)</v>
      </c>
      <c r="U48" s="127" t="str">
        <f>CONCATENATE(S48,"-",T48)</f>
        <v>08-Infraestructura física, mantenimiento y dotación (Sedes construidas, mantenidas reforzadas)</v>
      </c>
      <c r="V48" s="173" t="s">
        <v>238</v>
      </c>
      <c r="W48" s="178" t="str">
        <f>IFERROR(VLOOKUP(V48,TD!$N$33:$O$45,2,0)," ")</f>
        <v>Sedes mantenidas</v>
      </c>
      <c r="X48" s="127" t="str">
        <f>CONCATENATE(V48,"_",W48)</f>
        <v>016_Sedes mantenidas</v>
      </c>
      <c r="Y48" s="127" t="str">
        <f>CONCATENATE(U48," ",X48)</f>
        <v>08-Infraestructura física, mantenimiento y dotación (Sedes construidas, mantenidas reforzadas) 016_Sedes mantenidas</v>
      </c>
      <c r="Z48" s="178" t="str">
        <f>CONCATENATE(P48,Q48,R48,S48,V48)</f>
        <v>O23011745992024020708016</v>
      </c>
      <c r="AA48" s="178" t="str">
        <f>IFERROR(VLOOKUP(Y48,TD!$K$46:$L$64,2,0)," ")</f>
        <v>PM/0131/0108/45990160207</v>
      </c>
      <c r="AB48" s="177" t="s">
        <v>138</v>
      </c>
      <c r="AC48" s="179" t="s">
        <v>204</v>
      </c>
    </row>
    <row r="49" spans="2:29" s="28" customFormat="1" ht="74.25" customHeight="1" x14ac:dyDescent="0.35">
      <c r="B49" s="170">
        <v>20250096</v>
      </c>
      <c r="C49" s="171" t="s">
        <v>208</v>
      </c>
      <c r="D49" s="172" t="s">
        <v>161</v>
      </c>
      <c r="E49" s="173" t="s">
        <v>355</v>
      </c>
      <c r="F49" s="172" t="s">
        <v>509</v>
      </c>
      <c r="G49" s="172" t="s">
        <v>155</v>
      </c>
      <c r="H49" s="174">
        <v>80111600</v>
      </c>
      <c r="I49" s="175">
        <v>2</v>
      </c>
      <c r="J49" s="175">
        <v>6</v>
      </c>
      <c r="K49" s="176">
        <v>0</v>
      </c>
      <c r="L49" s="177">
        <f>167500000-112300000</f>
        <v>55200000</v>
      </c>
      <c r="M49" s="172" t="s">
        <v>484</v>
      </c>
      <c r="N49" s="177" t="s">
        <v>113</v>
      </c>
      <c r="O49" s="173" t="s">
        <v>220</v>
      </c>
      <c r="P49" s="178" t="str">
        <f>IFERROR(VLOOKUP(C49,TD!$B$32:$F$36,2,0)," ")</f>
        <v>O230117</v>
      </c>
      <c r="Q49" s="178" t="str">
        <f>IFERROR(VLOOKUP(C49,TD!$B$32:$F$36,3,0)," ")</f>
        <v>4599</v>
      </c>
      <c r="R49" s="178">
        <f>IFERROR(VLOOKUP(C49,TD!$B$32:$F$36,4,0)," ")</f>
        <v>20240207</v>
      </c>
      <c r="S49" s="173" t="s">
        <v>193</v>
      </c>
      <c r="T49" s="178" t="str">
        <f>IFERROR(VLOOKUP(S49,TD!$J$33:$K$43,2,0)," ")</f>
        <v>Servicios para la planeación y sistemas de gestión y comunicación estratégica</v>
      </c>
      <c r="U49" s="127" t="str">
        <f>CONCATENATE(S49,"-",T49)</f>
        <v>13-Servicios para la planeación y sistemas de gestión y comunicación estratégica</v>
      </c>
      <c r="V49" s="173" t="s">
        <v>242</v>
      </c>
      <c r="W49" s="178" t="str">
        <f>IFERROR(VLOOKUP(V49,TD!$N$33:$O$45,2,0)," ")</f>
        <v>Documentos de planeación</v>
      </c>
      <c r="X49" s="127" t="str">
        <f>CONCATENATE(V49,"_",W49)</f>
        <v>019_Documentos de planeación</v>
      </c>
      <c r="Y49" s="127" t="str">
        <f>CONCATENATE(U49," ",X49)</f>
        <v>13-Servicios para la planeación y sistemas de gestión y comunicación estratégica 019_Documentos de planeación</v>
      </c>
      <c r="Z49" s="178" t="str">
        <f>CONCATENATE(P49,Q49,R49,S49,V49)</f>
        <v>O23011745992024020713019</v>
      </c>
      <c r="AA49" s="178" t="str">
        <f>IFERROR(VLOOKUP(Y49,TD!$K$46:$L$64,2,0)," ")</f>
        <v>PM/0131/0113/45990190207</v>
      </c>
      <c r="AB49" s="177" t="s">
        <v>138</v>
      </c>
      <c r="AC49" s="179" t="s">
        <v>204</v>
      </c>
    </row>
    <row r="50" spans="2:29" s="28" customFormat="1" ht="74.25" customHeight="1" x14ac:dyDescent="0.35">
      <c r="B50" s="170">
        <v>20250097</v>
      </c>
      <c r="C50" s="171" t="s">
        <v>209</v>
      </c>
      <c r="D50" s="172" t="s">
        <v>165</v>
      </c>
      <c r="E50" s="173" t="s">
        <v>510</v>
      </c>
      <c r="F50" s="172" t="s">
        <v>833</v>
      </c>
      <c r="G50" s="172" t="s">
        <v>155</v>
      </c>
      <c r="H50" s="174">
        <v>80111600</v>
      </c>
      <c r="I50" s="175">
        <v>1</v>
      </c>
      <c r="J50" s="175">
        <v>11</v>
      </c>
      <c r="K50" s="176">
        <v>0</v>
      </c>
      <c r="L50" s="177">
        <f>87004500-20067000</f>
        <v>66937500</v>
      </c>
      <c r="M50" s="172" t="s">
        <v>484</v>
      </c>
      <c r="N50" s="177" t="s">
        <v>113</v>
      </c>
      <c r="O50" s="173" t="s">
        <v>229</v>
      </c>
      <c r="P50" s="178" t="str">
        <f>IFERROR(VLOOKUP(C50,TD!$B$32:$F$36,2,0)," ")</f>
        <v>O230117</v>
      </c>
      <c r="Q50" s="178" t="str">
        <f>IFERROR(VLOOKUP(C50,TD!$B$32:$F$36,3,0)," ")</f>
        <v>4503</v>
      </c>
      <c r="R50" s="178">
        <f>IFERROR(VLOOKUP(C50,TD!$B$32:$F$36,4,0)," ")</f>
        <v>20240255</v>
      </c>
      <c r="S50" s="173" t="s">
        <v>183</v>
      </c>
      <c r="T50" s="178" t="str">
        <f>IFERROR(VLOOKUP(S50,TD!$J$33:$K$43,2,0)," ")</f>
        <v>Servicio de formación en gestión del riesgo de incendios para el personal UAECOB</v>
      </c>
      <c r="U50" s="127" t="str">
        <f>CONCATENATE(S50,"-",T50)</f>
        <v>07-Servicio de formación en gestión del riesgo de incendios para el personal UAECOB</v>
      </c>
      <c r="V50" s="173" t="s">
        <v>233</v>
      </c>
      <c r="W50" s="178" t="str">
        <f>IFERROR(VLOOKUP(V50,TD!$N$33:$O$45,2,0)," ")</f>
        <v>Servicio de educación informal</v>
      </c>
      <c r="X50" s="127" t="str">
        <f>CONCATENATE(V50,"_",W50)</f>
        <v>002_Servicio de educación informal</v>
      </c>
      <c r="Y50" s="127" t="str">
        <f>CONCATENATE(U50," ",X50)</f>
        <v>07-Servicio de formación en gestión del riesgo de incendios para el personal UAECOB 002_Servicio de educación informal</v>
      </c>
      <c r="Z50" s="178" t="str">
        <f>CONCATENATE(P50,Q50,R50,S50,V50)</f>
        <v>O23011745032024025507002</v>
      </c>
      <c r="AA50" s="178" t="str">
        <f>IFERROR(VLOOKUP(Y50,TD!$K$46:$L$64,2,0)," ")</f>
        <v>PM/0131/0107/45030020255</v>
      </c>
      <c r="AB50" s="188" t="s">
        <v>138</v>
      </c>
      <c r="AC50" s="179" t="s">
        <v>204</v>
      </c>
    </row>
    <row r="51" spans="2:29" s="28" customFormat="1" ht="74.25" customHeight="1" x14ac:dyDescent="0.35">
      <c r="B51" s="170">
        <v>20250098</v>
      </c>
      <c r="C51" s="171" t="s">
        <v>209</v>
      </c>
      <c r="D51" s="172" t="s">
        <v>165</v>
      </c>
      <c r="E51" s="173" t="s">
        <v>510</v>
      </c>
      <c r="F51" s="172" t="s">
        <v>817</v>
      </c>
      <c r="G51" s="172" t="s">
        <v>155</v>
      </c>
      <c r="H51" s="174">
        <v>80111600</v>
      </c>
      <c r="I51" s="175">
        <v>1</v>
      </c>
      <c r="J51" s="175">
        <v>11</v>
      </c>
      <c r="K51" s="176">
        <v>0</v>
      </c>
      <c r="L51" s="177">
        <f>87004500-20067000</f>
        <v>66937500</v>
      </c>
      <c r="M51" s="172" t="s">
        <v>484</v>
      </c>
      <c r="N51" s="177" t="s">
        <v>113</v>
      </c>
      <c r="O51" s="173" t="s">
        <v>229</v>
      </c>
      <c r="P51" s="178" t="str">
        <f>IFERROR(VLOOKUP(C51,TD!$B$32:$F$36,2,0)," ")</f>
        <v>O230117</v>
      </c>
      <c r="Q51" s="178" t="str">
        <f>IFERROR(VLOOKUP(C51,TD!$B$32:$F$36,3,0)," ")</f>
        <v>4503</v>
      </c>
      <c r="R51" s="178">
        <f>IFERROR(VLOOKUP(C51,TD!$B$32:$F$36,4,0)," ")</f>
        <v>20240255</v>
      </c>
      <c r="S51" s="173" t="s">
        <v>183</v>
      </c>
      <c r="T51" s="178" t="str">
        <f>IFERROR(VLOOKUP(S51,TD!$J$33:$K$43,2,0)," ")</f>
        <v>Servicio de formación en gestión del riesgo de incendios para el personal UAECOB</v>
      </c>
      <c r="U51" s="127" t="str">
        <f>CONCATENATE(S51,"-",T51)</f>
        <v>07-Servicio de formación en gestión del riesgo de incendios para el personal UAECOB</v>
      </c>
      <c r="V51" s="173" t="s">
        <v>233</v>
      </c>
      <c r="W51" s="178" t="str">
        <f>IFERROR(VLOOKUP(V51,TD!$N$33:$O$45,2,0)," ")</f>
        <v>Servicio de educación informal</v>
      </c>
      <c r="X51" s="127" t="str">
        <f>CONCATENATE(V51,"_",W51)</f>
        <v>002_Servicio de educación informal</v>
      </c>
      <c r="Y51" s="127" t="str">
        <f>CONCATENATE(U51," ",X51)</f>
        <v>07-Servicio de formación en gestión del riesgo de incendios para el personal UAECOB 002_Servicio de educación informal</v>
      </c>
      <c r="Z51" s="178" t="str">
        <f>CONCATENATE(P51,Q51,R51,S51,V51)</f>
        <v>O23011745032024025507002</v>
      </c>
      <c r="AA51" s="178" t="str">
        <f>IFERROR(VLOOKUP(Y51,TD!$K$46:$L$64,2,0)," ")</f>
        <v>PM/0131/0107/45030020255</v>
      </c>
      <c r="AB51" s="188" t="s">
        <v>120</v>
      </c>
      <c r="AC51" s="179" t="s">
        <v>204</v>
      </c>
    </row>
    <row r="52" spans="2:29" s="28" customFormat="1" ht="74.25" customHeight="1" x14ac:dyDescent="0.35">
      <c r="B52" s="170">
        <v>20250099</v>
      </c>
      <c r="C52" s="171" t="s">
        <v>209</v>
      </c>
      <c r="D52" s="172" t="s">
        <v>165</v>
      </c>
      <c r="E52" s="173" t="s">
        <v>510</v>
      </c>
      <c r="F52" s="172" t="s">
        <v>818</v>
      </c>
      <c r="G52" s="172" t="s">
        <v>155</v>
      </c>
      <c r="H52" s="174">
        <v>80111600</v>
      </c>
      <c r="I52" s="175">
        <v>2</v>
      </c>
      <c r="J52" s="175">
        <v>10</v>
      </c>
      <c r="K52" s="176">
        <v>0</v>
      </c>
      <c r="L52" s="177">
        <f>69603600-11138000-8065600</f>
        <v>50400000</v>
      </c>
      <c r="M52" s="172" t="s">
        <v>484</v>
      </c>
      <c r="N52" s="177" t="s">
        <v>113</v>
      </c>
      <c r="O52" s="173" t="s">
        <v>229</v>
      </c>
      <c r="P52" s="178" t="str">
        <f>IFERROR(VLOOKUP(C52,TD!$B$32:$F$36,2,0)," ")</f>
        <v>O230117</v>
      </c>
      <c r="Q52" s="178" t="str">
        <f>IFERROR(VLOOKUP(C52,TD!$B$32:$F$36,3,0)," ")</f>
        <v>4503</v>
      </c>
      <c r="R52" s="178">
        <f>IFERROR(VLOOKUP(C52,TD!$B$32:$F$36,4,0)," ")</f>
        <v>20240255</v>
      </c>
      <c r="S52" s="173" t="s">
        <v>183</v>
      </c>
      <c r="T52" s="178" t="str">
        <f>IFERROR(VLOOKUP(S52,TD!$J$33:$K$43,2,0)," ")</f>
        <v>Servicio de formación en gestión del riesgo de incendios para el personal UAECOB</v>
      </c>
      <c r="U52" s="127" t="str">
        <f>CONCATENATE(S52,"-",T52)</f>
        <v>07-Servicio de formación en gestión del riesgo de incendios para el personal UAECOB</v>
      </c>
      <c r="V52" s="173" t="s">
        <v>233</v>
      </c>
      <c r="W52" s="178" t="str">
        <f>IFERROR(VLOOKUP(V52,TD!$N$33:$O$45,2,0)," ")</f>
        <v>Servicio de educación informal</v>
      </c>
      <c r="X52" s="127" t="str">
        <f>CONCATENATE(V52,"_",W52)</f>
        <v>002_Servicio de educación informal</v>
      </c>
      <c r="Y52" s="127" t="str">
        <f>CONCATENATE(U52," ",X52)</f>
        <v>07-Servicio de formación en gestión del riesgo de incendios para el personal UAECOB 002_Servicio de educación informal</v>
      </c>
      <c r="Z52" s="178" t="str">
        <f>CONCATENATE(P52,Q52,R52,S52,V52)</f>
        <v>O23011745032024025507002</v>
      </c>
      <c r="AA52" s="178" t="str">
        <f>IFERROR(VLOOKUP(Y52,TD!$K$46:$L$64,2,0)," ")</f>
        <v>PM/0131/0107/45030020255</v>
      </c>
      <c r="AB52" s="188" t="s">
        <v>120</v>
      </c>
      <c r="AC52" s="179" t="s">
        <v>204</v>
      </c>
    </row>
    <row r="53" spans="2:29" s="28" customFormat="1" ht="74.25" customHeight="1" x14ac:dyDescent="0.35">
      <c r="B53" s="170">
        <v>20250100</v>
      </c>
      <c r="C53" s="171" t="s">
        <v>209</v>
      </c>
      <c r="D53" s="172" t="s">
        <v>165</v>
      </c>
      <c r="E53" s="173" t="s">
        <v>510</v>
      </c>
      <c r="F53" s="172" t="s">
        <v>819</v>
      </c>
      <c r="G53" s="172" t="s">
        <v>155</v>
      </c>
      <c r="H53" s="174">
        <v>80111600</v>
      </c>
      <c r="I53" s="175">
        <v>2</v>
      </c>
      <c r="J53" s="175">
        <v>11</v>
      </c>
      <c r="K53" s="176">
        <v>0</v>
      </c>
      <c r="L53" s="177">
        <f>63466883-13066883</f>
        <v>50400000</v>
      </c>
      <c r="M53" s="172" t="s">
        <v>484</v>
      </c>
      <c r="N53" s="177" t="s">
        <v>113</v>
      </c>
      <c r="O53" s="173" t="s">
        <v>229</v>
      </c>
      <c r="P53" s="178" t="str">
        <f>IFERROR(VLOOKUP(C53,TD!$B$32:$F$36,2,0)," ")</f>
        <v>O230117</v>
      </c>
      <c r="Q53" s="178" t="str">
        <f>IFERROR(VLOOKUP(C53,TD!$B$32:$F$36,3,0)," ")</f>
        <v>4503</v>
      </c>
      <c r="R53" s="178">
        <f>IFERROR(VLOOKUP(C53,TD!$B$32:$F$36,4,0)," ")</f>
        <v>20240255</v>
      </c>
      <c r="S53" s="173" t="s">
        <v>183</v>
      </c>
      <c r="T53" s="178" t="str">
        <f>IFERROR(VLOOKUP(S53,TD!$J$33:$K$43,2,0)," ")</f>
        <v>Servicio de formación en gestión del riesgo de incendios para el personal UAECOB</v>
      </c>
      <c r="U53" s="127" t="str">
        <f>CONCATENATE(S53,"-",T53)</f>
        <v>07-Servicio de formación en gestión del riesgo de incendios para el personal UAECOB</v>
      </c>
      <c r="V53" s="173" t="s">
        <v>233</v>
      </c>
      <c r="W53" s="178" t="str">
        <f>IFERROR(VLOOKUP(V53,TD!$N$33:$O$45,2,0)," ")</f>
        <v>Servicio de educación informal</v>
      </c>
      <c r="X53" s="127" t="str">
        <f>CONCATENATE(V53,"_",W53)</f>
        <v>002_Servicio de educación informal</v>
      </c>
      <c r="Y53" s="127" t="str">
        <f>CONCATENATE(U53," ",X53)</f>
        <v>07-Servicio de formación en gestión del riesgo de incendios para el personal UAECOB 002_Servicio de educación informal</v>
      </c>
      <c r="Z53" s="178" t="str">
        <f>CONCATENATE(P53,Q53,R53,S53,V53)</f>
        <v>O23011745032024025507002</v>
      </c>
      <c r="AA53" s="178" t="str">
        <f>IFERROR(VLOOKUP(Y53,TD!$K$46:$L$64,2,0)," ")</f>
        <v>PM/0131/0107/45030020255</v>
      </c>
      <c r="AB53" s="188" t="s">
        <v>120</v>
      </c>
      <c r="AC53" s="179" t="s">
        <v>204</v>
      </c>
    </row>
    <row r="54" spans="2:29" s="28" customFormat="1" ht="74.25" customHeight="1" x14ac:dyDescent="0.35">
      <c r="B54" s="170">
        <v>20250101</v>
      </c>
      <c r="C54" s="171" t="s">
        <v>209</v>
      </c>
      <c r="D54" s="172" t="s">
        <v>165</v>
      </c>
      <c r="E54" s="173" t="s">
        <v>510</v>
      </c>
      <c r="F54" s="172" t="s">
        <v>820</v>
      </c>
      <c r="G54" s="172" t="s">
        <v>155</v>
      </c>
      <c r="H54" s="174">
        <v>80111600</v>
      </c>
      <c r="I54" s="175">
        <v>2</v>
      </c>
      <c r="J54" s="175">
        <v>11</v>
      </c>
      <c r="K54" s="176">
        <v>0</v>
      </c>
      <c r="L54" s="177">
        <f>53316357-986463-11310595</f>
        <v>41019299</v>
      </c>
      <c r="M54" s="172" t="s">
        <v>484</v>
      </c>
      <c r="N54" s="177" t="s">
        <v>113</v>
      </c>
      <c r="O54" s="173" t="s">
        <v>229</v>
      </c>
      <c r="P54" s="178" t="str">
        <f>IFERROR(VLOOKUP(C54,TD!$B$32:$F$36,2,0)," ")</f>
        <v>O230117</v>
      </c>
      <c r="Q54" s="178" t="str">
        <f>IFERROR(VLOOKUP(C54,TD!$B$32:$F$36,3,0)," ")</f>
        <v>4503</v>
      </c>
      <c r="R54" s="178">
        <f>IFERROR(VLOOKUP(C54,TD!$B$32:$F$36,4,0)," ")</f>
        <v>20240255</v>
      </c>
      <c r="S54" s="173" t="s">
        <v>183</v>
      </c>
      <c r="T54" s="178" t="str">
        <f>IFERROR(VLOOKUP(S54,TD!$J$33:$K$43,2,0)," ")</f>
        <v>Servicio de formación en gestión del riesgo de incendios para el personal UAECOB</v>
      </c>
      <c r="U54" s="127" t="str">
        <f>CONCATENATE(S54,"-",T54)</f>
        <v>07-Servicio de formación en gestión del riesgo de incendios para el personal UAECOB</v>
      </c>
      <c r="V54" s="173" t="s">
        <v>233</v>
      </c>
      <c r="W54" s="178" t="str">
        <f>IFERROR(VLOOKUP(V54,TD!$N$33:$O$45,2,0)," ")</f>
        <v>Servicio de educación informal</v>
      </c>
      <c r="X54" s="127" t="str">
        <f>CONCATENATE(V54,"_",W54)</f>
        <v>002_Servicio de educación informal</v>
      </c>
      <c r="Y54" s="127" t="str">
        <f>CONCATENATE(U54," ",X54)</f>
        <v>07-Servicio de formación en gestión del riesgo de incendios para el personal UAECOB 002_Servicio de educación informal</v>
      </c>
      <c r="Z54" s="178" t="str">
        <f>CONCATENATE(P54,Q54,R54,S54,V54)</f>
        <v>O23011745032024025507002</v>
      </c>
      <c r="AA54" s="178" t="str">
        <f>IFERROR(VLOOKUP(Y54,TD!$K$46:$L$64,2,0)," ")</f>
        <v>PM/0131/0107/45030020255</v>
      </c>
      <c r="AB54" s="188" t="s">
        <v>138</v>
      </c>
      <c r="AC54" s="179" t="s">
        <v>204</v>
      </c>
    </row>
    <row r="55" spans="2:29" s="28" customFormat="1" ht="74.25" customHeight="1" x14ac:dyDescent="0.35">
      <c r="B55" s="170">
        <v>20250102</v>
      </c>
      <c r="C55" s="171" t="s">
        <v>209</v>
      </c>
      <c r="D55" s="172" t="s">
        <v>165</v>
      </c>
      <c r="E55" s="173" t="s">
        <v>510</v>
      </c>
      <c r="F55" s="172" t="s">
        <v>396</v>
      </c>
      <c r="G55" s="172" t="s">
        <v>155</v>
      </c>
      <c r="H55" s="174">
        <v>80111600</v>
      </c>
      <c r="I55" s="175">
        <v>3</v>
      </c>
      <c r="J55" s="175">
        <v>10</v>
      </c>
      <c r="K55" s="176">
        <v>0</v>
      </c>
      <c r="L55" s="177">
        <f>57697166-8868491</f>
        <v>48828675</v>
      </c>
      <c r="M55" s="172" t="s">
        <v>484</v>
      </c>
      <c r="N55" s="177" t="s">
        <v>113</v>
      </c>
      <c r="O55" s="173" t="s">
        <v>229</v>
      </c>
      <c r="P55" s="178" t="str">
        <f>IFERROR(VLOOKUP(C55,TD!$B$32:$F$36,2,0)," ")</f>
        <v>O230117</v>
      </c>
      <c r="Q55" s="178" t="str">
        <f>IFERROR(VLOOKUP(C55,TD!$B$32:$F$36,3,0)," ")</f>
        <v>4503</v>
      </c>
      <c r="R55" s="178">
        <f>IFERROR(VLOOKUP(C55,TD!$B$32:$F$36,4,0)," ")</f>
        <v>20240255</v>
      </c>
      <c r="S55" s="173" t="s">
        <v>183</v>
      </c>
      <c r="T55" s="178" t="str">
        <f>IFERROR(VLOOKUP(S55,TD!$J$33:$K$43,2,0)," ")</f>
        <v>Servicio de formación en gestión del riesgo de incendios para el personal UAECOB</v>
      </c>
      <c r="U55" s="127" t="str">
        <f>CONCATENATE(S55,"-",T55)</f>
        <v>07-Servicio de formación en gestión del riesgo de incendios para el personal UAECOB</v>
      </c>
      <c r="V55" s="173" t="s">
        <v>233</v>
      </c>
      <c r="W55" s="178" t="str">
        <f>IFERROR(VLOOKUP(V55,TD!$N$33:$O$45,2,0)," ")</f>
        <v>Servicio de educación informal</v>
      </c>
      <c r="X55" s="127" t="str">
        <f>CONCATENATE(V55,"_",W55)</f>
        <v>002_Servicio de educación informal</v>
      </c>
      <c r="Y55" s="127" t="str">
        <f>CONCATENATE(U55," ",X55)</f>
        <v>07-Servicio de formación en gestión del riesgo de incendios para el personal UAECOB 002_Servicio de educación informal</v>
      </c>
      <c r="Z55" s="178" t="str">
        <f>CONCATENATE(P55,Q55,R55,S55,V55)</f>
        <v>O23011745032024025507002</v>
      </c>
      <c r="AA55" s="178" t="str">
        <f>IFERROR(VLOOKUP(Y55,TD!$K$46:$L$64,2,0)," ")</f>
        <v>PM/0131/0107/45030020255</v>
      </c>
      <c r="AB55" s="188" t="s">
        <v>138</v>
      </c>
      <c r="AC55" s="179" t="s">
        <v>204</v>
      </c>
    </row>
    <row r="56" spans="2:29" s="28" customFormat="1" ht="74.25" customHeight="1" x14ac:dyDescent="0.35">
      <c r="B56" s="170">
        <v>20250103</v>
      </c>
      <c r="C56" s="171" t="s">
        <v>209</v>
      </c>
      <c r="D56" s="172" t="s">
        <v>165</v>
      </c>
      <c r="E56" s="173" t="s">
        <v>510</v>
      </c>
      <c r="F56" s="172" t="s">
        <v>397</v>
      </c>
      <c r="G56" s="172" t="s">
        <v>155</v>
      </c>
      <c r="H56" s="174">
        <v>80111600</v>
      </c>
      <c r="I56" s="175">
        <v>3</v>
      </c>
      <c r="J56" s="175">
        <v>10</v>
      </c>
      <c r="K56" s="176">
        <v>0</v>
      </c>
      <c r="L56" s="177">
        <f>42922220-8734220</f>
        <v>34188000</v>
      </c>
      <c r="M56" s="172" t="s">
        <v>484</v>
      </c>
      <c r="N56" s="177" t="s">
        <v>113</v>
      </c>
      <c r="O56" s="173" t="s">
        <v>229</v>
      </c>
      <c r="P56" s="178" t="str">
        <f>IFERROR(VLOOKUP(C56,TD!$B$32:$F$36,2,0)," ")</f>
        <v>O230117</v>
      </c>
      <c r="Q56" s="178" t="str">
        <f>IFERROR(VLOOKUP(C56,TD!$B$32:$F$36,3,0)," ")</f>
        <v>4503</v>
      </c>
      <c r="R56" s="178">
        <f>IFERROR(VLOOKUP(C56,TD!$B$32:$F$36,4,0)," ")</f>
        <v>20240255</v>
      </c>
      <c r="S56" s="173" t="s">
        <v>183</v>
      </c>
      <c r="T56" s="178" t="str">
        <f>IFERROR(VLOOKUP(S56,TD!$J$33:$K$43,2,0)," ")</f>
        <v>Servicio de formación en gestión del riesgo de incendios para el personal UAECOB</v>
      </c>
      <c r="U56" s="127" t="str">
        <f>CONCATENATE(S56,"-",T56)</f>
        <v>07-Servicio de formación en gestión del riesgo de incendios para el personal UAECOB</v>
      </c>
      <c r="V56" s="173" t="s">
        <v>233</v>
      </c>
      <c r="W56" s="178" t="str">
        <f>IFERROR(VLOOKUP(V56,TD!$N$33:$O$45,2,0)," ")</f>
        <v>Servicio de educación informal</v>
      </c>
      <c r="X56" s="127" t="str">
        <f>CONCATENATE(V56,"_",W56)</f>
        <v>002_Servicio de educación informal</v>
      </c>
      <c r="Y56" s="127" t="str">
        <f>CONCATENATE(U56," ",X56)</f>
        <v>07-Servicio de formación en gestión del riesgo de incendios para el personal UAECOB 002_Servicio de educación informal</v>
      </c>
      <c r="Z56" s="178" t="str">
        <f>CONCATENATE(P56,Q56,R56,S56,V56)</f>
        <v>O23011745032024025507002</v>
      </c>
      <c r="AA56" s="178" t="str">
        <f>IFERROR(VLOOKUP(Y56,TD!$K$46:$L$64,2,0)," ")</f>
        <v>PM/0131/0107/45030020255</v>
      </c>
      <c r="AB56" s="188" t="s">
        <v>138</v>
      </c>
      <c r="AC56" s="179" t="s">
        <v>204</v>
      </c>
    </row>
    <row r="57" spans="2:29" s="28" customFormat="1" ht="74.25" customHeight="1" x14ac:dyDescent="0.35">
      <c r="B57" s="170">
        <v>20250104</v>
      </c>
      <c r="C57" s="171" t="s">
        <v>209</v>
      </c>
      <c r="D57" s="172" t="s">
        <v>165</v>
      </c>
      <c r="E57" s="173" t="s">
        <v>510</v>
      </c>
      <c r="F57" s="172" t="s">
        <v>398</v>
      </c>
      <c r="G57" s="172" t="s">
        <v>156</v>
      </c>
      <c r="H57" s="174">
        <v>80111600</v>
      </c>
      <c r="I57" s="175">
        <v>2</v>
      </c>
      <c r="J57" s="175">
        <v>11</v>
      </c>
      <c r="K57" s="176">
        <v>0</v>
      </c>
      <c r="L57" s="177">
        <f>40613701-6507451</f>
        <v>34106250</v>
      </c>
      <c r="M57" s="172" t="s">
        <v>484</v>
      </c>
      <c r="N57" s="177" t="s">
        <v>113</v>
      </c>
      <c r="O57" s="173" t="s">
        <v>229</v>
      </c>
      <c r="P57" s="178" t="str">
        <f>IFERROR(VLOOKUP(C57,TD!$B$32:$F$36,2,0)," ")</f>
        <v>O230117</v>
      </c>
      <c r="Q57" s="178" t="str">
        <f>IFERROR(VLOOKUP(C57,TD!$B$32:$F$36,3,0)," ")</f>
        <v>4503</v>
      </c>
      <c r="R57" s="178">
        <f>IFERROR(VLOOKUP(C57,TD!$B$32:$F$36,4,0)," ")</f>
        <v>20240255</v>
      </c>
      <c r="S57" s="173" t="s">
        <v>183</v>
      </c>
      <c r="T57" s="178" t="str">
        <f>IFERROR(VLOOKUP(S57,TD!$J$33:$K$43,2,0)," ")</f>
        <v>Servicio de formación en gestión del riesgo de incendios para el personal UAECOB</v>
      </c>
      <c r="U57" s="127" t="str">
        <f>CONCATENATE(S57,"-",T57)</f>
        <v>07-Servicio de formación en gestión del riesgo de incendios para el personal UAECOB</v>
      </c>
      <c r="V57" s="173" t="s">
        <v>233</v>
      </c>
      <c r="W57" s="178" t="str">
        <f>IFERROR(VLOOKUP(V57,TD!$N$33:$O$45,2,0)," ")</f>
        <v>Servicio de educación informal</v>
      </c>
      <c r="X57" s="127" t="str">
        <f>CONCATENATE(V57,"_",W57)</f>
        <v>002_Servicio de educación informal</v>
      </c>
      <c r="Y57" s="127" t="str">
        <f>CONCATENATE(U57," ",X57)</f>
        <v>07-Servicio de formación en gestión del riesgo de incendios para el personal UAECOB 002_Servicio de educación informal</v>
      </c>
      <c r="Z57" s="178" t="str">
        <f>CONCATENATE(P57,Q57,R57,S57,V57)</f>
        <v>O23011745032024025507002</v>
      </c>
      <c r="AA57" s="178" t="str">
        <f>IFERROR(VLOOKUP(Y57,TD!$K$46:$L$64,2,0)," ")</f>
        <v>PM/0131/0107/45030020255</v>
      </c>
      <c r="AB57" s="188" t="s">
        <v>138</v>
      </c>
      <c r="AC57" s="179" t="s">
        <v>204</v>
      </c>
    </row>
    <row r="58" spans="2:29" s="28" customFormat="1" ht="74.25" customHeight="1" x14ac:dyDescent="0.35">
      <c r="B58" s="170">
        <v>20250105</v>
      </c>
      <c r="C58" s="171" t="s">
        <v>209</v>
      </c>
      <c r="D58" s="172" t="s">
        <v>165</v>
      </c>
      <c r="E58" s="173" t="s">
        <v>510</v>
      </c>
      <c r="F58" s="172" t="s">
        <v>399</v>
      </c>
      <c r="G58" s="172" t="s">
        <v>155</v>
      </c>
      <c r="H58" s="174">
        <v>80111600</v>
      </c>
      <c r="I58" s="175">
        <v>2</v>
      </c>
      <c r="J58" s="175">
        <v>11</v>
      </c>
      <c r="K58" s="176">
        <v>0</v>
      </c>
      <c r="L58" s="177">
        <f>69603600-12903600</f>
        <v>56700000</v>
      </c>
      <c r="M58" s="172" t="s">
        <v>484</v>
      </c>
      <c r="N58" s="177" t="s">
        <v>113</v>
      </c>
      <c r="O58" s="173" t="s">
        <v>229</v>
      </c>
      <c r="P58" s="178" t="str">
        <f>IFERROR(VLOOKUP(C58,TD!$B$32:$F$36,2,0)," ")</f>
        <v>O230117</v>
      </c>
      <c r="Q58" s="178" t="str">
        <f>IFERROR(VLOOKUP(C58,TD!$B$32:$F$36,3,0)," ")</f>
        <v>4503</v>
      </c>
      <c r="R58" s="178">
        <f>IFERROR(VLOOKUP(C58,TD!$B$32:$F$36,4,0)," ")</f>
        <v>20240255</v>
      </c>
      <c r="S58" s="173" t="s">
        <v>183</v>
      </c>
      <c r="T58" s="178" t="str">
        <f>IFERROR(VLOOKUP(S58,TD!$J$33:$K$43,2,0)," ")</f>
        <v>Servicio de formación en gestión del riesgo de incendios para el personal UAECOB</v>
      </c>
      <c r="U58" s="127" t="str">
        <f>CONCATENATE(S58,"-",T58)</f>
        <v>07-Servicio de formación en gestión del riesgo de incendios para el personal UAECOB</v>
      </c>
      <c r="V58" s="173" t="s">
        <v>233</v>
      </c>
      <c r="W58" s="178" t="str">
        <f>IFERROR(VLOOKUP(V58,TD!$N$33:$O$45,2,0)," ")</f>
        <v>Servicio de educación informal</v>
      </c>
      <c r="X58" s="127" t="str">
        <f>CONCATENATE(V58,"_",W58)</f>
        <v>002_Servicio de educación informal</v>
      </c>
      <c r="Y58" s="127" t="str">
        <f>CONCATENATE(U58," ",X58)</f>
        <v>07-Servicio de formación en gestión del riesgo de incendios para el personal UAECOB 002_Servicio de educación informal</v>
      </c>
      <c r="Z58" s="178" t="str">
        <f>CONCATENATE(P58,Q58,R58,S58,V58)</f>
        <v>O23011745032024025507002</v>
      </c>
      <c r="AA58" s="178" t="str">
        <f>IFERROR(VLOOKUP(Y58,TD!$K$46:$L$64,2,0)," ")</f>
        <v>PM/0131/0107/45030020255</v>
      </c>
      <c r="AB58" s="188" t="s">
        <v>138</v>
      </c>
      <c r="AC58" s="179" t="s">
        <v>204</v>
      </c>
    </row>
    <row r="59" spans="2:29" s="28" customFormat="1" ht="74.25" customHeight="1" x14ac:dyDescent="0.35">
      <c r="B59" s="170">
        <v>20250106</v>
      </c>
      <c r="C59" s="171" t="s">
        <v>209</v>
      </c>
      <c r="D59" s="172" t="s">
        <v>165</v>
      </c>
      <c r="E59" s="173" t="s">
        <v>510</v>
      </c>
      <c r="F59" s="172" t="s">
        <v>400</v>
      </c>
      <c r="G59" s="172" t="s">
        <v>155</v>
      </c>
      <c r="H59" s="174">
        <v>80111600</v>
      </c>
      <c r="I59" s="175">
        <v>2</v>
      </c>
      <c r="J59" s="175">
        <v>11</v>
      </c>
      <c r="K59" s="176">
        <v>0</v>
      </c>
      <c r="L59" s="177">
        <f>50520613-1175643-10476595</f>
        <v>38868375</v>
      </c>
      <c r="M59" s="172" t="s">
        <v>484</v>
      </c>
      <c r="N59" s="177" t="s">
        <v>113</v>
      </c>
      <c r="O59" s="173" t="s">
        <v>229</v>
      </c>
      <c r="P59" s="178" t="str">
        <f>IFERROR(VLOOKUP(C59,TD!$B$32:$F$36,2,0)," ")</f>
        <v>O230117</v>
      </c>
      <c r="Q59" s="178" t="str">
        <f>IFERROR(VLOOKUP(C59,TD!$B$32:$F$36,3,0)," ")</f>
        <v>4503</v>
      </c>
      <c r="R59" s="178">
        <f>IFERROR(VLOOKUP(C59,TD!$B$32:$F$36,4,0)," ")</f>
        <v>20240255</v>
      </c>
      <c r="S59" s="173" t="s">
        <v>183</v>
      </c>
      <c r="T59" s="178" t="str">
        <f>IFERROR(VLOOKUP(S59,TD!$J$33:$K$43,2,0)," ")</f>
        <v>Servicio de formación en gestión del riesgo de incendios para el personal UAECOB</v>
      </c>
      <c r="U59" s="127" t="str">
        <f>CONCATENATE(S59,"-",T59)</f>
        <v>07-Servicio de formación en gestión del riesgo de incendios para el personal UAECOB</v>
      </c>
      <c r="V59" s="173" t="s">
        <v>233</v>
      </c>
      <c r="W59" s="178" t="str">
        <f>IFERROR(VLOOKUP(V59,TD!$N$33:$O$45,2,0)," ")</f>
        <v>Servicio de educación informal</v>
      </c>
      <c r="X59" s="127" t="str">
        <f>CONCATENATE(V59,"_",W59)</f>
        <v>002_Servicio de educación informal</v>
      </c>
      <c r="Y59" s="127" t="str">
        <f>CONCATENATE(U59," ",X59)</f>
        <v>07-Servicio de formación en gestión del riesgo de incendios para el personal UAECOB 002_Servicio de educación informal</v>
      </c>
      <c r="Z59" s="178" t="str">
        <f>CONCATENATE(P59,Q59,R59,S59,V59)</f>
        <v>O23011745032024025507002</v>
      </c>
      <c r="AA59" s="178" t="str">
        <f>IFERROR(VLOOKUP(Y59,TD!$K$46:$L$64,2,0)," ")</f>
        <v>PM/0131/0107/45030020255</v>
      </c>
      <c r="AB59" s="188" t="s">
        <v>138</v>
      </c>
      <c r="AC59" s="179" t="s">
        <v>204</v>
      </c>
    </row>
    <row r="60" spans="2:29" s="28" customFormat="1" ht="74.25" customHeight="1" x14ac:dyDescent="0.35">
      <c r="B60" s="170">
        <v>20250107</v>
      </c>
      <c r="C60" s="171" t="s">
        <v>209</v>
      </c>
      <c r="D60" s="172" t="s">
        <v>165</v>
      </c>
      <c r="E60" s="173" t="s">
        <v>510</v>
      </c>
      <c r="F60" s="172" t="s">
        <v>835</v>
      </c>
      <c r="G60" s="172" t="s">
        <v>155</v>
      </c>
      <c r="H60" s="174">
        <v>80111600</v>
      </c>
      <c r="I60" s="175">
        <v>2</v>
      </c>
      <c r="J60" s="175">
        <v>11</v>
      </c>
      <c r="K60" s="176">
        <v>0</v>
      </c>
      <c r="L60" s="177">
        <f>69603600-16053600</f>
        <v>53550000</v>
      </c>
      <c r="M60" s="172" t="s">
        <v>484</v>
      </c>
      <c r="N60" s="177" t="s">
        <v>113</v>
      </c>
      <c r="O60" s="173" t="s">
        <v>229</v>
      </c>
      <c r="P60" s="178" t="str">
        <f>IFERROR(VLOOKUP(C60,TD!$B$32:$F$36,2,0)," ")</f>
        <v>O230117</v>
      </c>
      <c r="Q60" s="178" t="str">
        <f>IFERROR(VLOOKUP(C60,TD!$B$32:$F$36,3,0)," ")</f>
        <v>4503</v>
      </c>
      <c r="R60" s="178">
        <f>IFERROR(VLOOKUP(C60,TD!$B$32:$F$36,4,0)," ")</f>
        <v>20240255</v>
      </c>
      <c r="S60" s="173" t="s">
        <v>183</v>
      </c>
      <c r="T60" s="178" t="str">
        <f>IFERROR(VLOOKUP(S60,TD!$J$33:$K$43,2,0)," ")</f>
        <v>Servicio de formación en gestión del riesgo de incendios para el personal UAECOB</v>
      </c>
      <c r="U60" s="127" t="str">
        <f>CONCATENATE(S60,"-",T60)</f>
        <v>07-Servicio de formación en gestión del riesgo de incendios para el personal UAECOB</v>
      </c>
      <c r="V60" s="173" t="s">
        <v>233</v>
      </c>
      <c r="W60" s="178" t="str">
        <f>IFERROR(VLOOKUP(V60,TD!$N$33:$O$45,2,0)," ")</f>
        <v>Servicio de educación informal</v>
      </c>
      <c r="X60" s="127" t="str">
        <f>CONCATENATE(V60,"_",W60)</f>
        <v>002_Servicio de educación informal</v>
      </c>
      <c r="Y60" s="127" t="str">
        <f>CONCATENATE(U60," ",X60)</f>
        <v>07-Servicio de formación en gestión del riesgo de incendios para el personal UAECOB 002_Servicio de educación informal</v>
      </c>
      <c r="Z60" s="178" t="str">
        <f>CONCATENATE(P60,Q60,R60,S60,V60)</f>
        <v>O23011745032024025507002</v>
      </c>
      <c r="AA60" s="178" t="str">
        <f>IFERROR(VLOOKUP(Y60,TD!$K$46:$L$64,2,0)," ")</f>
        <v>PM/0131/0107/45030020255</v>
      </c>
      <c r="AB60" s="188" t="s">
        <v>138</v>
      </c>
      <c r="AC60" s="179" t="s">
        <v>204</v>
      </c>
    </row>
    <row r="61" spans="2:29" s="28" customFormat="1" ht="74.25" customHeight="1" x14ac:dyDescent="0.35">
      <c r="B61" s="170">
        <v>20250108</v>
      </c>
      <c r="C61" s="171" t="s">
        <v>209</v>
      </c>
      <c r="D61" s="172" t="s">
        <v>165</v>
      </c>
      <c r="E61" s="173" t="s">
        <v>510</v>
      </c>
      <c r="F61" s="172" t="s">
        <v>401</v>
      </c>
      <c r="G61" s="172" t="s">
        <v>155</v>
      </c>
      <c r="H61" s="174">
        <v>80111600</v>
      </c>
      <c r="I61" s="175">
        <v>2</v>
      </c>
      <c r="J61" s="175">
        <v>11</v>
      </c>
      <c r="K61" s="176">
        <v>0</v>
      </c>
      <c r="L61" s="177">
        <f>48873328-8302138</f>
        <v>40571190</v>
      </c>
      <c r="M61" s="172" t="s">
        <v>484</v>
      </c>
      <c r="N61" s="177" t="s">
        <v>113</v>
      </c>
      <c r="O61" s="173" t="s">
        <v>229</v>
      </c>
      <c r="P61" s="178" t="str">
        <f>IFERROR(VLOOKUP(C61,TD!$B$32:$F$36,2,0)," ")</f>
        <v>O230117</v>
      </c>
      <c r="Q61" s="178" t="str">
        <f>IFERROR(VLOOKUP(C61,TD!$B$32:$F$36,3,0)," ")</f>
        <v>4503</v>
      </c>
      <c r="R61" s="178">
        <f>IFERROR(VLOOKUP(C61,TD!$B$32:$F$36,4,0)," ")</f>
        <v>20240255</v>
      </c>
      <c r="S61" s="173" t="s">
        <v>183</v>
      </c>
      <c r="T61" s="178" t="str">
        <f>IFERROR(VLOOKUP(S61,TD!$J$33:$K$43,2,0)," ")</f>
        <v>Servicio de formación en gestión del riesgo de incendios para el personal UAECOB</v>
      </c>
      <c r="U61" s="127" t="str">
        <f>CONCATENATE(S61,"-",T61)</f>
        <v>07-Servicio de formación en gestión del riesgo de incendios para el personal UAECOB</v>
      </c>
      <c r="V61" s="173" t="s">
        <v>233</v>
      </c>
      <c r="W61" s="178" t="str">
        <f>IFERROR(VLOOKUP(V61,TD!$N$33:$O$45,2,0)," ")</f>
        <v>Servicio de educación informal</v>
      </c>
      <c r="X61" s="127" t="str">
        <f>CONCATENATE(V61,"_",W61)</f>
        <v>002_Servicio de educación informal</v>
      </c>
      <c r="Y61" s="127" t="str">
        <f>CONCATENATE(U61," ",X61)</f>
        <v>07-Servicio de formación en gestión del riesgo de incendios para el personal UAECOB 002_Servicio de educación informal</v>
      </c>
      <c r="Z61" s="178" t="str">
        <f>CONCATENATE(P61,Q61,R61,S61,V61)</f>
        <v>O23011745032024025507002</v>
      </c>
      <c r="AA61" s="178" t="str">
        <f>IFERROR(VLOOKUP(Y61,TD!$K$46:$L$64,2,0)," ")</f>
        <v>PM/0131/0107/45030020255</v>
      </c>
      <c r="AB61" s="188" t="s">
        <v>138</v>
      </c>
      <c r="AC61" s="179" t="s">
        <v>204</v>
      </c>
    </row>
    <row r="62" spans="2:29" s="28" customFormat="1" ht="74.25" customHeight="1" x14ac:dyDescent="0.35">
      <c r="B62" s="170">
        <v>20250109</v>
      </c>
      <c r="C62" s="171" t="s">
        <v>209</v>
      </c>
      <c r="D62" s="172" t="s">
        <v>165</v>
      </c>
      <c r="E62" s="173" t="s">
        <v>510</v>
      </c>
      <c r="F62" s="172" t="s">
        <v>395</v>
      </c>
      <c r="G62" s="172" t="s">
        <v>155</v>
      </c>
      <c r="H62" s="174">
        <v>80111600</v>
      </c>
      <c r="I62" s="175">
        <v>3</v>
      </c>
      <c r="J62" s="175">
        <v>10</v>
      </c>
      <c r="K62" s="176">
        <v>0</v>
      </c>
      <c r="L62" s="177">
        <f>57697166-11740766</f>
        <v>45956400</v>
      </c>
      <c r="M62" s="172" t="s">
        <v>484</v>
      </c>
      <c r="N62" s="177" t="s">
        <v>113</v>
      </c>
      <c r="O62" s="173" t="s">
        <v>229</v>
      </c>
      <c r="P62" s="178" t="str">
        <f>IFERROR(VLOOKUP(C62,TD!$B$32:$F$36,2,0)," ")</f>
        <v>O230117</v>
      </c>
      <c r="Q62" s="178" t="str">
        <f>IFERROR(VLOOKUP(C62,TD!$B$32:$F$36,3,0)," ")</f>
        <v>4503</v>
      </c>
      <c r="R62" s="178">
        <f>IFERROR(VLOOKUP(C62,TD!$B$32:$F$36,4,0)," ")</f>
        <v>20240255</v>
      </c>
      <c r="S62" s="173" t="s">
        <v>183</v>
      </c>
      <c r="T62" s="178" t="str">
        <f>IFERROR(VLOOKUP(S62,TD!$J$33:$K$43,2,0)," ")</f>
        <v>Servicio de formación en gestión del riesgo de incendios para el personal UAECOB</v>
      </c>
      <c r="U62" s="127" t="str">
        <f>CONCATENATE(S62,"-",T62)</f>
        <v>07-Servicio de formación en gestión del riesgo de incendios para el personal UAECOB</v>
      </c>
      <c r="V62" s="173" t="s">
        <v>233</v>
      </c>
      <c r="W62" s="178" t="str">
        <f>IFERROR(VLOOKUP(V62,TD!$N$33:$O$45,2,0)," ")</f>
        <v>Servicio de educación informal</v>
      </c>
      <c r="X62" s="127" t="str">
        <f>CONCATENATE(V62,"_",W62)</f>
        <v>002_Servicio de educación informal</v>
      </c>
      <c r="Y62" s="127" t="str">
        <f>CONCATENATE(U62," ",X62)</f>
        <v>07-Servicio de formación en gestión del riesgo de incendios para el personal UAECOB 002_Servicio de educación informal</v>
      </c>
      <c r="Z62" s="178" t="str">
        <f>CONCATENATE(P62,Q62,R62,S62,V62)</f>
        <v>O23011745032024025507002</v>
      </c>
      <c r="AA62" s="178" t="str">
        <f>IFERROR(VLOOKUP(Y62,TD!$K$46:$L$64,2,0)," ")</f>
        <v>PM/0131/0107/45030020255</v>
      </c>
      <c r="AB62" s="188" t="s">
        <v>138</v>
      </c>
      <c r="AC62" s="179" t="s">
        <v>204</v>
      </c>
    </row>
    <row r="63" spans="2:29" s="28" customFormat="1" ht="74.25" customHeight="1" x14ac:dyDescent="0.35">
      <c r="B63" s="170">
        <v>20250110</v>
      </c>
      <c r="C63" s="171" t="s">
        <v>209</v>
      </c>
      <c r="D63" s="172" t="s">
        <v>165</v>
      </c>
      <c r="E63" s="173" t="s">
        <v>510</v>
      </c>
      <c r="F63" s="172" t="s">
        <v>402</v>
      </c>
      <c r="G63" s="172" t="s">
        <v>155</v>
      </c>
      <c r="H63" s="174">
        <v>80111600</v>
      </c>
      <c r="I63" s="175">
        <v>2</v>
      </c>
      <c r="J63" s="175">
        <v>11</v>
      </c>
      <c r="K63" s="176">
        <v>0</v>
      </c>
      <c r="L63" s="177">
        <f>52202700-2255576-9784624</f>
        <v>40162500</v>
      </c>
      <c r="M63" s="172" t="s">
        <v>484</v>
      </c>
      <c r="N63" s="177" t="s">
        <v>113</v>
      </c>
      <c r="O63" s="173" t="s">
        <v>229</v>
      </c>
      <c r="P63" s="178" t="str">
        <f>IFERROR(VLOOKUP(C63,TD!$B$32:$F$36,2,0)," ")</f>
        <v>O230117</v>
      </c>
      <c r="Q63" s="178" t="str">
        <f>IFERROR(VLOOKUP(C63,TD!$B$32:$F$36,3,0)," ")</f>
        <v>4503</v>
      </c>
      <c r="R63" s="178">
        <f>IFERROR(VLOOKUP(C63,TD!$B$32:$F$36,4,0)," ")</f>
        <v>20240255</v>
      </c>
      <c r="S63" s="173" t="s">
        <v>183</v>
      </c>
      <c r="T63" s="178" t="str">
        <f>IFERROR(VLOOKUP(S63,TD!$J$33:$K$43,2,0)," ")</f>
        <v>Servicio de formación en gestión del riesgo de incendios para el personal UAECOB</v>
      </c>
      <c r="U63" s="127" t="str">
        <f>CONCATENATE(S63,"-",T63)</f>
        <v>07-Servicio de formación en gestión del riesgo de incendios para el personal UAECOB</v>
      </c>
      <c r="V63" s="173" t="s">
        <v>233</v>
      </c>
      <c r="W63" s="178" t="str">
        <f>IFERROR(VLOOKUP(V63,TD!$N$33:$O$45,2,0)," ")</f>
        <v>Servicio de educación informal</v>
      </c>
      <c r="X63" s="127" t="str">
        <f>CONCATENATE(V63,"_",W63)</f>
        <v>002_Servicio de educación informal</v>
      </c>
      <c r="Y63" s="127" t="str">
        <f>CONCATENATE(U63," ",X63)</f>
        <v>07-Servicio de formación en gestión del riesgo de incendios para el personal UAECOB 002_Servicio de educación informal</v>
      </c>
      <c r="Z63" s="178" t="str">
        <f>CONCATENATE(P63,Q63,R63,S63,V63)</f>
        <v>O23011745032024025507002</v>
      </c>
      <c r="AA63" s="178" t="str">
        <f>IFERROR(VLOOKUP(Y63,TD!$K$46:$L$64,2,0)," ")</f>
        <v>PM/0131/0107/45030020255</v>
      </c>
      <c r="AB63" s="188" t="s">
        <v>138</v>
      </c>
      <c r="AC63" s="179" t="s">
        <v>204</v>
      </c>
    </row>
    <row r="64" spans="2:29" s="28" customFormat="1" ht="74.25" customHeight="1" x14ac:dyDescent="0.35">
      <c r="B64" s="170">
        <v>20250111</v>
      </c>
      <c r="C64" s="171" t="s">
        <v>209</v>
      </c>
      <c r="D64" s="172" t="s">
        <v>165</v>
      </c>
      <c r="E64" s="173" t="s">
        <v>510</v>
      </c>
      <c r="F64" s="172" t="s">
        <v>403</v>
      </c>
      <c r="G64" s="172" t="s">
        <v>156</v>
      </c>
      <c r="H64" s="174">
        <v>80111600</v>
      </c>
      <c r="I64" s="175">
        <v>2</v>
      </c>
      <c r="J64" s="175">
        <v>11</v>
      </c>
      <c r="K64" s="176">
        <v>0</v>
      </c>
      <c r="L64" s="177">
        <f>38073169-7058269</f>
        <v>31014900</v>
      </c>
      <c r="M64" s="172" t="s">
        <v>484</v>
      </c>
      <c r="N64" s="177" t="s">
        <v>113</v>
      </c>
      <c r="O64" s="173" t="s">
        <v>229</v>
      </c>
      <c r="P64" s="178" t="str">
        <f>IFERROR(VLOOKUP(C64,TD!$B$32:$F$36,2,0)," ")</f>
        <v>O230117</v>
      </c>
      <c r="Q64" s="178" t="str">
        <f>IFERROR(VLOOKUP(C64,TD!$B$32:$F$36,3,0)," ")</f>
        <v>4503</v>
      </c>
      <c r="R64" s="178">
        <f>IFERROR(VLOOKUP(C64,TD!$B$32:$F$36,4,0)," ")</f>
        <v>20240255</v>
      </c>
      <c r="S64" s="173" t="s">
        <v>183</v>
      </c>
      <c r="T64" s="178" t="str">
        <f>IFERROR(VLOOKUP(S64,TD!$J$33:$K$43,2,0)," ")</f>
        <v>Servicio de formación en gestión del riesgo de incendios para el personal UAECOB</v>
      </c>
      <c r="U64" s="127" t="str">
        <f>CONCATENATE(S64,"-",T64)</f>
        <v>07-Servicio de formación en gestión del riesgo de incendios para el personal UAECOB</v>
      </c>
      <c r="V64" s="173" t="s">
        <v>233</v>
      </c>
      <c r="W64" s="178" t="str">
        <f>IFERROR(VLOOKUP(V64,TD!$N$33:$O$45,2,0)," ")</f>
        <v>Servicio de educación informal</v>
      </c>
      <c r="X64" s="127" t="str">
        <f>CONCATENATE(V64,"_",W64)</f>
        <v>002_Servicio de educación informal</v>
      </c>
      <c r="Y64" s="127" t="str">
        <f>CONCATENATE(U64," ",X64)</f>
        <v>07-Servicio de formación en gestión del riesgo de incendios para el personal UAECOB 002_Servicio de educación informal</v>
      </c>
      <c r="Z64" s="178" t="str">
        <f>CONCATENATE(P64,Q64,R64,S64,V64)</f>
        <v>O23011745032024025507002</v>
      </c>
      <c r="AA64" s="178" t="str">
        <f>IFERROR(VLOOKUP(Y64,TD!$K$46:$L$64,2,0)," ")</f>
        <v>PM/0131/0107/45030020255</v>
      </c>
      <c r="AB64" s="188" t="s">
        <v>138</v>
      </c>
      <c r="AC64" s="179" t="s">
        <v>204</v>
      </c>
    </row>
    <row r="65" spans="2:29" s="28" customFormat="1" ht="90" customHeight="1" x14ac:dyDescent="0.35">
      <c r="B65" s="170">
        <v>20250112</v>
      </c>
      <c r="C65" s="171" t="s">
        <v>209</v>
      </c>
      <c r="D65" s="172" t="s">
        <v>165</v>
      </c>
      <c r="E65" s="173" t="s">
        <v>510</v>
      </c>
      <c r="F65" s="172" t="s">
        <v>404</v>
      </c>
      <c r="G65" s="172" t="s">
        <v>156</v>
      </c>
      <c r="H65" s="174">
        <v>80111600</v>
      </c>
      <c r="I65" s="175">
        <v>3</v>
      </c>
      <c r="J65" s="175">
        <v>10</v>
      </c>
      <c r="K65" s="176">
        <v>0</v>
      </c>
      <c r="L65" s="177">
        <f>31638000-9588000</f>
        <v>22050000</v>
      </c>
      <c r="M65" s="172" t="s">
        <v>484</v>
      </c>
      <c r="N65" s="177" t="s">
        <v>113</v>
      </c>
      <c r="O65" s="173" t="s">
        <v>229</v>
      </c>
      <c r="P65" s="178" t="str">
        <f>IFERROR(VLOOKUP(C65,TD!$B$32:$F$36,2,0)," ")</f>
        <v>O230117</v>
      </c>
      <c r="Q65" s="178" t="str">
        <f>IFERROR(VLOOKUP(C65,TD!$B$32:$F$36,3,0)," ")</f>
        <v>4503</v>
      </c>
      <c r="R65" s="178">
        <f>IFERROR(VLOOKUP(C65,TD!$B$32:$F$36,4,0)," ")</f>
        <v>20240255</v>
      </c>
      <c r="S65" s="173" t="s">
        <v>183</v>
      </c>
      <c r="T65" s="178" t="str">
        <f>IFERROR(VLOOKUP(S65,TD!$J$33:$K$43,2,0)," ")</f>
        <v>Servicio de formación en gestión del riesgo de incendios para el personal UAECOB</v>
      </c>
      <c r="U65" s="127" t="str">
        <f>CONCATENATE(S65,"-",T65)</f>
        <v>07-Servicio de formación en gestión del riesgo de incendios para el personal UAECOB</v>
      </c>
      <c r="V65" s="173" t="s">
        <v>233</v>
      </c>
      <c r="W65" s="178" t="str">
        <f>IFERROR(VLOOKUP(V65,TD!$N$33:$O$45,2,0)," ")</f>
        <v>Servicio de educación informal</v>
      </c>
      <c r="X65" s="127" t="str">
        <f>CONCATENATE(V65,"_",W65)</f>
        <v>002_Servicio de educación informal</v>
      </c>
      <c r="Y65" s="127" t="str">
        <f>CONCATENATE(U65," ",X65)</f>
        <v>07-Servicio de formación en gestión del riesgo de incendios para el personal UAECOB 002_Servicio de educación informal</v>
      </c>
      <c r="Z65" s="178" t="str">
        <f>CONCATENATE(P65,Q65,R65,S65,V65)</f>
        <v>O23011745032024025507002</v>
      </c>
      <c r="AA65" s="178" t="str">
        <f>IFERROR(VLOOKUP(Y65,TD!$K$46:$L$64,2,0)," ")</f>
        <v>PM/0131/0107/45030020255</v>
      </c>
      <c r="AB65" s="188" t="s">
        <v>138</v>
      </c>
      <c r="AC65" s="179" t="s">
        <v>204</v>
      </c>
    </row>
    <row r="66" spans="2:29" s="28" customFormat="1" ht="90.75" customHeight="1" x14ac:dyDescent="0.35">
      <c r="B66" s="170">
        <v>20250113</v>
      </c>
      <c r="C66" s="171" t="s">
        <v>209</v>
      </c>
      <c r="D66" s="172" t="s">
        <v>165</v>
      </c>
      <c r="E66" s="173" t="s">
        <v>510</v>
      </c>
      <c r="F66" s="172" t="s">
        <v>405</v>
      </c>
      <c r="G66" s="172" t="s">
        <v>155</v>
      </c>
      <c r="H66" s="174">
        <v>80111600</v>
      </c>
      <c r="I66" s="175">
        <v>2</v>
      </c>
      <c r="J66" s="175">
        <v>11</v>
      </c>
      <c r="K66" s="176">
        <v>0</v>
      </c>
      <c r="L66" s="177">
        <f>62550435-11596035</f>
        <v>50954400</v>
      </c>
      <c r="M66" s="172" t="s">
        <v>484</v>
      </c>
      <c r="N66" s="177" t="s">
        <v>113</v>
      </c>
      <c r="O66" s="173" t="s">
        <v>229</v>
      </c>
      <c r="P66" s="178" t="str">
        <f>IFERROR(VLOOKUP(C66,TD!$B$32:$F$36,2,0)," ")</f>
        <v>O230117</v>
      </c>
      <c r="Q66" s="178" t="str">
        <f>IFERROR(VLOOKUP(C66,TD!$B$32:$F$36,3,0)," ")</f>
        <v>4503</v>
      </c>
      <c r="R66" s="178">
        <f>IFERROR(VLOOKUP(C66,TD!$B$32:$F$36,4,0)," ")</f>
        <v>20240255</v>
      </c>
      <c r="S66" s="173" t="s">
        <v>183</v>
      </c>
      <c r="T66" s="178" t="str">
        <f>IFERROR(VLOOKUP(S66,TD!$J$33:$K$43,2,0)," ")</f>
        <v>Servicio de formación en gestión del riesgo de incendios para el personal UAECOB</v>
      </c>
      <c r="U66" s="127" t="str">
        <f>CONCATENATE(S66,"-",T66)</f>
        <v>07-Servicio de formación en gestión del riesgo de incendios para el personal UAECOB</v>
      </c>
      <c r="V66" s="173" t="s">
        <v>233</v>
      </c>
      <c r="W66" s="178" t="str">
        <f>IFERROR(VLOOKUP(V66,TD!$N$33:$O$45,2,0)," ")</f>
        <v>Servicio de educación informal</v>
      </c>
      <c r="X66" s="127" t="str">
        <f>CONCATENATE(V66,"_",W66)</f>
        <v>002_Servicio de educación informal</v>
      </c>
      <c r="Y66" s="127" t="str">
        <f>CONCATENATE(U66," ",X66)</f>
        <v>07-Servicio de formación en gestión del riesgo de incendios para el personal UAECOB 002_Servicio de educación informal</v>
      </c>
      <c r="Z66" s="178" t="str">
        <f>CONCATENATE(P66,Q66,R66,S66,V66)</f>
        <v>O23011745032024025507002</v>
      </c>
      <c r="AA66" s="178" t="str">
        <f>IFERROR(VLOOKUP(Y66,TD!$K$46:$L$64,2,0)," ")</f>
        <v>PM/0131/0107/45030020255</v>
      </c>
      <c r="AB66" s="188" t="s">
        <v>138</v>
      </c>
      <c r="AC66" s="179" t="s">
        <v>204</v>
      </c>
    </row>
    <row r="67" spans="2:29" s="28" customFormat="1" ht="74.25" customHeight="1" x14ac:dyDescent="0.35">
      <c r="B67" s="170">
        <v>20250115</v>
      </c>
      <c r="C67" s="171" t="s">
        <v>209</v>
      </c>
      <c r="D67" s="172" t="s">
        <v>165</v>
      </c>
      <c r="E67" s="173" t="s">
        <v>510</v>
      </c>
      <c r="F67" s="172" t="s">
        <v>401</v>
      </c>
      <c r="G67" s="172" t="s">
        <v>155</v>
      </c>
      <c r="H67" s="174">
        <v>80111600</v>
      </c>
      <c r="I67" s="175">
        <v>2</v>
      </c>
      <c r="J67" s="175">
        <v>11</v>
      </c>
      <c r="K67" s="176">
        <v>0</v>
      </c>
      <c r="L67" s="177">
        <f>46599610-8282375</f>
        <v>38317235</v>
      </c>
      <c r="M67" s="172" t="s">
        <v>484</v>
      </c>
      <c r="N67" s="177" t="s">
        <v>113</v>
      </c>
      <c r="O67" s="173" t="s">
        <v>229</v>
      </c>
      <c r="P67" s="178" t="str">
        <f>IFERROR(VLOOKUP(C67,TD!$B$32:$F$36,2,0)," ")</f>
        <v>O230117</v>
      </c>
      <c r="Q67" s="178" t="str">
        <f>IFERROR(VLOOKUP(C67,TD!$B$32:$F$36,3,0)," ")</f>
        <v>4503</v>
      </c>
      <c r="R67" s="178">
        <f>IFERROR(VLOOKUP(C67,TD!$B$32:$F$36,4,0)," ")</f>
        <v>20240255</v>
      </c>
      <c r="S67" s="173" t="s">
        <v>183</v>
      </c>
      <c r="T67" s="178" t="str">
        <f>IFERROR(VLOOKUP(S67,TD!$J$33:$K$43,2,0)," ")</f>
        <v>Servicio de formación en gestión del riesgo de incendios para el personal UAECOB</v>
      </c>
      <c r="U67" s="127" t="str">
        <f>CONCATENATE(S67,"-",T67)</f>
        <v>07-Servicio de formación en gestión del riesgo de incendios para el personal UAECOB</v>
      </c>
      <c r="V67" s="173" t="s">
        <v>233</v>
      </c>
      <c r="W67" s="178" t="str">
        <f>IFERROR(VLOOKUP(V67,TD!$N$33:$O$45,2,0)," ")</f>
        <v>Servicio de educación informal</v>
      </c>
      <c r="X67" s="127" t="str">
        <f>CONCATENATE(V67,"_",W67)</f>
        <v>002_Servicio de educación informal</v>
      </c>
      <c r="Y67" s="127" t="str">
        <f>CONCATENATE(U67," ",X67)</f>
        <v>07-Servicio de formación en gestión del riesgo de incendios para el personal UAECOB 002_Servicio de educación informal</v>
      </c>
      <c r="Z67" s="178" t="str">
        <f>CONCATENATE(P67,Q67,R67,S67,V67)</f>
        <v>O23011745032024025507002</v>
      </c>
      <c r="AA67" s="178" t="str">
        <f>IFERROR(VLOOKUP(Y67,TD!$K$46:$L$64,2,0)," ")</f>
        <v>PM/0131/0107/45030020255</v>
      </c>
      <c r="AB67" s="188" t="s">
        <v>138</v>
      </c>
      <c r="AC67" s="179" t="s">
        <v>204</v>
      </c>
    </row>
    <row r="68" spans="2:29" s="28" customFormat="1" ht="74.25" customHeight="1" x14ac:dyDescent="0.35">
      <c r="B68" s="170">
        <v>20250116</v>
      </c>
      <c r="C68" s="171" t="s">
        <v>209</v>
      </c>
      <c r="D68" s="172" t="s">
        <v>165</v>
      </c>
      <c r="E68" s="173" t="s">
        <v>510</v>
      </c>
      <c r="F68" s="172" t="s">
        <v>406</v>
      </c>
      <c r="G68" s="172" t="s">
        <v>155</v>
      </c>
      <c r="H68" s="174">
        <v>80111600</v>
      </c>
      <c r="I68" s="175">
        <v>2</v>
      </c>
      <c r="J68" s="175">
        <v>11</v>
      </c>
      <c r="K68" s="176">
        <v>0</v>
      </c>
      <c r="L68" s="177">
        <f>75403900-12836139-4555261</f>
        <v>58012500</v>
      </c>
      <c r="M68" s="172" t="s">
        <v>484</v>
      </c>
      <c r="N68" s="177" t="s">
        <v>113</v>
      </c>
      <c r="O68" s="173" t="s">
        <v>229</v>
      </c>
      <c r="P68" s="178" t="str">
        <f>IFERROR(VLOOKUP(C68,TD!$B$32:$F$36,2,0)," ")</f>
        <v>O230117</v>
      </c>
      <c r="Q68" s="178" t="str">
        <f>IFERROR(VLOOKUP(C68,TD!$B$32:$F$36,3,0)," ")</f>
        <v>4503</v>
      </c>
      <c r="R68" s="178">
        <f>IFERROR(VLOOKUP(C68,TD!$B$32:$F$36,4,0)," ")</f>
        <v>20240255</v>
      </c>
      <c r="S68" s="173" t="s">
        <v>183</v>
      </c>
      <c r="T68" s="178" t="str">
        <f>IFERROR(VLOOKUP(S68,TD!$J$33:$K$43,2,0)," ")</f>
        <v>Servicio de formación en gestión del riesgo de incendios para el personal UAECOB</v>
      </c>
      <c r="U68" s="127" t="str">
        <f>CONCATENATE(S68,"-",T68)</f>
        <v>07-Servicio de formación en gestión del riesgo de incendios para el personal UAECOB</v>
      </c>
      <c r="V68" s="173" t="s">
        <v>233</v>
      </c>
      <c r="W68" s="178" t="str">
        <f>IFERROR(VLOOKUP(V68,TD!$N$33:$O$45,2,0)," ")</f>
        <v>Servicio de educación informal</v>
      </c>
      <c r="X68" s="127" t="str">
        <f>CONCATENATE(V68,"_",W68)</f>
        <v>002_Servicio de educación informal</v>
      </c>
      <c r="Y68" s="127" t="str">
        <f>CONCATENATE(U68," ",X68)</f>
        <v>07-Servicio de formación en gestión del riesgo de incendios para el personal UAECOB 002_Servicio de educación informal</v>
      </c>
      <c r="Z68" s="178" t="str">
        <f>CONCATENATE(P68,Q68,R68,S68,V68)</f>
        <v>O23011745032024025507002</v>
      </c>
      <c r="AA68" s="178" t="str">
        <f>IFERROR(VLOOKUP(Y68,TD!$K$46:$L$64,2,0)," ")</f>
        <v>PM/0131/0107/45030020255</v>
      </c>
      <c r="AB68" s="188" t="s">
        <v>138</v>
      </c>
      <c r="AC68" s="179" t="s">
        <v>204</v>
      </c>
    </row>
    <row r="69" spans="2:29" s="28" customFormat="1" ht="74.25" customHeight="1" x14ac:dyDescent="0.35">
      <c r="B69" s="170">
        <v>20250117</v>
      </c>
      <c r="C69" s="171" t="s">
        <v>209</v>
      </c>
      <c r="D69" s="172" t="s">
        <v>165</v>
      </c>
      <c r="E69" s="173" t="s">
        <v>510</v>
      </c>
      <c r="F69" s="172" t="s">
        <v>407</v>
      </c>
      <c r="G69" s="172" t="s">
        <v>156</v>
      </c>
      <c r="H69" s="174">
        <v>80111600</v>
      </c>
      <c r="I69" s="175">
        <v>2</v>
      </c>
      <c r="J69" s="175">
        <v>11</v>
      </c>
      <c r="K69" s="176">
        <v>0</v>
      </c>
      <c r="L69" s="177">
        <f>30045554-3045554</f>
        <v>27000000</v>
      </c>
      <c r="M69" s="172" t="s">
        <v>484</v>
      </c>
      <c r="N69" s="177" t="s">
        <v>113</v>
      </c>
      <c r="O69" s="173" t="s">
        <v>229</v>
      </c>
      <c r="P69" s="178" t="str">
        <f>IFERROR(VLOOKUP(C69,TD!$B$32:$F$36,2,0)," ")</f>
        <v>O230117</v>
      </c>
      <c r="Q69" s="178" t="str">
        <f>IFERROR(VLOOKUP(C69,TD!$B$32:$F$36,3,0)," ")</f>
        <v>4503</v>
      </c>
      <c r="R69" s="178">
        <f>IFERROR(VLOOKUP(C69,TD!$B$32:$F$36,4,0)," ")</f>
        <v>20240255</v>
      </c>
      <c r="S69" s="173" t="s">
        <v>183</v>
      </c>
      <c r="T69" s="178" t="str">
        <f>IFERROR(VLOOKUP(S69,TD!$J$33:$K$43,2,0)," ")</f>
        <v>Servicio de formación en gestión del riesgo de incendios para el personal UAECOB</v>
      </c>
      <c r="U69" s="127" t="str">
        <f>CONCATENATE(S69,"-",T69)</f>
        <v>07-Servicio de formación en gestión del riesgo de incendios para el personal UAECOB</v>
      </c>
      <c r="V69" s="173" t="s">
        <v>233</v>
      </c>
      <c r="W69" s="178" t="str">
        <f>IFERROR(VLOOKUP(V69,TD!$N$33:$O$45,2,0)," ")</f>
        <v>Servicio de educación informal</v>
      </c>
      <c r="X69" s="127" t="str">
        <f>CONCATENATE(V69,"_",W69)</f>
        <v>002_Servicio de educación informal</v>
      </c>
      <c r="Y69" s="127" t="str">
        <f>CONCATENATE(U69," ",X69)</f>
        <v>07-Servicio de formación en gestión del riesgo de incendios para el personal UAECOB 002_Servicio de educación informal</v>
      </c>
      <c r="Z69" s="178" t="str">
        <f>CONCATENATE(P69,Q69,R69,S69,V69)</f>
        <v>O23011745032024025507002</v>
      </c>
      <c r="AA69" s="178" t="str">
        <f>IFERROR(VLOOKUP(Y69,TD!$K$46:$L$64,2,0)," ")</f>
        <v>PM/0131/0107/45030020255</v>
      </c>
      <c r="AB69" s="188" t="s">
        <v>138</v>
      </c>
      <c r="AC69" s="179" t="s">
        <v>204</v>
      </c>
    </row>
    <row r="70" spans="2:29" s="28" customFormat="1" ht="74.25" customHeight="1" x14ac:dyDescent="0.35">
      <c r="B70" s="170">
        <v>20250118</v>
      </c>
      <c r="C70" s="171" t="s">
        <v>209</v>
      </c>
      <c r="D70" s="172" t="s">
        <v>165</v>
      </c>
      <c r="E70" s="173" t="s">
        <v>510</v>
      </c>
      <c r="F70" s="172" t="s">
        <v>408</v>
      </c>
      <c r="G70" s="172" t="s">
        <v>155</v>
      </c>
      <c r="H70" s="174">
        <v>80111600</v>
      </c>
      <c r="I70" s="175">
        <v>2</v>
      </c>
      <c r="J70" s="175">
        <v>11</v>
      </c>
      <c r="K70" s="176">
        <v>0</v>
      </c>
      <c r="L70" s="177">
        <f>46599610-6028510</f>
        <v>40571100</v>
      </c>
      <c r="M70" s="172" t="s">
        <v>484</v>
      </c>
      <c r="N70" s="177" t="s">
        <v>113</v>
      </c>
      <c r="O70" s="173" t="s">
        <v>229</v>
      </c>
      <c r="P70" s="178" t="str">
        <f>IFERROR(VLOOKUP(C70,TD!$B$32:$F$36,2,0)," ")</f>
        <v>O230117</v>
      </c>
      <c r="Q70" s="178" t="str">
        <f>IFERROR(VLOOKUP(C70,TD!$B$32:$F$36,3,0)," ")</f>
        <v>4503</v>
      </c>
      <c r="R70" s="178">
        <f>IFERROR(VLOOKUP(C70,TD!$B$32:$F$36,4,0)," ")</f>
        <v>20240255</v>
      </c>
      <c r="S70" s="173" t="s">
        <v>183</v>
      </c>
      <c r="T70" s="178" t="str">
        <f>IFERROR(VLOOKUP(S70,TD!$J$33:$K$43,2,0)," ")</f>
        <v>Servicio de formación en gestión del riesgo de incendios para el personal UAECOB</v>
      </c>
      <c r="U70" s="127" t="str">
        <f>CONCATENATE(S70,"-",T70)</f>
        <v>07-Servicio de formación en gestión del riesgo de incendios para el personal UAECOB</v>
      </c>
      <c r="V70" s="173" t="s">
        <v>233</v>
      </c>
      <c r="W70" s="178" t="str">
        <f>IFERROR(VLOOKUP(V70,TD!$N$33:$O$45,2,0)," ")</f>
        <v>Servicio de educación informal</v>
      </c>
      <c r="X70" s="127" t="str">
        <f>CONCATENATE(V70,"_",W70)</f>
        <v>002_Servicio de educación informal</v>
      </c>
      <c r="Y70" s="127" t="str">
        <f>CONCATENATE(U70," ",X70)</f>
        <v>07-Servicio de formación en gestión del riesgo de incendios para el personal UAECOB 002_Servicio de educación informal</v>
      </c>
      <c r="Z70" s="178" t="str">
        <f>CONCATENATE(P70,Q70,R70,S70,V70)</f>
        <v>O23011745032024025507002</v>
      </c>
      <c r="AA70" s="178" t="str">
        <f>IFERROR(VLOOKUP(Y70,TD!$K$46:$L$64,2,0)," ")</f>
        <v>PM/0131/0107/45030020255</v>
      </c>
      <c r="AB70" s="188" t="s">
        <v>138</v>
      </c>
      <c r="AC70" s="179" t="s">
        <v>204</v>
      </c>
    </row>
    <row r="71" spans="2:29" s="28" customFormat="1" ht="74.25" customHeight="1" x14ac:dyDescent="0.35">
      <c r="B71" s="170">
        <v>20250119</v>
      </c>
      <c r="C71" s="171" t="s">
        <v>209</v>
      </c>
      <c r="D71" s="172" t="s">
        <v>165</v>
      </c>
      <c r="E71" s="173" t="s">
        <v>510</v>
      </c>
      <c r="F71" s="172" t="s">
        <v>441</v>
      </c>
      <c r="G71" s="172" t="s">
        <v>155</v>
      </c>
      <c r="H71" s="174">
        <v>80111600</v>
      </c>
      <c r="I71" s="175">
        <v>2</v>
      </c>
      <c r="J71" s="175">
        <v>11</v>
      </c>
      <c r="K71" s="176">
        <v>0</v>
      </c>
      <c r="L71" s="177">
        <f>59047054-10946554</f>
        <v>48100500</v>
      </c>
      <c r="M71" s="172" t="s">
        <v>484</v>
      </c>
      <c r="N71" s="177" t="s">
        <v>113</v>
      </c>
      <c r="O71" s="173" t="s">
        <v>229</v>
      </c>
      <c r="P71" s="178" t="str">
        <f>IFERROR(VLOOKUP(C71,TD!$B$32:$F$36,2,0)," ")</f>
        <v>O230117</v>
      </c>
      <c r="Q71" s="178" t="str">
        <f>IFERROR(VLOOKUP(C71,TD!$B$32:$F$36,3,0)," ")</f>
        <v>4503</v>
      </c>
      <c r="R71" s="178">
        <f>IFERROR(VLOOKUP(C71,TD!$B$32:$F$36,4,0)," ")</f>
        <v>20240255</v>
      </c>
      <c r="S71" s="173" t="s">
        <v>183</v>
      </c>
      <c r="T71" s="178" t="str">
        <f>IFERROR(VLOOKUP(S71,TD!$J$33:$K$43,2,0)," ")</f>
        <v>Servicio de formación en gestión del riesgo de incendios para el personal UAECOB</v>
      </c>
      <c r="U71" s="127" t="str">
        <f>CONCATENATE(S71,"-",T71)</f>
        <v>07-Servicio de formación en gestión del riesgo de incendios para el personal UAECOB</v>
      </c>
      <c r="V71" s="173" t="s">
        <v>233</v>
      </c>
      <c r="W71" s="178" t="str">
        <f>IFERROR(VLOOKUP(V71,TD!$N$33:$O$45,2,0)," ")</f>
        <v>Servicio de educación informal</v>
      </c>
      <c r="X71" s="127" t="str">
        <f>CONCATENATE(V71,"_",W71)</f>
        <v>002_Servicio de educación informal</v>
      </c>
      <c r="Y71" s="127" t="str">
        <f>CONCATENATE(U71," ",X71)</f>
        <v>07-Servicio de formación en gestión del riesgo de incendios para el personal UAECOB 002_Servicio de educación informal</v>
      </c>
      <c r="Z71" s="178" t="str">
        <f>CONCATENATE(P71,Q71,R71,S71,V71)</f>
        <v>O23011745032024025507002</v>
      </c>
      <c r="AA71" s="178" t="str">
        <f>IFERROR(VLOOKUP(Y71,TD!$K$46:$L$64,2,0)," ")</f>
        <v>PM/0131/0107/45030020255</v>
      </c>
      <c r="AB71" s="188" t="s">
        <v>138</v>
      </c>
      <c r="AC71" s="179" t="s">
        <v>204</v>
      </c>
    </row>
    <row r="72" spans="2:29" s="28" customFormat="1" ht="74.25" customHeight="1" x14ac:dyDescent="0.35">
      <c r="B72" s="170">
        <v>20250121</v>
      </c>
      <c r="C72" s="171" t="s">
        <v>209</v>
      </c>
      <c r="D72" s="172" t="s">
        <v>165</v>
      </c>
      <c r="E72" s="173" t="s">
        <v>510</v>
      </c>
      <c r="F72" s="172" t="s">
        <v>438</v>
      </c>
      <c r="G72" s="172" t="s">
        <v>155</v>
      </c>
      <c r="H72" s="174">
        <v>80111600</v>
      </c>
      <c r="I72" s="175">
        <v>2</v>
      </c>
      <c r="J72" s="175">
        <v>11</v>
      </c>
      <c r="K72" s="176">
        <v>0</v>
      </c>
      <c r="L72" s="177">
        <f>81204200-8421871-6632329</f>
        <v>66150000</v>
      </c>
      <c r="M72" s="172" t="s">
        <v>484</v>
      </c>
      <c r="N72" s="177" t="s">
        <v>113</v>
      </c>
      <c r="O72" s="173" t="s">
        <v>229</v>
      </c>
      <c r="P72" s="178" t="str">
        <f>IFERROR(VLOOKUP(C72,TD!$B$32:$F$36,2,0)," ")</f>
        <v>O230117</v>
      </c>
      <c r="Q72" s="178" t="str">
        <f>IFERROR(VLOOKUP(C72,TD!$B$32:$F$36,3,0)," ")</f>
        <v>4503</v>
      </c>
      <c r="R72" s="178">
        <f>IFERROR(VLOOKUP(C72,TD!$B$32:$F$36,4,0)," ")</f>
        <v>20240255</v>
      </c>
      <c r="S72" s="173" t="s">
        <v>183</v>
      </c>
      <c r="T72" s="178" t="str">
        <f>IFERROR(VLOOKUP(S72,TD!$J$33:$K$43,2,0)," ")</f>
        <v>Servicio de formación en gestión del riesgo de incendios para el personal UAECOB</v>
      </c>
      <c r="U72" s="127" t="str">
        <f>CONCATENATE(S72,"-",T72)</f>
        <v>07-Servicio de formación en gestión del riesgo de incendios para el personal UAECOB</v>
      </c>
      <c r="V72" s="173" t="s">
        <v>233</v>
      </c>
      <c r="W72" s="178" t="str">
        <f>IFERROR(VLOOKUP(V72,TD!$N$33:$O$45,2,0)," ")</f>
        <v>Servicio de educación informal</v>
      </c>
      <c r="X72" s="127" t="str">
        <f>CONCATENATE(V72,"_",W72)</f>
        <v>002_Servicio de educación informal</v>
      </c>
      <c r="Y72" s="127" t="str">
        <f>CONCATENATE(U72," ",X72)</f>
        <v>07-Servicio de formación en gestión del riesgo de incendios para el personal UAECOB 002_Servicio de educación informal</v>
      </c>
      <c r="Z72" s="178" t="str">
        <f>CONCATENATE(P72,Q72,R72,S72,V72)</f>
        <v>O23011745032024025507002</v>
      </c>
      <c r="AA72" s="178" t="str">
        <f>IFERROR(VLOOKUP(Y72,TD!$K$46:$L$64,2,0)," ")</f>
        <v>PM/0131/0107/45030020255</v>
      </c>
      <c r="AB72" s="188" t="s">
        <v>138</v>
      </c>
      <c r="AC72" s="179" t="s">
        <v>204</v>
      </c>
    </row>
    <row r="73" spans="2:29" s="28" customFormat="1" ht="74.25" customHeight="1" x14ac:dyDescent="0.35">
      <c r="B73" s="170">
        <v>20250122</v>
      </c>
      <c r="C73" s="171" t="s">
        <v>209</v>
      </c>
      <c r="D73" s="172" t="s">
        <v>165</v>
      </c>
      <c r="E73" s="173" t="s">
        <v>510</v>
      </c>
      <c r="F73" s="172" t="s">
        <v>439</v>
      </c>
      <c r="G73" s="172" t="s">
        <v>155</v>
      </c>
      <c r="H73" s="174">
        <v>80111600</v>
      </c>
      <c r="I73" s="175">
        <v>2</v>
      </c>
      <c r="J73" s="175">
        <v>11</v>
      </c>
      <c r="K73" s="176">
        <v>0</v>
      </c>
      <c r="L73" s="177">
        <f>87004500-16129500</f>
        <v>70875000</v>
      </c>
      <c r="M73" s="172" t="s">
        <v>484</v>
      </c>
      <c r="N73" s="177" t="s">
        <v>113</v>
      </c>
      <c r="O73" s="173" t="s">
        <v>229</v>
      </c>
      <c r="P73" s="178" t="str">
        <f>IFERROR(VLOOKUP(C73,TD!$B$32:$F$36,2,0)," ")</f>
        <v>O230117</v>
      </c>
      <c r="Q73" s="178" t="str">
        <f>IFERROR(VLOOKUP(C73,TD!$B$32:$F$36,3,0)," ")</f>
        <v>4503</v>
      </c>
      <c r="R73" s="178">
        <f>IFERROR(VLOOKUP(C73,TD!$B$32:$F$36,4,0)," ")</f>
        <v>20240255</v>
      </c>
      <c r="S73" s="173" t="s">
        <v>183</v>
      </c>
      <c r="T73" s="178" t="str">
        <f>IFERROR(VLOOKUP(S73,TD!$J$33:$K$43,2,0)," ")</f>
        <v>Servicio de formación en gestión del riesgo de incendios para el personal UAECOB</v>
      </c>
      <c r="U73" s="127" t="str">
        <f>CONCATENATE(S73,"-",T73)</f>
        <v>07-Servicio de formación en gestión del riesgo de incendios para el personal UAECOB</v>
      </c>
      <c r="V73" s="173" t="s">
        <v>233</v>
      </c>
      <c r="W73" s="178" t="str">
        <f>IFERROR(VLOOKUP(V73,TD!$N$33:$O$45,2,0)," ")</f>
        <v>Servicio de educación informal</v>
      </c>
      <c r="X73" s="127" t="str">
        <f>CONCATENATE(V73,"_",W73)</f>
        <v>002_Servicio de educación informal</v>
      </c>
      <c r="Y73" s="127" t="str">
        <f>CONCATENATE(U73," ",X73)</f>
        <v>07-Servicio de formación en gestión del riesgo de incendios para el personal UAECOB 002_Servicio de educación informal</v>
      </c>
      <c r="Z73" s="178" t="str">
        <f>CONCATENATE(P73,Q73,R73,S73,V73)</f>
        <v>O23011745032024025507002</v>
      </c>
      <c r="AA73" s="178" t="str">
        <f>IFERROR(VLOOKUP(Y73,TD!$K$46:$L$64,2,0)," ")</f>
        <v>PM/0131/0107/45030020255</v>
      </c>
      <c r="AB73" s="188" t="s">
        <v>138</v>
      </c>
      <c r="AC73" s="179" t="s">
        <v>204</v>
      </c>
    </row>
    <row r="74" spans="2:29" s="28" customFormat="1" ht="74.25" customHeight="1" x14ac:dyDescent="0.35">
      <c r="B74" s="170">
        <v>20250123</v>
      </c>
      <c r="C74" s="171" t="s">
        <v>209</v>
      </c>
      <c r="D74" s="172" t="s">
        <v>165</v>
      </c>
      <c r="E74" s="173" t="s">
        <v>510</v>
      </c>
      <c r="F74" s="172" t="s">
        <v>440</v>
      </c>
      <c r="G74" s="172" t="s">
        <v>156</v>
      </c>
      <c r="H74" s="174">
        <v>80111600</v>
      </c>
      <c r="I74" s="175">
        <v>3</v>
      </c>
      <c r="J74" s="175">
        <v>10</v>
      </c>
      <c r="K74" s="176">
        <v>0</v>
      </c>
      <c r="L74" s="177">
        <f>84368000-10416590-1951410</f>
        <v>72000000</v>
      </c>
      <c r="M74" s="172" t="s">
        <v>484</v>
      </c>
      <c r="N74" s="177" t="s">
        <v>113</v>
      </c>
      <c r="O74" s="173" t="s">
        <v>229</v>
      </c>
      <c r="P74" s="178" t="str">
        <f>IFERROR(VLOOKUP(C74,TD!$B$32:$F$36,2,0)," ")</f>
        <v>O230117</v>
      </c>
      <c r="Q74" s="178" t="str">
        <f>IFERROR(VLOOKUP(C74,TD!$B$32:$F$36,3,0)," ")</f>
        <v>4503</v>
      </c>
      <c r="R74" s="178">
        <f>IFERROR(VLOOKUP(C74,TD!$B$32:$F$36,4,0)," ")</f>
        <v>20240255</v>
      </c>
      <c r="S74" s="173" t="s">
        <v>183</v>
      </c>
      <c r="T74" s="178" t="str">
        <f>IFERROR(VLOOKUP(S74,TD!$J$33:$K$43,2,0)," ")</f>
        <v>Servicio de formación en gestión del riesgo de incendios para el personal UAECOB</v>
      </c>
      <c r="U74" s="127" t="str">
        <f>CONCATENATE(S74,"-",T74)</f>
        <v>07-Servicio de formación en gestión del riesgo de incendios para el personal UAECOB</v>
      </c>
      <c r="V74" s="173" t="s">
        <v>233</v>
      </c>
      <c r="W74" s="178" t="str">
        <f>IFERROR(VLOOKUP(V74,TD!$N$33:$O$45,2,0)," ")</f>
        <v>Servicio de educación informal</v>
      </c>
      <c r="X74" s="127" t="str">
        <f>CONCATENATE(V74,"_",W74)</f>
        <v>002_Servicio de educación informal</v>
      </c>
      <c r="Y74" s="127" t="str">
        <f>CONCATENATE(U74," ",X74)</f>
        <v>07-Servicio de formación en gestión del riesgo de incendios para el personal UAECOB 002_Servicio de educación informal</v>
      </c>
      <c r="Z74" s="178" t="str">
        <f>CONCATENATE(P74,Q74,R74,S74,V74)</f>
        <v>O23011745032024025507002</v>
      </c>
      <c r="AA74" s="178" t="str">
        <f>IFERROR(VLOOKUP(Y74,TD!$K$46:$L$64,2,0)," ")</f>
        <v>PM/0131/0107/45030020255</v>
      </c>
      <c r="AB74" s="188" t="s">
        <v>138</v>
      </c>
      <c r="AC74" s="179" t="s">
        <v>204</v>
      </c>
    </row>
    <row r="75" spans="2:29" s="28" customFormat="1" ht="74.25" customHeight="1" x14ac:dyDescent="0.35">
      <c r="B75" s="170">
        <v>20250124</v>
      </c>
      <c r="C75" s="171" t="s">
        <v>209</v>
      </c>
      <c r="D75" s="172" t="s">
        <v>165</v>
      </c>
      <c r="E75" s="173" t="s">
        <v>510</v>
      </c>
      <c r="F75" s="172" t="s">
        <v>444</v>
      </c>
      <c r="G75" s="172" t="s">
        <v>155</v>
      </c>
      <c r="H75" s="174">
        <v>80111600</v>
      </c>
      <c r="I75" s="175">
        <v>3</v>
      </c>
      <c r="J75" s="175">
        <v>10</v>
      </c>
      <c r="K75" s="176">
        <v>0</v>
      </c>
      <c r="L75" s="177">
        <f>68549000-29063490-12185510</f>
        <v>27300000</v>
      </c>
      <c r="M75" s="172" t="s">
        <v>484</v>
      </c>
      <c r="N75" s="177" t="s">
        <v>113</v>
      </c>
      <c r="O75" s="173" t="s">
        <v>229</v>
      </c>
      <c r="P75" s="178" t="str">
        <f>IFERROR(VLOOKUP(C75,TD!$B$32:$F$36,2,0)," ")</f>
        <v>O230117</v>
      </c>
      <c r="Q75" s="178" t="str">
        <f>IFERROR(VLOOKUP(C75,TD!$B$32:$F$36,3,0)," ")</f>
        <v>4503</v>
      </c>
      <c r="R75" s="178">
        <f>IFERROR(VLOOKUP(C75,TD!$B$32:$F$36,4,0)," ")</f>
        <v>20240255</v>
      </c>
      <c r="S75" s="173" t="s">
        <v>183</v>
      </c>
      <c r="T75" s="178" t="str">
        <f>IFERROR(VLOOKUP(S75,TD!$J$33:$K$43,2,0)," ")</f>
        <v>Servicio de formación en gestión del riesgo de incendios para el personal UAECOB</v>
      </c>
      <c r="U75" s="127" t="str">
        <f>CONCATENATE(S75,"-",T75)</f>
        <v>07-Servicio de formación en gestión del riesgo de incendios para el personal UAECOB</v>
      </c>
      <c r="V75" s="173" t="s">
        <v>233</v>
      </c>
      <c r="W75" s="178" t="str">
        <f>IFERROR(VLOOKUP(V75,TD!$N$33:$O$45,2,0)," ")</f>
        <v>Servicio de educación informal</v>
      </c>
      <c r="X75" s="127" t="str">
        <f>CONCATENATE(V75,"_",W75)</f>
        <v>002_Servicio de educación informal</v>
      </c>
      <c r="Y75" s="127" t="str">
        <f>CONCATENATE(U75," ",X75)</f>
        <v>07-Servicio de formación en gestión del riesgo de incendios para el personal UAECOB 002_Servicio de educación informal</v>
      </c>
      <c r="Z75" s="178" t="str">
        <f>CONCATENATE(P75,Q75,R75,S75,V75)</f>
        <v>O23011745032024025507002</v>
      </c>
      <c r="AA75" s="178" t="str">
        <f>IFERROR(VLOOKUP(Y75,TD!$K$46:$L$64,2,0)," ")</f>
        <v>PM/0131/0107/45030020255</v>
      </c>
      <c r="AB75" s="188" t="s">
        <v>120</v>
      </c>
      <c r="AC75" s="179" t="s">
        <v>204</v>
      </c>
    </row>
    <row r="76" spans="2:29" s="28" customFormat="1" ht="74.25" customHeight="1" x14ac:dyDescent="0.35">
      <c r="B76" s="170">
        <v>20250125</v>
      </c>
      <c r="C76" s="171" t="s">
        <v>209</v>
      </c>
      <c r="D76" s="172" t="s">
        <v>165</v>
      </c>
      <c r="E76" s="173" t="s">
        <v>510</v>
      </c>
      <c r="F76" s="172" t="s">
        <v>834</v>
      </c>
      <c r="G76" s="172" t="s">
        <v>155</v>
      </c>
      <c r="H76" s="174">
        <v>80111600</v>
      </c>
      <c r="I76" s="175">
        <v>2</v>
      </c>
      <c r="J76" s="175">
        <v>11</v>
      </c>
      <c r="K76" s="176">
        <v>0</v>
      </c>
      <c r="L76" s="177">
        <f>59163060+3836940</f>
        <v>63000000</v>
      </c>
      <c r="M76" s="172" t="s">
        <v>484</v>
      </c>
      <c r="N76" s="177" t="s">
        <v>113</v>
      </c>
      <c r="O76" s="173" t="s">
        <v>229</v>
      </c>
      <c r="P76" s="178" t="str">
        <f>IFERROR(VLOOKUP(C76,TD!$B$32:$F$36,2,0)," ")</f>
        <v>O230117</v>
      </c>
      <c r="Q76" s="178" t="str">
        <f>IFERROR(VLOOKUP(C76,TD!$B$32:$F$36,3,0)," ")</f>
        <v>4503</v>
      </c>
      <c r="R76" s="178">
        <f>IFERROR(VLOOKUP(C76,TD!$B$32:$F$36,4,0)," ")</f>
        <v>20240255</v>
      </c>
      <c r="S76" s="173" t="s">
        <v>183</v>
      </c>
      <c r="T76" s="178" t="str">
        <f>IFERROR(VLOOKUP(S76,TD!$J$33:$K$43,2,0)," ")</f>
        <v>Servicio de formación en gestión del riesgo de incendios para el personal UAECOB</v>
      </c>
      <c r="U76" s="127" t="str">
        <f>CONCATENATE(S76,"-",T76)</f>
        <v>07-Servicio de formación en gestión del riesgo de incendios para el personal UAECOB</v>
      </c>
      <c r="V76" s="173" t="s">
        <v>233</v>
      </c>
      <c r="W76" s="178" t="str">
        <f>IFERROR(VLOOKUP(V76,TD!$N$33:$O$45,2,0)," ")</f>
        <v>Servicio de educación informal</v>
      </c>
      <c r="X76" s="127" t="str">
        <f>CONCATENATE(V76,"_",W76)</f>
        <v>002_Servicio de educación informal</v>
      </c>
      <c r="Y76" s="127" t="str">
        <f>CONCATENATE(U76," ",X76)</f>
        <v>07-Servicio de formación en gestión del riesgo de incendios para el personal UAECOB 002_Servicio de educación informal</v>
      </c>
      <c r="Z76" s="178" t="str">
        <f>CONCATENATE(P76,Q76,R76,S76,V76)</f>
        <v>O23011745032024025507002</v>
      </c>
      <c r="AA76" s="178" t="str">
        <f>IFERROR(VLOOKUP(Y76,TD!$K$46:$L$64,2,0)," ")</f>
        <v>PM/0131/0107/45030020255</v>
      </c>
      <c r="AB76" s="188" t="s">
        <v>138</v>
      </c>
      <c r="AC76" s="179" t="s">
        <v>204</v>
      </c>
    </row>
    <row r="77" spans="2:29" s="28" customFormat="1" ht="74.25" customHeight="1" x14ac:dyDescent="0.35">
      <c r="B77" s="170">
        <v>20250126</v>
      </c>
      <c r="C77" s="171" t="s">
        <v>209</v>
      </c>
      <c r="D77" s="172" t="s">
        <v>165</v>
      </c>
      <c r="E77" s="173" t="s">
        <v>510</v>
      </c>
      <c r="F77" s="172" t="s">
        <v>445</v>
      </c>
      <c r="G77" s="172" t="s">
        <v>155</v>
      </c>
      <c r="H77" s="174">
        <v>80111600</v>
      </c>
      <c r="I77" s="175">
        <v>3</v>
      </c>
      <c r="J77" s="175">
        <v>10</v>
      </c>
      <c r="K77" s="176">
        <v>0</v>
      </c>
      <c r="L77" s="177">
        <f>68549000-13949000</f>
        <v>54600000</v>
      </c>
      <c r="M77" s="172" t="s">
        <v>484</v>
      </c>
      <c r="N77" s="177" t="s">
        <v>113</v>
      </c>
      <c r="O77" s="173" t="s">
        <v>229</v>
      </c>
      <c r="P77" s="178" t="str">
        <f>IFERROR(VLOOKUP(C77,TD!$B$32:$F$36,2,0)," ")</f>
        <v>O230117</v>
      </c>
      <c r="Q77" s="178" t="str">
        <f>IFERROR(VLOOKUP(C77,TD!$B$32:$F$36,3,0)," ")</f>
        <v>4503</v>
      </c>
      <c r="R77" s="178">
        <f>IFERROR(VLOOKUP(C77,TD!$B$32:$F$36,4,0)," ")</f>
        <v>20240255</v>
      </c>
      <c r="S77" s="173" t="s">
        <v>183</v>
      </c>
      <c r="T77" s="178" t="str">
        <f>IFERROR(VLOOKUP(S77,TD!$J$33:$K$43,2,0)," ")</f>
        <v>Servicio de formación en gestión del riesgo de incendios para el personal UAECOB</v>
      </c>
      <c r="U77" s="127" t="str">
        <f>CONCATENATE(S77,"-",T77)</f>
        <v>07-Servicio de formación en gestión del riesgo de incendios para el personal UAECOB</v>
      </c>
      <c r="V77" s="173" t="s">
        <v>233</v>
      </c>
      <c r="W77" s="178" t="str">
        <f>IFERROR(VLOOKUP(V77,TD!$N$33:$O$45,2,0)," ")</f>
        <v>Servicio de educación informal</v>
      </c>
      <c r="X77" s="127" t="str">
        <f>CONCATENATE(V77,"_",W77)</f>
        <v>002_Servicio de educación informal</v>
      </c>
      <c r="Y77" s="127" t="str">
        <f>CONCATENATE(U77," ",X77)</f>
        <v>07-Servicio de formación en gestión del riesgo de incendios para el personal UAECOB 002_Servicio de educación informal</v>
      </c>
      <c r="Z77" s="178" t="str">
        <f>CONCATENATE(P77,Q77,R77,S77,V77)</f>
        <v>O23011745032024025507002</v>
      </c>
      <c r="AA77" s="178" t="str">
        <f>IFERROR(VLOOKUP(Y77,TD!$K$46:$L$64,2,0)," ")</f>
        <v>PM/0131/0107/45030020255</v>
      </c>
      <c r="AB77" s="188" t="s">
        <v>138</v>
      </c>
      <c r="AC77" s="179" t="s">
        <v>204</v>
      </c>
    </row>
    <row r="78" spans="2:29" s="28" customFormat="1" ht="74.25" customHeight="1" x14ac:dyDescent="0.35">
      <c r="B78" s="170">
        <v>20250127</v>
      </c>
      <c r="C78" s="171" t="s">
        <v>209</v>
      </c>
      <c r="D78" s="172" t="s">
        <v>165</v>
      </c>
      <c r="E78" s="173" t="s">
        <v>510</v>
      </c>
      <c r="F78" s="172" t="s">
        <v>446</v>
      </c>
      <c r="G78" s="172" t="s">
        <v>155</v>
      </c>
      <c r="H78" s="174">
        <v>80111600</v>
      </c>
      <c r="I78" s="175">
        <v>3</v>
      </c>
      <c r="J78" s="175">
        <v>10</v>
      </c>
      <c r="K78" s="176">
        <v>0</v>
      </c>
      <c r="L78" s="177">
        <f>57697166-17610266</f>
        <v>40086900</v>
      </c>
      <c r="M78" s="172" t="s">
        <v>484</v>
      </c>
      <c r="N78" s="177" t="s">
        <v>113</v>
      </c>
      <c r="O78" s="173" t="s">
        <v>229</v>
      </c>
      <c r="P78" s="178" t="str">
        <f>IFERROR(VLOOKUP(C78,TD!$B$32:$F$36,2,0)," ")</f>
        <v>O230117</v>
      </c>
      <c r="Q78" s="178" t="str">
        <f>IFERROR(VLOOKUP(C78,TD!$B$32:$F$36,3,0)," ")</f>
        <v>4503</v>
      </c>
      <c r="R78" s="178">
        <f>IFERROR(VLOOKUP(C78,TD!$B$32:$F$36,4,0)," ")</f>
        <v>20240255</v>
      </c>
      <c r="S78" s="173" t="s">
        <v>183</v>
      </c>
      <c r="T78" s="178" t="str">
        <f>IFERROR(VLOOKUP(S78,TD!$J$33:$K$43,2,0)," ")</f>
        <v>Servicio de formación en gestión del riesgo de incendios para el personal UAECOB</v>
      </c>
      <c r="U78" s="127" t="str">
        <f>CONCATENATE(S78,"-",T78)</f>
        <v>07-Servicio de formación en gestión del riesgo de incendios para el personal UAECOB</v>
      </c>
      <c r="V78" s="173" t="s">
        <v>233</v>
      </c>
      <c r="W78" s="178" t="str">
        <f>IFERROR(VLOOKUP(V78,TD!$N$33:$O$45,2,0)," ")</f>
        <v>Servicio de educación informal</v>
      </c>
      <c r="X78" s="127" t="str">
        <f>CONCATENATE(V78,"_",W78)</f>
        <v>002_Servicio de educación informal</v>
      </c>
      <c r="Y78" s="127" t="str">
        <f>CONCATENATE(U78," ",X78)</f>
        <v>07-Servicio de formación en gestión del riesgo de incendios para el personal UAECOB 002_Servicio de educación informal</v>
      </c>
      <c r="Z78" s="178" t="str">
        <f>CONCATENATE(P78,Q78,R78,S78,V78)</f>
        <v>O23011745032024025507002</v>
      </c>
      <c r="AA78" s="178" t="str">
        <f>IFERROR(VLOOKUP(Y78,TD!$K$46:$L$64,2,0)," ")</f>
        <v>PM/0131/0107/45030020255</v>
      </c>
      <c r="AB78" s="188" t="s">
        <v>138</v>
      </c>
      <c r="AC78" s="179" t="s">
        <v>204</v>
      </c>
    </row>
    <row r="79" spans="2:29" s="28" customFormat="1" ht="74.25" customHeight="1" x14ac:dyDescent="0.35">
      <c r="B79" s="170">
        <v>20250128</v>
      </c>
      <c r="C79" s="171" t="s">
        <v>209</v>
      </c>
      <c r="D79" s="172" t="s">
        <v>165</v>
      </c>
      <c r="E79" s="173" t="s">
        <v>510</v>
      </c>
      <c r="F79" s="172" t="s">
        <v>446</v>
      </c>
      <c r="G79" s="172" t="s">
        <v>155</v>
      </c>
      <c r="H79" s="174">
        <v>80111600</v>
      </c>
      <c r="I79" s="175">
        <v>3</v>
      </c>
      <c r="J79" s="175">
        <v>10</v>
      </c>
      <c r="K79" s="176">
        <v>0</v>
      </c>
      <c r="L79" s="177">
        <f>57697166-1255224-7613267</f>
        <v>48828675</v>
      </c>
      <c r="M79" s="172" t="s">
        <v>484</v>
      </c>
      <c r="N79" s="177" t="s">
        <v>113</v>
      </c>
      <c r="O79" s="173" t="s">
        <v>229</v>
      </c>
      <c r="P79" s="178" t="str">
        <f>IFERROR(VLOOKUP(C79,TD!$B$32:$F$36,2,0)," ")</f>
        <v>O230117</v>
      </c>
      <c r="Q79" s="178" t="str">
        <f>IFERROR(VLOOKUP(C79,TD!$B$32:$F$36,3,0)," ")</f>
        <v>4503</v>
      </c>
      <c r="R79" s="178">
        <f>IFERROR(VLOOKUP(C79,TD!$B$32:$F$36,4,0)," ")</f>
        <v>20240255</v>
      </c>
      <c r="S79" s="173" t="s">
        <v>183</v>
      </c>
      <c r="T79" s="178" t="str">
        <f>IFERROR(VLOOKUP(S79,TD!$J$33:$K$43,2,0)," ")</f>
        <v>Servicio de formación en gestión del riesgo de incendios para el personal UAECOB</v>
      </c>
      <c r="U79" s="127" t="str">
        <f>CONCATENATE(S79,"-",T79)</f>
        <v>07-Servicio de formación en gestión del riesgo de incendios para el personal UAECOB</v>
      </c>
      <c r="V79" s="173" t="s">
        <v>233</v>
      </c>
      <c r="W79" s="178" t="str">
        <f>IFERROR(VLOOKUP(V79,TD!$N$33:$O$45,2,0)," ")</f>
        <v>Servicio de educación informal</v>
      </c>
      <c r="X79" s="127" t="str">
        <f>CONCATENATE(V79,"_",W79)</f>
        <v>002_Servicio de educación informal</v>
      </c>
      <c r="Y79" s="127" t="str">
        <f>CONCATENATE(U79," ",X79)</f>
        <v>07-Servicio de formación en gestión del riesgo de incendios para el personal UAECOB 002_Servicio de educación informal</v>
      </c>
      <c r="Z79" s="178" t="str">
        <f>CONCATENATE(P79,Q79,R79,S79,V79)</f>
        <v>O23011745032024025507002</v>
      </c>
      <c r="AA79" s="178" t="str">
        <f>IFERROR(VLOOKUP(Y79,TD!$K$46:$L$64,2,0)," ")</f>
        <v>PM/0131/0107/45030020255</v>
      </c>
      <c r="AB79" s="188" t="s">
        <v>138</v>
      </c>
      <c r="AC79" s="179" t="s">
        <v>204</v>
      </c>
    </row>
    <row r="80" spans="2:29" s="28" customFormat="1" ht="74.25" customHeight="1" x14ac:dyDescent="0.35">
      <c r="B80" s="170">
        <v>20250129</v>
      </c>
      <c r="C80" s="171" t="s">
        <v>209</v>
      </c>
      <c r="D80" s="172" t="s">
        <v>165</v>
      </c>
      <c r="E80" s="173" t="s">
        <v>510</v>
      </c>
      <c r="F80" s="172" t="s">
        <v>447</v>
      </c>
      <c r="G80" s="172" t="s">
        <v>155</v>
      </c>
      <c r="H80" s="174">
        <v>80111600</v>
      </c>
      <c r="I80" s="175">
        <v>4</v>
      </c>
      <c r="J80" s="175">
        <v>9</v>
      </c>
      <c r="K80" s="176">
        <v>0</v>
      </c>
      <c r="L80" s="177">
        <f>75931200-12931200</f>
        <v>63000000</v>
      </c>
      <c r="M80" s="172" t="s">
        <v>484</v>
      </c>
      <c r="N80" s="177" t="s">
        <v>113</v>
      </c>
      <c r="O80" s="173" t="s">
        <v>229</v>
      </c>
      <c r="P80" s="178" t="str">
        <f>IFERROR(VLOOKUP(C80,TD!$B$32:$F$36,2,0)," ")</f>
        <v>O230117</v>
      </c>
      <c r="Q80" s="178" t="str">
        <f>IFERROR(VLOOKUP(C80,TD!$B$32:$F$36,3,0)," ")</f>
        <v>4503</v>
      </c>
      <c r="R80" s="178">
        <f>IFERROR(VLOOKUP(C80,TD!$B$32:$F$36,4,0)," ")</f>
        <v>20240255</v>
      </c>
      <c r="S80" s="173" t="s">
        <v>183</v>
      </c>
      <c r="T80" s="178" t="str">
        <f>IFERROR(VLOOKUP(S80,TD!$J$33:$K$43,2,0)," ")</f>
        <v>Servicio de formación en gestión del riesgo de incendios para el personal UAECOB</v>
      </c>
      <c r="U80" s="127" t="str">
        <f>CONCATENATE(S80,"-",T80)</f>
        <v>07-Servicio de formación en gestión del riesgo de incendios para el personal UAECOB</v>
      </c>
      <c r="V80" s="173" t="s">
        <v>233</v>
      </c>
      <c r="W80" s="178" t="str">
        <f>IFERROR(VLOOKUP(V80,TD!$N$33:$O$45,2,0)," ")</f>
        <v>Servicio de educación informal</v>
      </c>
      <c r="X80" s="127" t="str">
        <f>CONCATENATE(V80,"_",W80)</f>
        <v>002_Servicio de educación informal</v>
      </c>
      <c r="Y80" s="127" t="str">
        <f>CONCATENATE(U80," ",X80)</f>
        <v>07-Servicio de formación en gestión del riesgo de incendios para el personal UAECOB 002_Servicio de educación informal</v>
      </c>
      <c r="Z80" s="178" t="str">
        <f>CONCATENATE(P80,Q80,R80,S80,V80)</f>
        <v>O23011745032024025507002</v>
      </c>
      <c r="AA80" s="178" t="str">
        <f>IFERROR(VLOOKUP(Y80,TD!$K$46:$L$64,2,0)," ")</f>
        <v>PM/0131/0107/45030020255</v>
      </c>
      <c r="AB80" s="188" t="s">
        <v>120</v>
      </c>
      <c r="AC80" s="179" t="s">
        <v>204</v>
      </c>
    </row>
    <row r="81" spans="2:29" s="28" customFormat="1" ht="74.25" customHeight="1" x14ac:dyDescent="0.35">
      <c r="B81" s="170">
        <v>20250130</v>
      </c>
      <c r="C81" s="171" t="s">
        <v>209</v>
      </c>
      <c r="D81" s="172" t="s">
        <v>165</v>
      </c>
      <c r="E81" s="173" t="s">
        <v>510</v>
      </c>
      <c r="F81" s="172" t="s">
        <v>511</v>
      </c>
      <c r="G81" s="172" t="s">
        <v>156</v>
      </c>
      <c r="H81" s="174">
        <v>80111600</v>
      </c>
      <c r="I81" s="175">
        <v>2</v>
      </c>
      <c r="J81" s="175">
        <v>11</v>
      </c>
      <c r="K81" s="176">
        <v>0</v>
      </c>
      <c r="L81" s="177">
        <f>30045554-2131554</f>
        <v>27914000</v>
      </c>
      <c r="M81" s="172" t="s">
        <v>484</v>
      </c>
      <c r="N81" s="177" t="s">
        <v>113</v>
      </c>
      <c r="O81" s="173" t="s">
        <v>229</v>
      </c>
      <c r="P81" s="178" t="str">
        <f>IFERROR(VLOOKUP(C81,TD!$B$32:$F$36,2,0)," ")</f>
        <v>O230117</v>
      </c>
      <c r="Q81" s="178" t="str">
        <f>IFERROR(VLOOKUP(C81,TD!$B$32:$F$36,3,0)," ")</f>
        <v>4503</v>
      </c>
      <c r="R81" s="178">
        <f>IFERROR(VLOOKUP(C81,TD!$B$32:$F$36,4,0)," ")</f>
        <v>20240255</v>
      </c>
      <c r="S81" s="173" t="s">
        <v>183</v>
      </c>
      <c r="T81" s="178" t="str">
        <f>IFERROR(VLOOKUP(S81,TD!$J$33:$K$43,2,0)," ")</f>
        <v>Servicio de formación en gestión del riesgo de incendios para el personal UAECOB</v>
      </c>
      <c r="U81" s="127" t="str">
        <f>CONCATENATE(S81,"-",T81)</f>
        <v>07-Servicio de formación en gestión del riesgo de incendios para el personal UAECOB</v>
      </c>
      <c r="V81" s="173" t="s">
        <v>233</v>
      </c>
      <c r="W81" s="178" t="str">
        <f>IFERROR(VLOOKUP(V81,TD!$N$33:$O$45,2,0)," ")</f>
        <v>Servicio de educación informal</v>
      </c>
      <c r="X81" s="127" t="str">
        <f>CONCATENATE(V81,"_",W81)</f>
        <v>002_Servicio de educación informal</v>
      </c>
      <c r="Y81" s="127" t="str">
        <f>CONCATENATE(U81," ",X81)</f>
        <v>07-Servicio de formación en gestión del riesgo de incendios para el personal UAECOB 002_Servicio de educación informal</v>
      </c>
      <c r="Z81" s="178" t="str">
        <f>CONCATENATE(P81,Q81,R81,S81,V81)</f>
        <v>O23011745032024025507002</v>
      </c>
      <c r="AA81" s="178" t="str">
        <f>IFERROR(VLOOKUP(Y81,TD!$K$46:$L$64,2,0)," ")</f>
        <v>PM/0131/0107/45030020255</v>
      </c>
      <c r="AB81" s="188" t="s">
        <v>138</v>
      </c>
      <c r="AC81" s="179" t="s">
        <v>204</v>
      </c>
    </row>
    <row r="82" spans="2:29" s="28" customFormat="1" ht="74.25" customHeight="1" x14ac:dyDescent="0.35">
      <c r="B82" s="170">
        <v>20250132</v>
      </c>
      <c r="C82" s="171" t="s">
        <v>209</v>
      </c>
      <c r="D82" s="172" t="s">
        <v>165</v>
      </c>
      <c r="E82" s="173" t="s">
        <v>510</v>
      </c>
      <c r="F82" s="172" t="s">
        <v>836</v>
      </c>
      <c r="G82" s="172" t="s">
        <v>155</v>
      </c>
      <c r="H82" s="174">
        <v>80111600</v>
      </c>
      <c r="I82" s="175">
        <v>2</v>
      </c>
      <c r="J82" s="175">
        <v>11</v>
      </c>
      <c r="K82" s="176">
        <v>0</v>
      </c>
      <c r="L82" s="177">
        <f>75403900-16427900</f>
        <v>58976000</v>
      </c>
      <c r="M82" s="172" t="s">
        <v>484</v>
      </c>
      <c r="N82" s="177" t="s">
        <v>113</v>
      </c>
      <c r="O82" s="173" t="s">
        <v>229</v>
      </c>
      <c r="P82" s="178" t="str">
        <f>IFERROR(VLOOKUP(C82,TD!$B$32:$F$36,2,0)," ")</f>
        <v>O230117</v>
      </c>
      <c r="Q82" s="178" t="str">
        <f>IFERROR(VLOOKUP(C82,TD!$B$32:$F$36,3,0)," ")</f>
        <v>4503</v>
      </c>
      <c r="R82" s="178">
        <f>IFERROR(VLOOKUP(C82,TD!$B$32:$F$36,4,0)," ")</f>
        <v>20240255</v>
      </c>
      <c r="S82" s="173" t="s">
        <v>183</v>
      </c>
      <c r="T82" s="178" t="str">
        <f>IFERROR(VLOOKUP(S82,TD!$J$33:$K$43,2,0)," ")</f>
        <v>Servicio de formación en gestión del riesgo de incendios para el personal UAECOB</v>
      </c>
      <c r="U82" s="127" t="str">
        <f>CONCATENATE(S82,"-",T82)</f>
        <v>07-Servicio de formación en gestión del riesgo de incendios para el personal UAECOB</v>
      </c>
      <c r="V82" s="173" t="s">
        <v>233</v>
      </c>
      <c r="W82" s="178" t="str">
        <f>IFERROR(VLOOKUP(V82,TD!$N$33:$O$45,2,0)," ")</f>
        <v>Servicio de educación informal</v>
      </c>
      <c r="X82" s="127" t="str">
        <f>CONCATENATE(V82,"_",W82)</f>
        <v>002_Servicio de educación informal</v>
      </c>
      <c r="Y82" s="127" t="str">
        <f>CONCATENATE(U82," ",X82)</f>
        <v>07-Servicio de formación en gestión del riesgo de incendios para el personal UAECOB 002_Servicio de educación informal</v>
      </c>
      <c r="Z82" s="178" t="str">
        <f>CONCATENATE(P82,Q82,R82,S82,V82)</f>
        <v>O23011745032024025507002</v>
      </c>
      <c r="AA82" s="178" t="str">
        <f>IFERROR(VLOOKUP(Y82,TD!$K$46:$L$64,2,0)," ")</f>
        <v>PM/0131/0107/45030020255</v>
      </c>
      <c r="AB82" s="188" t="s">
        <v>138</v>
      </c>
      <c r="AC82" s="179" t="s">
        <v>204</v>
      </c>
    </row>
    <row r="83" spans="2:29" s="28" customFormat="1" ht="74.25" customHeight="1" x14ac:dyDescent="0.35">
      <c r="B83" s="170">
        <v>20250133</v>
      </c>
      <c r="C83" s="171" t="s">
        <v>209</v>
      </c>
      <c r="D83" s="172" t="s">
        <v>165</v>
      </c>
      <c r="E83" s="173" t="s">
        <v>510</v>
      </c>
      <c r="F83" s="172" t="s">
        <v>465</v>
      </c>
      <c r="G83" s="172" t="s">
        <v>155</v>
      </c>
      <c r="H83" s="174">
        <v>80111600</v>
      </c>
      <c r="I83" s="175">
        <v>3</v>
      </c>
      <c r="J83" s="175">
        <v>10</v>
      </c>
      <c r="K83" s="176">
        <v>0</v>
      </c>
      <c r="L83" s="177">
        <f>73822000-9413579-15408421</f>
        <v>49000000</v>
      </c>
      <c r="M83" s="172" t="s">
        <v>484</v>
      </c>
      <c r="N83" s="177" t="s">
        <v>113</v>
      </c>
      <c r="O83" s="173" t="s">
        <v>229</v>
      </c>
      <c r="P83" s="178" t="str">
        <f>IFERROR(VLOOKUP(C83,TD!$B$32:$F$36,2,0)," ")</f>
        <v>O230117</v>
      </c>
      <c r="Q83" s="178" t="str">
        <f>IFERROR(VLOOKUP(C83,TD!$B$32:$F$36,3,0)," ")</f>
        <v>4503</v>
      </c>
      <c r="R83" s="178">
        <f>IFERROR(VLOOKUP(C83,TD!$B$32:$F$36,4,0)," ")</f>
        <v>20240255</v>
      </c>
      <c r="S83" s="173" t="s">
        <v>183</v>
      </c>
      <c r="T83" s="178" t="str">
        <f>IFERROR(VLOOKUP(S83,TD!$J$33:$K$43,2,0)," ")</f>
        <v>Servicio de formación en gestión del riesgo de incendios para el personal UAECOB</v>
      </c>
      <c r="U83" s="127" t="str">
        <f>CONCATENATE(S83,"-",T83)</f>
        <v>07-Servicio de formación en gestión del riesgo de incendios para el personal UAECOB</v>
      </c>
      <c r="V83" s="173" t="s">
        <v>233</v>
      </c>
      <c r="W83" s="178" t="str">
        <f>IFERROR(VLOOKUP(V83,TD!$N$33:$O$45,2,0)," ")</f>
        <v>Servicio de educación informal</v>
      </c>
      <c r="X83" s="127" t="str">
        <f>CONCATENATE(V83,"_",W83)</f>
        <v>002_Servicio de educación informal</v>
      </c>
      <c r="Y83" s="127" t="str">
        <f>CONCATENATE(U83," ",X83)</f>
        <v>07-Servicio de formación en gestión del riesgo de incendios para el personal UAECOB 002_Servicio de educación informal</v>
      </c>
      <c r="Z83" s="178" t="str">
        <f>CONCATENATE(P83,Q83,R83,S83,V83)</f>
        <v>O23011745032024025507002</v>
      </c>
      <c r="AA83" s="178" t="str">
        <f>IFERROR(VLOOKUP(Y83,TD!$K$46:$L$64,2,0)," ")</f>
        <v>PM/0131/0107/45030020255</v>
      </c>
      <c r="AB83" s="188" t="s">
        <v>138</v>
      </c>
      <c r="AC83" s="179" t="s">
        <v>204</v>
      </c>
    </row>
    <row r="84" spans="2:29" s="28" customFormat="1" ht="74.25" customHeight="1" x14ac:dyDescent="0.35">
      <c r="B84" s="170">
        <v>20250135</v>
      </c>
      <c r="C84" s="171" t="s">
        <v>209</v>
      </c>
      <c r="D84" s="172" t="s">
        <v>165</v>
      </c>
      <c r="E84" s="173" t="s">
        <v>510</v>
      </c>
      <c r="F84" s="172" t="s">
        <v>466</v>
      </c>
      <c r="G84" s="172" t="s">
        <v>155</v>
      </c>
      <c r="H84" s="174">
        <v>80111600</v>
      </c>
      <c r="I84" s="175">
        <v>3</v>
      </c>
      <c r="J84" s="175">
        <v>10</v>
      </c>
      <c r="K84" s="176">
        <v>0</v>
      </c>
      <c r="L84" s="177">
        <f>52730000-36570966-4492367</f>
        <v>11666667</v>
      </c>
      <c r="M84" s="172" t="s">
        <v>484</v>
      </c>
      <c r="N84" s="177" t="s">
        <v>113</v>
      </c>
      <c r="O84" s="173" t="s">
        <v>229</v>
      </c>
      <c r="P84" s="178" t="str">
        <f>IFERROR(VLOOKUP(C84,TD!$B$32:$F$36,2,0)," ")</f>
        <v>O230117</v>
      </c>
      <c r="Q84" s="178" t="str">
        <f>IFERROR(VLOOKUP(C84,TD!$B$32:$F$36,3,0)," ")</f>
        <v>4503</v>
      </c>
      <c r="R84" s="178">
        <f>IFERROR(VLOOKUP(C84,TD!$B$32:$F$36,4,0)," ")</f>
        <v>20240255</v>
      </c>
      <c r="S84" s="173" t="s">
        <v>183</v>
      </c>
      <c r="T84" s="178" t="str">
        <f>IFERROR(VLOOKUP(S84,TD!$J$33:$K$43,2,0)," ")</f>
        <v>Servicio de formación en gestión del riesgo de incendios para el personal UAECOB</v>
      </c>
      <c r="U84" s="127" t="str">
        <f>CONCATENATE(S84,"-",T84)</f>
        <v>07-Servicio de formación en gestión del riesgo de incendios para el personal UAECOB</v>
      </c>
      <c r="V84" s="173" t="s">
        <v>233</v>
      </c>
      <c r="W84" s="178" t="str">
        <f>IFERROR(VLOOKUP(V84,TD!$N$33:$O$45,2,0)," ")</f>
        <v>Servicio de educación informal</v>
      </c>
      <c r="X84" s="127" t="str">
        <f>CONCATENATE(V84,"_",W84)</f>
        <v>002_Servicio de educación informal</v>
      </c>
      <c r="Y84" s="127" t="str">
        <f>CONCATENATE(U84," ",X84)</f>
        <v>07-Servicio de formación en gestión del riesgo de incendios para el personal UAECOB 002_Servicio de educación informal</v>
      </c>
      <c r="Z84" s="178" t="str">
        <f>CONCATENATE(P84,Q84,R84,S84,V84)</f>
        <v>O23011745032024025507002</v>
      </c>
      <c r="AA84" s="178" t="str">
        <f>IFERROR(VLOOKUP(Y84,TD!$K$46:$L$64,2,0)," ")</f>
        <v>PM/0131/0107/45030020255</v>
      </c>
      <c r="AB84" s="188" t="s">
        <v>138</v>
      </c>
      <c r="AC84" s="179" t="s">
        <v>204</v>
      </c>
    </row>
    <row r="85" spans="2:29" s="28" customFormat="1" ht="74.25" customHeight="1" x14ac:dyDescent="0.35">
      <c r="B85" s="170">
        <v>20250136</v>
      </c>
      <c r="C85" s="171" t="s">
        <v>209</v>
      </c>
      <c r="D85" s="172" t="s">
        <v>165</v>
      </c>
      <c r="E85" s="173" t="s">
        <v>510</v>
      </c>
      <c r="F85" s="172" t="s">
        <v>468</v>
      </c>
      <c r="G85" s="172" t="s">
        <v>155</v>
      </c>
      <c r="H85" s="174">
        <v>80111600</v>
      </c>
      <c r="I85" s="175">
        <v>3</v>
      </c>
      <c r="J85" s="175">
        <v>10</v>
      </c>
      <c r="K85" s="176">
        <v>0</v>
      </c>
      <c r="L85" s="177">
        <f>58003000-19503000</f>
        <v>38500000</v>
      </c>
      <c r="M85" s="172" t="s">
        <v>484</v>
      </c>
      <c r="N85" s="177" t="s">
        <v>113</v>
      </c>
      <c r="O85" s="173" t="s">
        <v>229</v>
      </c>
      <c r="P85" s="178" t="str">
        <f>IFERROR(VLOOKUP(C85,TD!$B$32:$F$36,2,0)," ")</f>
        <v>O230117</v>
      </c>
      <c r="Q85" s="178" t="str">
        <f>IFERROR(VLOOKUP(C85,TD!$B$32:$F$36,3,0)," ")</f>
        <v>4503</v>
      </c>
      <c r="R85" s="178">
        <f>IFERROR(VLOOKUP(C85,TD!$B$32:$F$36,4,0)," ")</f>
        <v>20240255</v>
      </c>
      <c r="S85" s="173" t="s">
        <v>183</v>
      </c>
      <c r="T85" s="178" t="str">
        <f>IFERROR(VLOOKUP(S85,TD!$J$33:$K$43,2,0)," ")</f>
        <v>Servicio de formación en gestión del riesgo de incendios para el personal UAECOB</v>
      </c>
      <c r="U85" s="127" t="str">
        <f>CONCATENATE(S85,"-",T85)</f>
        <v>07-Servicio de formación en gestión del riesgo de incendios para el personal UAECOB</v>
      </c>
      <c r="V85" s="173" t="s">
        <v>233</v>
      </c>
      <c r="W85" s="178" t="str">
        <f>IFERROR(VLOOKUP(V85,TD!$N$33:$O$45,2,0)," ")</f>
        <v>Servicio de educación informal</v>
      </c>
      <c r="X85" s="127" t="str">
        <f>CONCATENATE(V85,"_",W85)</f>
        <v>002_Servicio de educación informal</v>
      </c>
      <c r="Y85" s="127" t="str">
        <f>CONCATENATE(U85," ",X85)</f>
        <v>07-Servicio de formación en gestión del riesgo de incendios para el personal UAECOB 002_Servicio de educación informal</v>
      </c>
      <c r="Z85" s="178" t="str">
        <f>CONCATENATE(P85,Q85,R85,S85,V85)</f>
        <v>O23011745032024025507002</v>
      </c>
      <c r="AA85" s="178" t="str">
        <f>IFERROR(VLOOKUP(Y85,TD!$K$46:$L$64,2,0)," ")</f>
        <v>PM/0131/0107/45030020255</v>
      </c>
      <c r="AB85" s="188" t="s">
        <v>138</v>
      </c>
      <c r="AC85" s="179" t="s">
        <v>204</v>
      </c>
    </row>
    <row r="86" spans="2:29" s="28" customFormat="1" ht="74.25" customHeight="1" x14ac:dyDescent="0.35">
      <c r="B86" s="170">
        <v>20250138</v>
      </c>
      <c r="C86" s="171" t="s">
        <v>209</v>
      </c>
      <c r="D86" s="172" t="s">
        <v>165</v>
      </c>
      <c r="E86" s="173" t="s">
        <v>510</v>
      </c>
      <c r="F86" s="172" t="s">
        <v>471</v>
      </c>
      <c r="G86" s="172" t="s">
        <v>156</v>
      </c>
      <c r="H86" s="174">
        <v>80111600</v>
      </c>
      <c r="I86" s="175">
        <v>3</v>
      </c>
      <c r="J86" s="175">
        <v>10</v>
      </c>
      <c r="K86" s="176">
        <v>0</v>
      </c>
      <c r="L86" s="177">
        <f>32806497-19605807</f>
        <v>13200690</v>
      </c>
      <c r="M86" s="172" t="s">
        <v>484</v>
      </c>
      <c r="N86" s="177" t="s">
        <v>113</v>
      </c>
      <c r="O86" s="173" t="s">
        <v>229</v>
      </c>
      <c r="P86" s="178" t="str">
        <f>IFERROR(VLOOKUP(C86,TD!$B$32:$F$36,2,0)," ")</f>
        <v>O230117</v>
      </c>
      <c r="Q86" s="178" t="str">
        <f>IFERROR(VLOOKUP(C86,TD!$B$32:$F$36,3,0)," ")</f>
        <v>4503</v>
      </c>
      <c r="R86" s="178">
        <f>IFERROR(VLOOKUP(C86,TD!$B$32:$F$36,4,0)," ")</f>
        <v>20240255</v>
      </c>
      <c r="S86" s="173" t="s">
        <v>183</v>
      </c>
      <c r="T86" s="178" t="str">
        <f>IFERROR(VLOOKUP(S86,TD!$J$33:$K$43,2,0)," ")</f>
        <v>Servicio de formación en gestión del riesgo de incendios para el personal UAECOB</v>
      </c>
      <c r="U86" s="127" t="str">
        <f>CONCATENATE(S86,"-",T86)</f>
        <v>07-Servicio de formación en gestión del riesgo de incendios para el personal UAECOB</v>
      </c>
      <c r="V86" s="173" t="s">
        <v>233</v>
      </c>
      <c r="W86" s="178" t="str">
        <f>IFERROR(VLOOKUP(V86,TD!$N$33:$O$45,2,0)," ")</f>
        <v>Servicio de educación informal</v>
      </c>
      <c r="X86" s="127" t="str">
        <f>CONCATENATE(V86,"_",W86)</f>
        <v>002_Servicio de educación informal</v>
      </c>
      <c r="Y86" s="127" t="str">
        <f>CONCATENATE(U86," ",X86)</f>
        <v>07-Servicio de formación en gestión del riesgo de incendios para el personal UAECOB 002_Servicio de educación informal</v>
      </c>
      <c r="Z86" s="178" t="str">
        <f>CONCATENATE(P86,Q86,R86,S86,V86)</f>
        <v>O23011745032024025507002</v>
      </c>
      <c r="AA86" s="178" t="str">
        <f>IFERROR(VLOOKUP(Y86,TD!$K$46:$L$64,2,0)," ")</f>
        <v>PM/0131/0107/45030020255</v>
      </c>
      <c r="AB86" s="188" t="s">
        <v>138</v>
      </c>
      <c r="AC86" s="179" t="s">
        <v>204</v>
      </c>
    </row>
    <row r="87" spans="2:29" s="28" customFormat="1" ht="74.25" customHeight="1" x14ac:dyDescent="0.35">
      <c r="B87" s="170">
        <v>20250141</v>
      </c>
      <c r="C87" s="171" t="s">
        <v>209</v>
      </c>
      <c r="D87" s="172" t="s">
        <v>165</v>
      </c>
      <c r="E87" s="173" t="s">
        <v>510</v>
      </c>
      <c r="F87" s="172" t="s">
        <v>821</v>
      </c>
      <c r="G87" s="172" t="s">
        <v>155</v>
      </c>
      <c r="H87" s="174">
        <v>80111600</v>
      </c>
      <c r="I87" s="175">
        <v>2</v>
      </c>
      <c r="J87" s="175">
        <v>10</v>
      </c>
      <c r="K87" s="176">
        <v>0</v>
      </c>
      <c r="L87" s="177">
        <f>62216000-27344000-27344000-3836940</f>
        <v>3691060</v>
      </c>
      <c r="M87" s="172" t="s">
        <v>484</v>
      </c>
      <c r="N87" s="177" t="s">
        <v>113</v>
      </c>
      <c r="O87" s="173" t="s">
        <v>229</v>
      </c>
      <c r="P87" s="178" t="str">
        <f>IFERROR(VLOOKUP(C87,TD!$B$32:$F$36,2,0)," ")</f>
        <v>O230117</v>
      </c>
      <c r="Q87" s="178" t="str">
        <f>IFERROR(VLOOKUP(C87,TD!$B$32:$F$36,3,0)," ")</f>
        <v>4503</v>
      </c>
      <c r="R87" s="178">
        <f>IFERROR(VLOOKUP(C87,TD!$B$32:$F$36,4,0)," ")</f>
        <v>20240255</v>
      </c>
      <c r="S87" s="173" t="s">
        <v>183</v>
      </c>
      <c r="T87" s="178" t="str">
        <f>IFERROR(VLOOKUP(S87,TD!$J$33:$K$43,2,0)," ")</f>
        <v>Servicio de formación en gestión del riesgo de incendios para el personal UAECOB</v>
      </c>
      <c r="U87" s="127" t="str">
        <f>CONCATENATE(S87,"-",T87)</f>
        <v>07-Servicio de formación en gestión del riesgo de incendios para el personal UAECOB</v>
      </c>
      <c r="V87" s="173" t="s">
        <v>233</v>
      </c>
      <c r="W87" s="178" t="str">
        <f>IFERROR(VLOOKUP(V87,TD!$N$33:$O$45,2,0)," ")</f>
        <v>Servicio de educación informal</v>
      </c>
      <c r="X87" s="127" t="str">
        <f>CONCATENATE(V87,"_",W87)</f>
        <v>002_Servicio de educación informal</v>
      </c>
      <c r="Y87" s="127" t="str">
        <f>CONCATENATE(U87," ",X87)</f>
        <v>07-Servicio de formación en gestión del riesgo de incendios para el personal UAECOB 002_Servicio de educación informal</v>
      </c>
      <c r="Z87" s="178" t="str">
        <f>CONCATENATE(P87,Q87,R87,S87,V87)</f>
        <v>O23011745032024025507002</v>
      </c>
      <c r="AA87" s="178" t="str">
        <f>IFERROR(VLOOKUP(Y87,TD!$K$46:$L$64,2,0)," ")</f>
        <v>PM/0131/0107/45030020255</v>
      </c>
      <c r="AB87" s="188" t="s">
        <v>138</v>
      </c>
      <c r="AC87" s="179" t="s">
        <v>204</v>
      </c>
    </row>
    <row r="88" spans="2:29" s="28" customFormat="1" ht="74.25" customHeight="1" x14ac:dyDescent="0.35">
      <c r="B88" s="170">
        <v>20250157</v>
      </c>
      <c r="C88" s="171" t="s">
        <v>209</v>
      </c>
      <c r="D88" s="172" t="s">
        <v>168</v>
      </c>
      <c r="E88" s="173" t="s">
        <v>692</v>
      </c>
      <c r="F88" s="172" t="s">
        <v>530</v>
      </c>
      <c r="G88" s="172" t="s">
        <v>96</v>
      </c>
      <c r="H88" s="174">
        <v>46161600</v>
      </c>
      <c r="I88" s="175">
        <v>4</v>
      </c>
      <c r="J88" s="175">
        <v>12</v>
      </c>
      <c r="K88" s="176">
        <v>0</v>
      </c>
      <c r="L88" s="177">
        <v>74633400</v>
      </c>
      <c r="M88" s="172" t="s">
        <v>484</v>
      </c>
      <c r="N88" s="177" t="s">
        <v>113</v>
      </c>
      <c r="O88" s="173" t="s">
        <v>224</v>
      </c>
      <c r="P88" s="178" t="str">
        <f>IFERROR(VLOOKUP(C88,TD!$B$32:$F$36,2,0)," ")</f>
        <v>O230117</v>
      </c>
      <c r="Q88" s="178" t="str">
        <f>IFERROR(VLOOKUP(C88,TD!$B$32:$F$36,3,0)," ")</f>
        <v>4503</v>
      </c>
      <c r="R88" s="178">
        <f>IFERROR(VLOOKUP(C88,TD!$B$32:$F$36,4,0)," ")</f>
        <v>20240255</v>
      </c>
      <c r="S88" s="173" t="s">
        <v>187</v>
      </c>
      <c r="T88" s="178" t="str">
        <f>IFERROR(VLOOKUP(S88,TD!$J$33:$K$43,2,0)," ")</f>
        <v>Servicio de mantenimiento, dotación (HEA´s y equipo menor) y adquisición de vehiculos   especializados para la atención de emergencias.</v>
      </c>
      <c r="U88" s="127" t="str">
        <f>CONCATENATE(S88,"-",T88)</f>
        <v>09-Servicio de mantenimiento, dotación (HEA´s y equipo menor) y adquisición de vehiculos   especializados para la atención de emergencias.</v>
      </c>
      <c r="V88" s="173" t="s">
        <v>232</v>
      </c>
      <c r="W88" s="178" t="str">
        <f>IFERROR(VLOOKUP(V88,TD!$N$33:$O$45,2,0)," ")</f>
        <v>Servicio de atención a emergencias y desastres</v>
      </c>
      <c r="X88" s="127" t="str">
        <f>CONCATENATE(V88,"_",W88)</f>
        <v>004_Servicio de atención a emergencias y desastres</v>
      </c>
      <c r="Y88" s="127" t="str">
        <f>CONCATENATE(U88," ",X88)</f>
        <v>09-Servicio de mantenimiento, dotación (HEA´s y equipo menor) y adquisición de vehiculos   especializados para la atención de emergencias. 004_Servicio de atención a emergencias y desastres</v>
      </c>
      <c r="Z88" s="178" t="str">
        <f>CONCATENATE(P88,Q88,R88,S88,V88)</f>
        <v>O23011745032024025509004</v>
      </c>
      <c r="AA88" s="178" t="str">
        <f>IFERROR(VLOOKUP(Y88,TD!$K$46:$L$64,2,0)," ")</f>
        <v>PM/0131/0109/45030040255</v>
      </c>
      <c r="AB88" s="177" t="s">
        <v>87</v>
      </c>
      <c r="AC88" s="179" t="s">
        <v>204</v>
      </c>
    </row>
    <row r="89" spans="2:29" s="28" customFormat="1" ht="74.25" customHeight="1" x14ac:dyDescent="0.35">
      <c r="B89" s="170">
        <v>20250168</v>
      </c>
      <c r="C89" s="171" t="s">
        <v>209</v>
      </c>
      <c r="D89" s="172" t="s">
        <v>168</v>
      </c>
      <c r="E89" s="173" t="s">
        <v>692</v>
      </c>
      <c r="F89" s="172" t="s">
        <v>902</v>
      </c>
      <c r="G89" s="172" t="s">
        <v>119</v>
      </c>
      <c r="H89" s="174" t="s">
        <v>863</v>
      </c>
      <c r="I89" s="175">
        <v>1</v>
      </c>
      <c r="J89" s="175">
        <v>12</v>
      </c>
      <c r="K89" s="176">
        <v>0</v>
      </c>
      <c r="L89" s="177">
        <v>305000000</v>
      </c>
      <c r="M89" s="172" t="s">
        <v>484</v>
      </c>
      <c r="N89" s="177" t="s">
        <v>95</v>
      </c>
      <c r="O89" s="173" t="s">
        <v>224</v>
      </c>
      <c r="P89" s="178" t="str">
        <f>IFERROR(VLOOKUP(C89,TD!$B$32:$F$36,2,0)," ")</f>
        <v>O230117</v>
      </c>
      <c r="Q89" s="178" t="str">
        <f>IFERROR(VLOOKUP(C89,TD!$B$32:$F$36,3,0)," ")</f>
        <v>4503</v>
      </c>
      <c r="R89" s="178">
        <f>IFERROR(VLOOKUP(C89,TD!$B$32:$F$36,4,0)," ")</f>
        <v>20240255</v>
      </c>
      <c r="S89" s="173" t="s">
        <v>187</v>
      </c>
      <c r="T89" s="178" t="str">
        <f>IFERROR(VLOOKUP(S89,TD!$J$33:$K$43,2,0)," ")</f>
        <v>Servicio de mantenimiento, dotación (HEA´s y equipo menor) y adquisición de vehiculos   especializados para la atención de emergencias.</v>
      </c>
      <c r="U89" s="127" t="str">
        <f>CONCATENATE(S89,"-",T89)</f>
        <v>09-Servicio de mantenimiento, dotación (HEA´s y equipo menor) y adquisición de vehiculos   especializados para la atención de emergencias.</v>
      </c>
      <c r="V89" s="173" t="s">
        <v>232</v>
      </c>
      <c r="W89" s="178" t="str">
        <f>IFERROR(VLOOKUP(V89,TD!$N$33:$O$45,2,0)," ")</f>
        <v>Servicio de atención a emergencias y desastres</v>
      </c>
      <c r="X89" s="127" t="str">
        <f>CONCATENATE(V89,"_",W89)</f>
        <v>004_Servicio de atención a emergencias y desastres</v>
      </c>
      <c r="Y89" s="127" t="str">
        <f>CONCATENATE(U89," ",X89)</f>
        <v>09-Servicio de mantenimiento, dotación (HEA´s y equipo menor) y adquisición de vehiculos   especializados para la atención de emergencias. 004_Servicio de atención a emergencias y desastres</v>
      </c>
      <c r="Z89" s="178" t="str">
        <f>CONCATENATE(P89,Q89,R89,S89,V89)</f>
        <v>O23011745032024025509004</v>
      </c>
      <c r="AA89" s="178" t="str">
        <f>IFERROR(VLOOKUP(Y89,TD!$K$46:$L$64,2,0)," ")</f>
        <v>PM/0131/0109/45030040255</v>
      </c>
      <c r="AB89" s="177" t="s">
        <v>87</v>
      </c>
      <c r="AC89" s="179" t="s">
        <v>204</v>
      </c>
    </row>
    <row r="90" spans="2:29" s="28" customFormat="1" ht="74.25" customHeight="1" x14ac:dyDescent="0.35">
      <c r="B90" s="170">
        <v>20250174</v>
      </c>
      <c r="C90" s="171" t="s">
        <v>209</v>
      </c>
      <c r="D90" s="172" t="s">
        <v>168</v>
      </c>
      <c r="E90" s="173" t="s">
        <v>692</v>
      </c>
      <c r="F90" s="172" t="s">
        <v>864</v>
      </c>
      <c r="G90" s="172" t="s">
        <v>156</v>
      </c>
      <c r="H90" s="174">
        <v>80111600</v>
      </c>
      <c r="I90" s="175">
        <v>2</v>
      </c>
      <c r="J90" s="175">
        <v>9</v>
      </c>
      <c r="K90" s="176">
        <v>0</v>
      </c>
      <c r="L90" s="177">
        <v>29700000</v>
      </c>
      <c r="M90" s="172" t="s">
        <v>484</v>
      </c>
      <c r="N90" s="177" t="s">
        <v>113</v>
      </c>
      <c r="O90" s="173" t="s">
        <v>224</v>
      </c>
      <c r="P90" s="178" t="str">
        <f>IFERROR(VLOOKUP(C90,TD!$B$32:$F$36,2,0)," ")</f>
        <v>O230117</v>
      </c>
      <c r="Q90" s="178" t="str">
        <f>IFERROR(VLOOKUP(C90,TD!$B$32:$F$36,3,0)," ")</f>
        <v>4503</v>
      </c>
      <c r="R90" s="178">
        <f>IFERROR(VLOOKUP(C90,TD!$B$32:$F$36,4,0)," ")</f>
        <v>20240255</v>
      </c>
      <c r="S90" s="173" t="s">
        <v>187</v>
      </c>
      <c r="T90" s="178" t="str">
        <f>IFERROR(VLOOKUP(S90,TD!$J$33:$K$43,2,0)," ")</f>
        <v>Servicio de mantenimiento, dotación (HEA´s y equipo menor) y adquisición de vehiculos   especializados para la atención de emergencias.</v>
      </c>
      <c r="U90" s="127" t="str">
        <f>CONCATENATE(S90,"-",T90)</f>
        <v>09-Servicio de mantenimiento, dotación (HEA´s y equipo menor) y adquisición de vehiculos   especializados para la atención de emergencias.</v>
      </c>
      <c r="V90" s="173" t="s">
        <v>232</v>
      </c>
      <c r="W90" s="178" t="str">
        <f>IFERROR(VLOOKUP(V90,TD!$N$33:$O$45,2,0)," ")</f>
        <v>Servicio de atención a emergencias y desastres</v>
      </c>
      <c r="X90" s="127" t="str">
        <f>CONCATENATE(V90,"_",W90)</f>
        <v>004_Servicio de atención a emergencias y desastres</v>
      </c>
      <c r="Y90" s="127" t="str">
        <f>CONCATENATE(U90," ",X90)</f>
        <v>09-Servicio de mantenimiento, dotación (HEA´s y equipo menor) y adquisición de vehiculos   especializados para la atención de emergencias. 004_Servicio de atención a emergencias y desastres</v>
      </c>
      <c r="Z90" s="178" t="str">
        <f>CONCATENATE(P90,Q90,R90,S90,V90)</f>
        <v>O23011745032024025509004</v>
      </c>
      <c r="AA90" s="178" t="str">
        <f>IFERROR(VLOOKUP(Y90,TD!$K$46:$L$64,2,0)," ")</f>
        <v>PM/0131/0109/45030040255</v>
      </c>
      <c r="AB90" s="177" t="s">
        <v>138</v>
      </c>
      <c r="AC90" s="179" t="s">
        <v>204</v>
      </c>
    </row>
    <row r="91" spans="2:29" s="28" customFormat="1" ht="74.25" customHeight="1" x14ac:dyDescent="0.35">
      <c r="B91" s="170">
        <v>20250175</v>
      </c>
      <c r="C91" s="171" t="s">
        <v>209</v>
      </c>
      <c r="D91" s="172" t="s">
        <v>168</v>
      </c>
      <c r="E91" s="173" t="s">
        <v>692</v>
      </c>
      <c r="F91" s="172" t="s">
        <v>865</v>
      </c>
      <c r="G91" s="172" t="s">
        <v>155</v>
      </c>
      <c r="H91" s="174">
        <v>80111600</v>
      </c>
      <c r="I91" s="175">
        <v>2</v>
      </c>
      <c r="J91" s="175">
        <v>10</v>
      </c>
      <c r="K91" s="176">
        <v>0</v>
      </c>
      <c r="L91" s="177">
        <v>50000000</v>
      </c>
      <c r="M91" s="172" t="s">
        <v>484</v>
      </c>
      <c r="N91" s="177" t="s">
        <v>113</v>
      </c>
      <c r="O91" s="173" t="s">
        <v>224</v>
      </c>
      <c r="P91" s="178" t="str">
        <f>IFERROR(VLOOKUP(C91,TD!$B$32:$F$36,2,0)," ")</f>
        <v>O230117</v>
      </c>
      <c r="Q91" s="178" t="str">
        <f>IFERROR(VLOOKUP(C91,TD!$B$32:$F$36,3,0)," ")</f>
        <v>4503</v>
      </c>
      <c r="R91" s="178">
        <f>IFERROR(VLOOKUP(C91,TD!$B$32:$F$36,4,0)," ")</f>
        <v>20240255</v>
      </c>
      <c r="S91" s="173" t="s">
        <v>191</v>
      </c>
      <c r="T91" s="178" t="str">
        <f>IFERROR(VLOOKUP(S91,TD!$J$33:$K$43,2,0)," ")</f>
        <v>Servicio de apoyo   logístico  en eventos operativos y/o emergencias.</v>
      </c>
      <c r="U91" s="127" t="str">
        <f>CONCATENATE(S91,"-",T91)</f>
        <v>12-Servicio de apoyo   logístico  en eventos operativos y/o emergencias.</v>
      </c>
      <c r="V91" s="173" t="s">
        <v>232</v>
      </c>
      <c r="W91" s="178" t="str">
        <f>IFERROR(VLOOKUP(V91,TD!$N$33:$O$45,2,0)," ")</f>
        <v>Servicio de atención a emergencias y desastres</v>
      </c>
      <c r="X91" s="127" t="str">
        <f>CONCATENATE(V91,"_",W91)</f>
        <v>004_Servicio de atención a emergencias y desastres</v>
      </c>
      <c r="Y91" s="127" t="str">
        <f>CONCATENATE(U91," ",X91)</f>
        <v>12-Servicio de apoyo   logístico  en eventos operativos y/o emergencias. 004_Servicio de atención a emergencias y desastres</v>
      </c>
      <c r="Z91" s="178" t="str">
        <f>CONCATENATE(P91,Q91,R91,S91,V91)</f>
        <v>O23011745032024025512004</v>
      </c>
      <c r="AA91" s="178" t="str">
        <f>IFERROR(VLOOKUP(Y91,TD!$K$46:$L$64,2,0)," ")</f>
        <v>PM/0131/0112/45030040255</v>
      </c>
      <c r="AB91" s="177" t="s">
        <v>138</v>
      </c>
      <c r="AC91" s="179" t="s">
        <v>204</v>
      </c>
    </row>
    <row r="92" spans="2:29" s="28" customFormat="1" ht="74.25" customHeight="1" x14ac:dyDescent="0.35">
      <c r="B92" s="170">
        <v>20250176</v>
      </c>
      <c r="C92" s="171" t="s">
        <v>209</v>
      </c>
      <c r="D92" s="172" t="s">
        <v>168</v>
      </c>
      <c r="E92" s="173" t="s">
        <v>692</v>
      </c>
      <c r="F92" s="172" t="s">
        <v>866</v>
      </c>
      <c r="G92" s="172" t="s">
        <v>155</v>
      </c>
      <c r="H92" s="174">
        <v>80111600</v>
      </c>
      <c r="I92" s="175">
        <v>2</v>
      </c>
      <c r="J92" s="175">
        <v>8</v>
      </c>
      <c r="K92" s="176">
        <v>0</v>
      </c>
      <c r="L92" s="177">
        <v>100000000</v>
      </c>
      <c r="M92" s="172" t="s">
        <v>484</v>
      </c>
      <c r="N92" s="177" t="s">
        <v>113</v>
      </c>
      <c r="O92" s="173" t="s">
        <v>224</v>
      </c>
      <c r="P92" s="178" t="str">
        <f>IFERROR(VLOOKUP(C92,TD!$B$32:$F$36,2,0)," ")</f>
        <v>O230117</v>
      </c>
      <c r="Q92" s="178" t="str">
        <f>IFERROR(VLOOKUP(C92,TD!$B$32:$F$36,3,0)," ")</f>
        <v>4503</v>
      </c>
      <c r="R92" s="178">
        <f>IFERROR(VLOOKUP(C92,TD!$B$32:$F$36,4,0)," ")</f>
        <v>20240255</v>
      </c>
      <c r="S92" s="173" t="s">
        <v>191</v>
      </c>
      <c r="T92" s="178" t="str">
        <f>IFERROR(VLOOKUP(S92,TD!$J$33:$K$43,2,0)," ")</f>
        <v>Servicio de apoyo   logístico  en eventos operativos y/o emergencias.</v>
      </c>
      <c r="U92" s="127" t="str">
        <f>CONCATENATE(S92,"-",T92)</f>
        <v>12-Servicio de apoyo   logístico  en eventos operativos y/o emergencias.</v>
      </c>
      <c r="V92" s="173" t="s">
        <v>232</v>
      </c>
      <c r="W92" s="178" t="str">
        <f>IFERROR(VLOOKUP(V92,TD!$N$33:$O$45,2,0)," ")</f>
        <v>Servicio de atención a emergencias y desastres</v>
      </c>
      <c r="X92" s="127" t="str">
        <f>CONCATENATE(V92,"_",W92)</f>
        <v>004_Servicio de atención a emergencias y desastres</v>
      </c>
      <c r="Y92" s="127" t="str">
        <f>CONCATENATE(U92," ",X92)</f>
        <v>12-Servicio de apoyo   logístico  en eventos operativos y/o emergencias. 004_Servicio de atención a emergencias y desastres</v>
      </c>
      <c r="Z92" s="178" t="str">
        <f>CONCATENATE(P92,Q92,R92,S92,V92)</f>
        <v>O23011745032024025512004</v>
      </c>
      <c r="AA92" s="178" t="str">
        <f>IFERROR(VLOOKUP(Y92,TD!$K$46:$L$64,2,0)," ")</f>
        <v>PM/0131/0112/45030040255</v>
      </c>
      <c r="AB92" s="177" t="s">
        <v>120</v>
      </c>
      <c r="AC92" s="179" t="s">
        <v>204</v>
      </c>
    </row>
    <row r="93" spans="2:29" s="28" customFormat="1" ht="74.25" customHeight="1" x14ac:dyDescent="0.35">
      <c r="B93" s="170">
        <v>20250177</v>
      </c>
      <c r="C93" s="171" t="s">
        <v>209</v>
      </c>
      <c r="D93" s="172" t="s">
        <v>168</v>
      </c>
      <c r="E93" s="173" t="s">
        <v>692</v>
      </c>
      <c r="F93" s="172" t="s">
        <v>867</v>
      </c>
      <c r="G93" s="172" t="s">
        <v>156</v>
      </c>
      <c r="H93" s="174">
        <v>80111600</v>
      </c>
      <c r="I93" s="175">
        <v>2</v>
      </c>
      <c r="J93" s="175">
        <v>10</v>
      </c>
      <c r="K93" s="176">
        <v>0</v>
      </c>
      <c r="L93" s="177">
        <v>38000000</v>
      </c>
      <c r="M93" s="172" t="s">
        <v>484</v>
      </c>
      <c r="N93" s="177" t="s">
        <v>113</v>
      </c>
      <c r="O93" s="173" t="s">
        <v>224</v>
      </c>
      <c r="P93" s="178" t="str">
        <f>IFERROR(VLOOKUP(C93,TD!$B$32:$F$36,2,0)," ")</f>
        <v>O230117</v>
      </c>
      <c r="Q93" s="178" t="str">
        <f>IFERROR(VLOOKUP(C93,TD!$B$32:$F$36,3,0)," ")</f>
        <v>4503</v>
      </c>
      <c r="R93" s="178">
        <f>IFERROR(VLOOKUP(C93,TD!$B$32:$F$36,4,0)," ")</f>
        <v>20240255</v>
      </c>
      <c r="S93" s="173" t="s">
        <v>191</v>
      </c>
      <c r="T93" s="178" t="str">
        <f>IFERROR(VLOOKUP(S93,TD!$J$33:$K$43,2,0)," ")</f>
        <v>Servicio de apoyo   logístico  en eventos operativos y/o emergencias.</v>
      </c>
      <c r="U93" s="127" t="str">
        <f>CONCATENATE(S93,"-",T93)</f>
        <v>12-Servicio de apoyo   logístico  en eventos operativos y/o emergencias.</v>
      </c>
      <c r="V93" s="173" t="s">
        <v>232</v>
      </c>
      <c r="W93" s="178" t="str">
        <f>IFERROR(VLOOKUP(V93,TD!$N$33:$O$45,2,0)," ")</f>
        <v>Servicio de atención a emergencias y desastres</v>
      </c>
      <c r="X93" s="127" t="str">
        <f>CONCATENATE(V93,"_",W93)</f>
        <v>004_Servicio de atención a emergencias y desastres</v>
      </c>
      <c r="Y93" s="127" t="str">
        <f>CONCATENATE(U93," ",X93)</f>
        <v>12-Servicio de apoyo   logístico  en eventos operativos y/o emergencias. 004_Servicio de atención a emergencias y desastres</v>
      </c>
      <c r="Z93" s="178" t="str">
        <f>CONCATENATE(P93,Q93,R93,S93,V93)</f>
        <v>O23011745032024025512004</v>
      </c>
      <c r="AA93" s="178" t="str">
        <f>IFERROR(VLOOKUP(Y93,TD!$K$46:$L$64,2,0)," ")</f>
        <v>PM/0131/0112/45030040255</v>
      </c>
      <c r="AB93" s="177" t="s">
        <v>138</v>
      </c>
      <c r="AC93" s="179" t="s">
        <v>204</v>
      </c>
    </row>
    <row r="94" spans="2:29" s="28" customFormat="1" ht="74.25" customHeight="1" x14ac:dyDescent="0.35">
      <c r="B94" s="170">
        <v>20250178</v>
      </c>
      <c r="C94" s="171" t="s">
        <v>209</v>
      </c>
      <c r="D94" s="172" t="s">
        <v>168</v>
      </c>
      <c r="E94" s="173" t="s">
        <v>692</v>
      </c>
      <c r="F94" s="172" t="s">
        <v>868</v>
      </c>
      <c r="G94" s="172" t="s">
        <v>155</v>
      </c>
      <c r="H94" s="174">
        <v>80111600</v>
      </c>
      <c r="I94" s="175">
        <v>2</v>
      </c>
      <c r="J94" s="175">
        <v>9</v>
      </c>
      <c r="K94" s="176">
        <v>0</v>
      </c>
      <c r="L94" s="177">
        <v>55800000</v>
      </c>
      <c r="M94" s="172" t="s">
        <v>484</v>
      </c>
      <c r="N94" s="177" t="s">
        <v>113</v>
      </c>
      <c r="O94" s="173" t="s">
        <v>224</v>
      </c>
      <c r="P94" s="178" t="str">
        <f>IFERROR(VLOOKUP(C94,TD!$B$32:$F$36,2,0)," ")</f>
        <v>O230117</v>
      </c>
      <c r="Q94" s="178" t="str">
        <f>IFERROR(VLOOKUP(C94,TD!$B$32:$F$36,3,0)," ")</f>
        <v>4503</v>
      </c>
      <c r="R94" s="178">
        <f>IFERROR(VLOOKUP(C94,TD!$B$32:$F$36,4,0)," ")</f>
        <v>20240255</v>
      </c>
      <c r="S94" s="173" t="s">
        <v>191</v>
      </c>
      <c r="T94" s="178" t="str">
        <f>IFERROR(VLOOKUP(S94,TD!$J$33:$K$43,2,0)," ")</f>
        <v>Servicio de apoyo   logístico  en eventos operativos y/o emergencias.</v>
      </c>
      <c r="U94" s="127" t="str">
        <f>CONCATENATE(S94,"-",T94)</f>
        <v>12-Servicio de apoyo   logístico  en eventos operativos y/o emergencias.</v>
      </c>
      <c r="V94" s="173" t="s">
        <v>232</v>
      </c>
      <c r="W94" s="178" t="str">
        <f>IFERROR(VLOOKUP(V94,TD!$N$33:$O$45,2,0)," ")</f>
        <v>Servicio de atención a emergencias y desastres</v>
      </c>
      <c r="X94" s="127" t="str">
        <f>CONCATENATE(V94,"_",W94)</f>
        <v>004_Servicio de atención a emergencias y desastres</v>
      </c>
      <c r="Y94" s="127" t="str">
        <f>CONCATENATE(U94," ",X94)</f>
        <v>12-Servicio de apoyo   logístico  en eventos operativos y/o emergencias. 004_Servicio de atención a emergencias y desastres</v>
      </c>
      <c r="Z94" s="178" t="str">
        <f>CONCATENATE(P94,Q94,R94,S94,V94)</f>
        <v>O23011745032024025512004</v>
      </c>
      <c r="AA94" s="178" t="str">
        <f>IFERROR(VLOOKUP(Y94,TD!$K$46:$L$64,2,0)," ")</f>
        <v>PM/0131/0112/45030040255</v>
      </c>
      <c r="AB94" s="177" t="s">
        <v>138</v>
      </c>
      <c r="AC94" s="179" t="s">
        <v>204</v>
      </c>
    </row>
    <row r="95" spans="2:29" s="28" customFormat="1" ht="74.25" customHeight="1" x14ac:dyDescent="0.35">
      <c r="B95" s="170">
        <v>20250179</v>
      </c>
      <c r="C95" s="171" t="s">
        <v>209</v>
      </c>
      <c r="D95" s="172" t="s">
        <v>168</v>
      </c>
      <c r="E95" s="173" t="s">
        <v>692</v>
      </c>
      <c r="F95" s="172" t="s">
        <v>869</v>
      </c>
      <c r="G95" s="172" t="s">
        <v>156</v>
      </c>
      <c r="H95" s="174">
        <v>80111600</v>
      </c>
      <c r="I95" s="175">
        <v>2</v>
      </c>
      <c r="J95" s="175">
        <v>9</v>
      </c>
      <c r="K95" s="176">
        <v>0</v>
      </c>
      <c r="L95" s="177">
        <v>29700000</v>
      </c>
      <c r="M95" s="172" t="s">
        <v>484</v>
      </c>
      <c r="N95" s="177" t="s">
        <v>113</v>
      </c>
      <c r="O95" s="173" t="s">
        <v>224</v>
      </c>
      <c r="P95" s="178" t="str">
        <f>IFERROR(VLOOKUP(C95,TD!$B$32:$F$36,2,0)," ")</f>
        <v>O230117</v>
      </c>
      <c r="Q95" s="178" t="str">
        <f>IFERROR(VLOOKUP(C95,TD!$B$32:$F$36,3,0)," ")</f>
        <v>4503</v>
      </c>
      <c r="R95" s="178">
        <f>IFERROR(VLOOKUP(C95,TD!$B$32:$F$36,4,0)," ")</f>
        <v>20240255</v>
      </c>
      <c r="S95" s="173" t="s">
        <v>191</v>
      </c>
      <c r="T95" s="178" t="str">
        <f>IFERROR(VLOOKUP(S95,TD!$J$33:$K$43,2,0)," ")</f>
        <v>Servicio de apoyo   logístico  en eventos operativos y/o emergencias.</v>
      </c>
      <c r="U95" s="127" t="str">
        <f>CONCATENATE(S95,"-",T95)</f>
        <v>12-Servicio de apoyo   logístico  en eventos operativos y/o emergencias.</v>
      </c>
      <c r="V95" s="173" t="s">
        <v>232</v>
      </c>
      <c r="W95" s="178" t="str">
        <f>IFERROR(VLOOKUP(V95,TD!$N$33:$O$45,2,0)," ")</f>
        <v>Servicio de atención a emergencias y desastres</v>
      </c>
      <c r="X95" s="127" t="str">
        <f>CONCATENATE(V95,"_",W95)</f>
        <v>004_Servicio de atención a emergencias y desastres</v>
      </c>
      <c r="Y95" s="127" t="str">
        <f>CONCATENATE(U95," ",X95)</f>
        <v>12-Servicio de apoyo   logístico  en eventos operativos y/o emergencias. 004_Servicio de atención a emergencias y desastres</v>
      </c>
      <c r="Z95" s="178" t="str">
        <f>CONCATENATE(P95,Q95,R95,S95,V95)</f>
        <v>O23011745032024025512004</v>
      </c>
      <c r="AA95" s="178" t="str">
        <f>IFERROR(VLOOKUP(Y95,TD!$K$46:$L$64,2,0)," ")</f>
        <v>PM/0131/0112/45030040255</v>
      </c>
      <c r="AB95" s="177" t="s">
        <v>138</v>
      </c>
      <c r="AC95" s="179" t="s">
        <v>204</v>
      </c>
    </row>
    <row r="96" spans="2:29" s="28" customFormat="1" ht="74.25" customHeight="1" x14ac:dyDescent="0.35">
      <c r="B96" s="170">
        <v>20250180</v>
      </c>
      <c r="C96" s="171" t="s">
        <v>209</v>
      </c>
      <c r="D96" s="172" t="s">
        <v>168</v>
      </c>
      <c r="E96" s="173" t="s">
        <v>692</v>
      </c>
      <c r="F96" s="172" t="s">
        <v>870</v>
      </c>
      <c r="G96" s="172" t="s">
        <v>155</v>
      </c>
      <c r="H96" s="174">
        <v>80111600</v>
      </c>
      <c r="I96" s="175">
        <v>2</v>
      </c>
      <c r="J96" s="175">
        <v>9</v>
      </c>
      <c r="K96" s="176">
        <v>0</v>
      </c>
      <c r="L96" s="177">
        <v>56700000</v>
      </c>
      <c r="M96" s="172" t="s">
        <v>484</v>
      </c>
      <c r="N96" s="177" t="s">
        <v>113</v>
      </c>
      <c r="O96" s="173" t="s">
        <v>224</v>
      </c>
      <c r="P96" s="178" t="str">
        <f>IFERROR(VLOOKUP(C96,TD!$B$32:$F$36,2,0)," ")</f>
        <v>O230117</v>
      </c>
      <c r="Q96" s="178" t="str">
        <f>IFERROR(VLOOKUP(C96,TD!$B$32:$F$36,3,0)," ")</f>
        <v>4503</v>
      </c>
      <c r="R96" s="178">
        <f>IFERROR(VLOOKUP(C96,TD!$B$32:$F$36,4,0)," ")</f>
        <v>20240255</v>
      </c>
      <c r="S96" s="173" t="s">
        <v>191</v>
      </c>
      <c r="T96" s="178" t="str">
        <f>IFERROR(VLOOKUP(S96,TD!$J$33:$K$43,2,0)," ")</f>
        <v>Servicio de apoyo   logístico  en eventos operativos y/o emergencias.</v>
      </c>
      <c r="U96" s="127" t="str">
        <f>CONCATENATE(S96,"-",T96)</f>
        <v>12-Servicio de apoyo   logístico  en eventos operativos y/o emergencias.</v>
      </c>
      <c r="V96" s="173" t="s">
        <v>232</v>
      </c>
      <c r="W96" s="178" t="str">
        <f>IFERROR(VLOOKUP(V96,TD!$N$33:$O$45,2,0)," ")</f>
        <v>Servicio de atención a emergencias y desastres</v>
      </c>
      <c r="X96" s="127" t="str">
        <f>CONCATENATE(V96,"_",W96)</f>
        <v>004_Servicio de atención a emergencias y desastres</v>
      </c>
      <c r="Y96" s="127" t="str">
        <f>CONCATENATE(U96," ",X96)</f>
        <v>12-Servicio de apoyo   logístico  en eventos operativos y/o emergencias. 004_Servicio de atención a emergencias y desastres</v>
      </c>
      <c r="Z96" s="178" t="str">
        <f>CONCATENATE(P96,Q96,R96,S96,V96)</f>
        <v>O23011745032024025512004</v>
      </c>
      <c r="AA96" s="178" t="str">
        <f>IFERROR(VLOOKUP(Y96,TD!$K$46:$L$64,2,0)," ")</f>
        <v>PM/0131/0112/45030040255</v>
      </c>
      <c r="AB96" s="177" t="s">
        <v>138</v>
      </c>
      <c r="AC96" s="179" t="s">
        <v>204</v>
      </c>
    </row>
    <row r="97" spans="2:29" s="28" customFormat="1" ht="74.25" customHeight="1" x14ac:dyDescent="0.35">
      <c r="B97" s="170">
        <v>20250181</v>
      </c>
      <c r="C97" s="171" t="s">
        <v>209</v>
      </c>
      <c r="D97" s="172" t="s">
        <v>168</v>
      </c>
      <c r="E97" s="173" t="s">
        <v>692</v>
      </c>
      <c r="F97" s="172" t="s">
        <v>871</v>
      </c>
      <c r="G97" s="172" t="s">
        <v>155</v>
      </c>
      <c r="H97" s="174">
        <v>80111600</v>
      </c>
      <c r="I97" s="175">
        <v>2</v>
      </c>
      <c r="J97" s="175">
        <v>9</v>
      </c>
      <c r="K97" s="176">
        <v>0</v>
      </c>
      <c r="L97" s="177">
        <v>49500000</v>
      </c>
      <c r="M97" s="172" t="s">
        <v>484</v>
      </c>
      <c r="N97" s="177" t="s">
        <v>113</v>
      </c>
      <c r="O97" s="173" t="s">
        <v>224</v>
      </c>
      <c r="P97" s="178" t="str">
        <f>IFERROR(VLOOKUP(C97,TD!$B$32:$F$36,2,0)," ")</f>
        <v>O230117</v>
      </c>
      <c r="Q97" s="178" t="str">
        <f>IFERROR(VLOOKUP(C97,TD!$B$32:$F$36,3,0)," ")</f>
        <v>4503</v>
      </c>
      <c r="R97" s="178">
        <f>IFERROR(VLOOKUP(C97,TD!$B$32:$F$36,4,0)," ")</f>
        <v>20240255</v>
      </c>
      <c r="S97" s="173" t="s">
        <v>191</v>
      </c>
      <c r="T97" s="178" t="str">
        <f>IFERROR(VLOOKUP(S97,TD!$J$33:$K$43,2,0)," ")</f>
        <v>Servicio de apoyo   logístico  en eventos operativos y/o emergencias.</v>
      </c>
      <c r="U97" s="127" t="str">
        <f>CONCATENATE(S97,"-",T97)</f>
        <v>12-Servicio de apoyo   logístico  en eventos operativos y/o emergencias.</v>
      </c>
      <c r="V97" s="173" t="s">
        <v>232</v>
      </c>
      <c r="W97" s="178" t="str">
        <f>IFERROR(VLOOKUP(V97,TD!$N$33:$O$45,2,0)," ")</f>
        <v>Servicio de atención a emergencias y desastres</v>
      </c>
      <c r="X97" s="127" t="str">
        <f>CONCATENATE(V97,"_",W97)</f>
        <v>004_Servicio de atención a emergencias y desastres</v>
      </c>
      <c r="Y97" s="127" t="str">
        <f>CONCATENATE(U97," ",X97)</f>
        <v>12-Servicio de apoyo   logístico  en eventos operativos y/o emergencias. 004_Servicio de atención a emergencias y desastres</v>
      </c>
      <c r="Z97" s="178" t="str">
        <f>CONCATENATE(P97,Q97,R97,S97,V97)</f>
        <v>O23011745032024025512004</v>
      </c>
      <c r="AA97" s="178" t="str">
        <f>IFERROR(VLOOKUP(Y97,TD!$K$46:$L$64,2,0)," ")</f>
        <v>PM/0131/0112/45030040255</v>
      </c>
      <c r="AB97" s="177" t="s">
        <v>138</v>
      </c>
      <c r="AC97" s="179" t="s">
        <v>204</v>
      </c>
    </row>
    <row r="98" spans="2:29" s="28" customFormat="1" ht="74.25" customHeight="1" x14ac:dyDescent="0.35">
      <c r="B98" s="170">
        <v>20250182</v>
      </c>
      <c r="C98" s="171" t="s">
        <v>209</v>
      </c>
      <c r="D98" s="172" t="s">
        <v>168</v>
      </c>
      <c r="E98" s="173" t="s">
        <v>692</v>
      </c>
      <c r="F98" s="172" t="s">
        <v>864</v>
      </c>
      <c r="G98" s="172" t="s">
        <v>156</v>
      </c>
      <c r="H98" s="174">
        <v>80111600</v>
      </c>
      <c r="I98" s="175">
        <v>2</v>
      </c>
      <c r="J98" s="175">
        <v>10</v>
      </c>
      <c r="K98" s="176">
        <v>0</v>
      </c>
      <c r="L98" s="177">
        <v>35000000</v>
      </c>
      <c r="M98" s="172" t="s">
        <v>484</v>
      </c>
      <c r="N98" s="177" t="s">
        <v>113</v>
      </c>
      <c r="O98" s="173" t="s">
        <v>224</v>
      </c>
      <c r="P98" s="178" t="str">
        <f>IFERROR(VLOOKUP(C98,TD!$B$32:$F$36,2,0)," ")</f>
        <v>O230117</v>
      </c>
      <c r="Q98" s="178" t="str">
        <f>IFERROR(VLOOKUP(C98,TD!$B$32:$F$36,3,0)," ")</f>
        <v>4503</v>
      </c>
      <c r="R98" s="178">
        <f>IFERROR(VLOOKUP(C98,TD!$B$32:$F$36,4,0)," ")</f>
        <v>20240255</v>
      </c>
      <c r="S98" s="173" t="s">
        <v>187</v>
      </c>
      <c r="T98" s="178" t="str">
        <f>IFERROR(VLOOKUP(S98,TD!$J$33:$K$43,2,0)," ")</f>
        <v>Servicio de mantenimiento, dotación (HEA´s y equipo menor) y adquisición de vehiculos   especializados para la atención de emergencias.</v>
      </c>
      <c r="U98" s="127" t="str">
        <f>CONCATENATE(S98,"-",T98)</f>
        <v>09-Servicio de mantenimiento, dotación (HEA´s y equipo menor) y adquisición de vehiculos   especializados para la atención de emergencias.</v>
      </c>
      <c r="V98" s="173" t="s">
        <v>232</v>
      </c>
      <c r="W98" s="178" t="str">
        <f>IFERROR(VLOOKUP(V98,TD!$N$33:$O$45,2,0)," ")</f>
        <v>Servicio de atención a emergencias y desastres</v>
      </c>
      <c r="X98" s="127" t="str">
        <f>CONCATENATE(V98,"_",W98)</f>
        <v>004_Servicio de atención a emergencias y desastres</v>
      </c>
      <c r="Y98" s="127" t="str">
        <f>CONCATENATE(U98," ",X98)</f>
        <v>09-Servicio de mantenimiento, dotación (HEA´s y equipo menor) y adquisición de vehiculos   especializados para la atención de emergencias. 004_Servicio de atención a emergencias y desastres</v>
      </c>
      <c r="Z98" s="178" t="str">
        <f>CONCATENATE(P98,Q98,R98,S98,V98)</f>
        <v>O23011745032024025509004</v>
      </c>
      <c r="AA98" s="178" t="str">
        <f>IFERROR(VLOOKUP(Y98,TD!$K$46:$L$64,2,0)," ")</f>
        <v>PM/0131/0109/45030040255</v>
      </c>
      <c r="AB98" s="177" t="s">
        <v>138</v>
      </c>
      <c r="AC98" s="179" t="s">
        <v>204</v>
      </c>
    </row>
    <row r="99" spans="2:29" s="28" customFormat="1" ht="74.25" customHeight="1" x14ac:dyDescent="0.35">
      <c r="B99" s="170">
        <v>20250183</v>
      </c>
      <c r="C99" s="171" t="s">
        <v>209</v>
      </c>
      <c r="D99" s="172" t="s">
        <v>168</v>
      </c>
      <c r="E99" s="173" t="s">
        <v>692</v>
      </c>
      <c r="F99" s="172" t="s">
        <v>872</v>
      </c>
      <c r="G99" s="172" t="s">
        <v>155</v>
      </c>
      <c r="H99" s="174">
        <v>80111600</v>
      </c>
      <c r="I99" s="175">
        <v>2</v>
      </c>
      <c r="J99" s="175">
        <v>9</v>
      </c>
      <c r="K99" s="176">
        <v>0</v>
      </c>
      <c r="L99" s="177">
        <v>45000000</v>
      </c>
      <c r="M99" s="172" t="s">
        <v>484</v>
      </c>
      <c r="N99" s="177" t="s">
        <v>113</v>
      </c>
      <c r="O99" s="173" t="s">
        <v>224</v>
      </c>
      <c r="P99" s="178" t="str">
        <f>IFERROR(VLOOKUP(C99,TD!$B$32:$F$36,2,0)," ")</f>
        <v>O230117</v>
      </c>
      <c r="Q99" s="178" t="str">
        <f>IFERROR(VLOOKUP(C99,TD!$B$32:$F$36,3,0)," ")</f>
        <v>4503</v>
      </c>
      <c r="R99" s="178">
        <f>IFERROR(VLOOKUP(C99,TD!$B$32:$F$36,4,0)," ")</f>
        <v>20240255</v>
      </c>
      <c r="S99" s="173" t="s">
        <v>191</v>
      </c>
      <c r="T99" s="178" t="str">
        <f>IFERROR(VLOOKUP(S99,TD!$J$33:$K$43,2,0)," ")</f>
        <v>Servicio de apoyo   logístico  en eventos operativos y/o emergencias.</v>
      </c>
      <c r="U99" s="127" t="str">
        <f>CONCATENATE(S99,"-",T99)</f>
        <v>12-Servicio de apoyo   logístico  en eventos operativos y/o emergencias.</v>
      </c>
      <c r="V99" s="173" t="s">
        <v>232</v>
      </c>
      <c r="W99" s="178" t="str">
        <f>IFERROR(VLOOKUP(V99,TD!$N$33:$O$45,2,0)," ")</f>
        <v>Servicio de atención a emergencias y desastres</v>
      </c>
      <c r="X99" s="127" t="str">
        <f>CONCATENATE(V99,"_",W99)</f>
        <v>004_Servicio de atención a emergencias y desastres</v>
      </c>
      <c r="Y99" s="127" t="str">
        <f>CONCATENATE(U99," ",X99)</f>
        <v>12-Servicio de apoyo   logístico  en eventos operativos y/o emergencias. 004_Servicio de atención a emergencias y desastres</v>
      </c>
      <c r="Z99" s="178" t="str">
        <f>CONCATENATE(P99,Q99,R99,S99,V99)</f>
        <v>O23011745032024025512004</v>
      </c>
      <c r="AA99" s="178" t="str">
        <f>IFERROR(VLOOKUP(Y99,TD!$K$46:$L$64,2,0)," ")</f>
        <v>PM/0131/0112/45030040255</v>
      </c>
      <c r="AB99" s="177" t="s">
        <v>138</v>
      </c>
      <c r="AC99" s="179" t="s">
        <v>204</v>
      </c>
    </row>
    <row r="100" spans="2:29" s="28" customFormat="1" ht="74.25" customHeight="1" x14ac:dyDescent="0.35">
      <c r="B100" s="170">
        <v>20250184</v>
      </c>
      <c r="C100" s="171" t="s">
        <v>209</v>
      </c>
      <c r="D100" s="172" t="s">
        <v>168</v>
      </c>
      <c r="E100" s="173" t="s">
        <v>692</v>
      </c>
      <c r="F100" s="172" t="s">
        <v>873</v>
      </c>
      <c r="G100" s="172" t="s">
        <v>155</v>
      </c>
      <c r="H100" s="174">
        <v>80111600</v>
      </c>
      <c r="I100" s="175">
        <v>2</v>
      </c>
      <c r="J100" s="175">
        <v>10</v>
      </c>
      <c r="K100" s="176">
        <v>0</v>
      </c>
      <c r="L100" s="177">
        <v>70000000</v>
      </c>
      <c r="M100" s="172" t="s">
        <v>484</v>
      </c>
      <c r="N100" s="177" t="s">
        <v>113</v>
      </c>
      <c r="O100" s="173" t="s">
        <v>224</v>
      </c>
      <c r="P100" s="178" t="str">
        <f>IFERROR(VLOOKUP(C100,TD!$B$32:$F$36,2,0)," ")</f>
        <v>O230117</v>
      </c>
      <c r="Q100" s="178" t="str">
        <f>IFERROR(VLOOKUP(C100,TD!$B$32:$F$36,3,0)," ")</f>
        <v>4503</v>
      </c>
      <c r="R100" s="178">
        <f>IFERROR(VLOOKUP(C100,TD!$B$32:$F$36,4,0)," ")</f>
        <v>20240255</v>
      </c>
      <c r="S100" s="173" t="s">
        <v>191</v>
      </c>
      <c r="T100" s="178" t="str">
        <f>IFERROR(VLOOKUP(S100,TD!$J$33:$K$43,2,0)," ")</f>
        <v>Servicio de apoyo   logístico  en eventos operativos y/o emergencias.</v>
      </c>
      <c r="U100" s="127" t="str">
        <f>CONCATENATE(S100,"-",T100)</f>
        <v>12-Servicio de apoyo   logístico  en eventos operativos y/o emergencias.</v>
      </c>
      <c r="V100" s="173" t="s">
        <v>232</v>
      </c>
      <c r="W100" s="178" t="str">
        <f>IFERROR(VLOOKUP(V100,TD!$N$33:$O$45,2,0)," ")</f>
        <v>Servicio de atención a emergencias y desastres</v>
      </c>
      <c r="X100" s="127" t="str">
        <f>CONCATENATE(V100,"_",W100)</f>
        <v>004_Servicio de atención a emergencias y desastres</v>
      </c>
      <c r="Y100" s="127" t="str">
        <f>CONCATENATE(U100," ",X100)</f>
        <v>12-Servicio de apoyo   logístico  en eventos operativos y/o emergencias. 004_Servicio de atención a emergencias y desastres</v>
      </c>
      <c r="Z100" s="178" t="str">
        <f>CONCATENATE(P100,Q100,R100,S100,V100)</f>
        <v>O23011745032024025512004</v>
      </c>
      <c r="AA100" s="178" t="str">
        <f>IFERROR(VLOOKUP(Y100,TD!$K$46:$L$64,2,0)," ")</f>
        <v>PM/0131/0112/45030040255</v>
      </c>
      <c r="AB100" s="177" t="s">
        <v>138</v>
      </c>
      <c r="AC100" s="179" t="s">
        <v>204</v>
      </c>
    </row>
    <row r="101" spans="2:29" s="28" customFormat="1" ht="74.25" customHeight="1" x14ac:dyDescent="0.35">
      <c r="B101" s="170">
        <v>20250185</v>
      </c>
      <c r="C101" s="171" t="s">
        <v>209</v>
      </c>
      <c r="D101" s="172" t="s">
        <v>168</v>
      </c>
      <c r="E101" s="173" t="s">
        <v>692</v>
      </c>
      <c r="F101" s="172" t="s">
        <v>878</v>
      </c>
      <c r="G101" s="172" t="s">
        <v>156</v>
      </c>
      <c r="H101" s="174">
        <v>80111600</v>
      </c>
      <c r="I101" s="175">
        <v>2</v>
      </c>
      <c r="J101" s="175">
        <v>10</v>
      </c>
      <c r="K101" s="176">
        <v>0</v>
      </c>
      <c r="L101" s="177">
        <v>35000000</v>
      </c>
      <c r="M101" s="172" t="s">
        <v>484</v>
      </c>
      <c r="N101" s="177" t="s">
        <v>113</v>
      </c>
      <c r="O101" s="173" t="s">
        <v>224</v>
      </c>
      <c r="P101" s="178" t="str">
        <f>IFERROR(VLOOKUP(C101,TD!$B$32:$F$36,2,0)," ")</f>
        <v>O230117</v>
      </c>
      <c r="Q101" s="178" t="str">
        <f>IFERROR(VLOOKUP(C101,TD!$B$32:$F$36,3,0)," ")</f>
        <v>4503</v>
      </c>
      <c r="R101" s="178">
        <f>IFERROR(VLOOKUP(C101,TD!$B$32:$F$36,4,0)," ")</f>
        <v>20240255</v>
      </c>
      <c r="S101" s="173" t="s">
        <v>191</v>
      </c>
      <c r="T101" s="178" t="str">
        <f>IFERROR(VLOOKUP(S101,TD!$J$33:$K$43,2,0)," ")</f>
        <v>Servicio de apoyo   logístico  en eventos operativos y/o emergencias.</v>
      </c>
      <c r="U101" s="127" t="str">
        <f>CONCATENATE(S101,"-",T101)</f>
        <v>12-Servicio de apoyo   logístico  en eventos operativos y/o emergencias.</v>
      </c>
      <c r="V101" s="173" t="s">
        <v>232</v>
      </c>
      <c r="W101" s="178" t="str">
        <f>IFERROR(VLOOKUP(V101,TD!$N$33:$O$45,2,0)," ")</f>
        <v>Servicio de atención a emergencias y desastres</v>
      </c>
      <c r="X101" s="127" t="str">
        <f>CONCATENATE(V101,"_",W101)</f>
        <v>004_Servicio de atención a emergencias y desastres</v>
      </c>
      <c r="Y101" s="127" t="str">
        <f>CONCATENATE(U101," ",X101)</f>
        <v>12-Servicio de apoyo   logístico  en eventos operativos y/o emergencias. 004_Servicio de atención a emergencias y desastres</v>
      </c>
      <c r="Z101" s="178" t="str">
        <f>CONCATENATE(P101,Q101,R101,S101,V101)</f>
        <v>O23011745032024025512004</v>
      </c>
      <c r="AA101" s="178" t="str">
        <f>IFERROR(VLOOKUP(Y101,TD!$K$46:$L$64,2,0)," ")</f>
        <v>PM/0131/0112/45030040255</v>
      </c>
      <c r="AB101" s="177" t="s">
        <v>138</v>
      </c>
      <c r="AC101" s="179" t="s">
        <v>204</v>
      </c>
    </row>
    <row r="102" spans="2:29" s="28" customFormat="1" ht="74.25" customHeight="1" x14ac:dyDescent="0.35">
      <c r="B102" s="170">
        <v>20250186</v>
      </c>
      <c r="C102" s="171" t="s">
        <v>209</v>
      </c>
      <c r="D102" s="172" t="s">
        <v>168</v>
      </c>
      <c r="E102" s="173" t="s">
        <v>692</v>
      </c>
      <c r="F102" s="172" t="s">
        <v>874</v>
      </c>
      <c r="G102" s="172" t="s">
        <v>155</v>
      </c>
      <c r="H102" s="174">
        <v>80111600</v>
      </c>
      <c r="I102" s="175">
        <v>2</v>
      </c>
      <c r="J102" s="175">
        <v>10</v>
      </c>
      <c r="K102" s="176">
        <v>0</v>
      </c>
      <c r="L102" s="177">
        <v>55000000</v>
      </c>
      <c r="M102" s="172" t="s">
        <v>484</v>
      </c>
      <c r="N102" s="177" t="s">
        <v>113</v>
      </c>
      <c r="O102" s="173" t="s">
        <v>224</v>
      </c>
      <c r="P102" s="178" t="str">
        <f>IFERROR(VLOOKUP(C102,TD!$B$32:$F$36,2,0)," ")</f>
        <v>O230117</v>
      </c>
      <c r="Q102" s="178" t="str">
        <f>IFERROR(VLOOKUP(C102,TD!$B$32:$F$36,3,0)," ")</f>
        <v>4503</v>
      </c>
      <c r="R102" s="178">
        <f>IFERROR(VLOOKUP(C102,TD!$B$32:$F$36,4,0)," ")</f>
        <v>20240255</v>
      </c>
      <c r="S102" s="173" t="s">
        <v>191</v>
      </c>
      <c r="T102" s="178" t="str">
        <f>IFERROR(VLOOKUP(S102,TD!$J$33:$K$43,2,0)," ")</f>
        <v>Servicio de apoyo   logístico  en eventos operativos y/o emergencias.</v>
      </c>
      <c r="U102" s="127" t="str">
        <f>CONCATENATE(S102,"-",T102)</f>
        <v>12-Servicio de apoyo   logístico  en eventos operativos y/o emergencias.</v>
      </c>
      <c r="V102" s="173" t="s">
        <v>232</v>
      </c>
      <c r="W102" s="178" t="str">
        <f>IFERROR(VLOOKUP(V102,TD!$N$33:$O$45,2,0)," ")</f>
        <v>Servicio de atención a emergencias y desastres</v>
      </c>
      <c r="X102" s="127" t="str">
        <f>CONCATENATE(V102,"_",W102)</f>
        <v>004_Servicio de atención a emergencias y desastres</v>
      </c>
      <c r="Y102" s="127" t="str">
        <f>CONCATENATE(U102," ",X102)</f>
        <v>12-Servicio de apoyo   logístico  en eventos operativos y/o emergencias. 004_Servicio de atención a emergencias y desastres</v>
      </c>
      <c r="Z102" s="178" t="str">
        <f>CONCATENATE(P102,Q102,R102,S102,V102)</f>
        <v>O23011745032024025512004</v>
      </c>
      <c r="AA102" s="178" t="str">
        <f>IFERROR(VLOOKUP(Y102,TD!$K$46:$L$64,2,0)," ")</f>
        <v>PM/0131/0112/45030040255</v>
      </c>
      <c r="AB102" s="177" t="s">
        <v>138</v>
      </c>
      <c r="AC102" s="179" t="s">
        <v>204</v>
      </c>
    </row>
    <row r="103" spans="2:29" s="28" customFormat="1" ht="74.25" customHeight="1" x14ac:dyDescent="0.35">
      <c r="B103" s="170">
        <v>20250187</v>
      </c>
      <c r="C103" s="171" t="s">
        <v>209</v>
      </c>
      <c r="D103" s="172" t="s">
        <v>168</v>
      </c>
      <c r="E103" s="173" t="s">
        <v>692</v>
      </c>
      <c r="F103" s="172" t="s">
        <v>548</v>
      </c>
      <c r="G103" s="172" t="s">
        <v>155</v>
      </c>
      <c r="H103" s="174">
        <v>80111600</v>
      </c>
      <c r="I103" s="175">
        <v>2</v>
      </c>
      <c r="J103" s="175">
        <v>10</v>
      </c>
      <c r="K103" s="176">
        <v>0</v>
      </c>
      <c r="L103" s="177">
        <v>90000000</v>
      </c>
      <c r="M103" s="172" t="s">
        <v>484</v>
      </c>
      <c r="N103" s="177" t="s">
        <v>113</v>
      </c>
      <c r="O103" s="173" t="s">
        <v>224</v>
      </c>
      <c r="P103" s="178" t="str">
        <f>IFERROR(VLOOKUP(C103,TD!$B$32:$F$36,2,0)," ")</f>
        <v>O230117</v>
      </c>
      <c r="Q103" s="178" t="str">
        <f>IFERROR(VLOOKUP(C103,TD!$B$32:$F$36,3,0)," ")</f>
        <v>4503</v>
      </c>
      <c r="R103" s="178">
        <f>IFERROR(VLOOKUP(C103,TD!$B$32:$F$36,4,0)," ")</f>
        <v>20240255</v>
      </c>
      <c r="S103" s="173" t="s">
        <v>191</v>
      </c>
      <c r="T103" s="178" t="str">
        <f>IFERROR(VLOOKUP(S103,TD!$J$33:$K$43,2,0)," ")</f>
        <v>Servicio de apoyo   logístico  en eventos operativos y/o emergencias.</v>
      </c>
      <c r="U103" s="127" t="str">
        <f>CONCATENATE(S103,"-",T103)</f>
        <v>12-Servicio de apoyo   logístico  en eventos operativos y/o emergencias.</v>
      </c>
      <c r="V103" s="173" t="s">
        <v>232</v>
      </c>
      <c r="W103" s="178" t="str">
        <f>IFERROR(VLOOKUP(V103,TD!$N$33:$O$45,2,0)," ")</f>
        <v>Servicio de atención a emergencias y desastres</v>
      </c>
      <c r="X103" s="127" t="str">
        <f>CONCATENATE(V103,"_",W103)</f>
        <v>004_Servicio de atención a emergencias y desastres</v>
      </c>
      <c r="Y103" s="127" t="str">
        <f>CONCATENATE(U103," ",X103)</f>
        <v>12-Servicio de apoyo   logístico  en eventos operativos y/o emergencias. 004_Servicio de atención a emergencias y desastres</v>
      </c>
      <c r="Z103" s="178" t="str">
        <f>CONCATENATE(P103,Q103,R103,S103,V103)</f>
        <v>O23011745032024025512004</v>
      </c>
      <c r="AA103" s="178" t="str">
        <f>IFERROR(VLOOKUP(Y103,TD!$K$46:$L$64,2,0)," ")</f>
        <v>PM/0131/0112/45030040255</v>
      </c>
      <c r="AB103" s="177" t="s">
        <v>138</v>
      </c>
      <c r="AC103" s="179" t="s">
        <v>204</v>
      </c>
    </row>
    <row r="104" spans="2:29" s="28" customFormat="1" ht="74.25" customHeight="1" x14ac:dyDescent="0.35">
      <c r="B104" s="170">
        <v>20250188</v>
      </c>
      <c r="C104" s="171" t="s">
        <v>209</v>
      </c>
      <c r="D104" s="172" t="s">
        <v>168</v>
      </c>
      <c r="E104" s="173" t="s">
        <v>692</v>
      </c>
      <c r="F104" s="172" t="s">
        <v>875</v>
      </c>
      <c r="G104" s="172" t="s">
        <v>156</v>
      </c>
      <c r="H104" s="174">
        <v>80111600</v>
      </c>
      <c r="I104" s="175">
        <v>2</v>
      </c>
      <c r="J104" s="175">
        <v>9</v>
      </c>
      <c r="K104" s="176">
        <v>0</v>
      </c>
      <c r="L104" s="177">
        <v>28800000</v>
      </c>
      <c r="M104" s="172" t="s">
        <v>484</v>
      </c>
      <c r="N104" s="177" t="s">
        <v>113</v>
      </c>
      <c r="O104" s="173" t="s">
        <v>224</v>
      </c>
      <c r="P104" s="178" t="str">
        <f>IFERROR(VLOOKUP(C104,TD!$B$32:$F$36,2,0)," ")</f>
        <v>O230117</v>
      </c>
      <c r="Q104" s="178" t="str">
        <f>IFERROR(VLOOKUP(C104,TD!$B$32:$F$36,3,0)," ")</f>
        <v>4503</v>
      </c>
      <c r="R104" s="178">
        <f>IFERROR(VLOOKUP(C104,TD!$B$32:$F$36,4,0)," ")</f>
        <v>20240255</v>
      </c>
      <c r="S104" s="173" t="s">
        <v>187</v>
      </c>
      <c r="T104" s="178" t="str">
        <f>IFERROR(VLOOKUP(S104,TD!$J$33:$K$43,2,0)," ")</f>
        <v>Servicio de mantenimiento, dotación (HEA´s y equipo menor) y adquisición de vehiculos   especializados para la atención de emergencias.</v>
      </c>
      <c r="U104" s="127" t="str">
        <f>CONCATENATE(S104,"-",T104)</f>
        <v>09-Servicio de mantenimiento, dotación (HEA´s y equipo menor) y adquisición de vehiculos   especializados para la atención de emergencias.</v>
      </c>
      <c r="V104" s="173" t="s">
        <v>232</v>
      </c>
      <c r="W104" s="178" t="str">
        <f>IFERROR(VLOOKUP(V104,TD!$N$33:$O$45,2,0)," ")</f>
        <v>Servicio de atención a emergencias y desastres</v>
      </c>
      <c r="X104" s="127" t="str">
        <f>CONCATENATE(V104,"_",W104)</f>
        <v>004_Servicio de atención a emergencias y desastres</v>
      </c>
      <c r="Y104" s="127" t="str">
        <f>CONCATENATE(U104," ",X104)</f>
        <v>09-Servicio de mantenimiento, dotación (HEA´s y equipo menor) y adquisición de vehiculos   especializados para la atención de emergencias. 004_Servicio de atención a emergencias y desastres</v>
      </c>
      <c r="Z104" s="178" t="str">
        <f>CONCATENATE(P104,Q104,R104,S104,V104)</f>
        <v>O23011745032024025509004</v>
      </c>
      <c r="AA104" s="178" t="str">
        <f>IFERROR(VLOOKUP(Y104,TD!$K$46:$L$64,2,0)," ")</f>
        <v>PM/0131/0109/45030040255</v>
      </c>
      <c r="AB104" s="177" t="s">
        <v>138</v>
      </c>
      <c r="AC104" s="179" t="s">
        <v>204</v>
      </c>
    </row>
    <row r="105" spans="2:29" s="28" customFormat="1" ht="74.25" customHeight="1" x14ac:dyDescent="0.35">
      <c r="B105" s="170">
        <v>20250189</v>
      </c>
      <c r="C105" s="171" t="s">
        <v>209</v>
      </c>
      <c r="D105" s="172" t="s">
        <v>168</v>
      </c>
      <c r="E105" s="173" t="s">
        <v>692</v>
      </c>
      <c r="F105" s="172" t="s">
        <v>876</v>
      </c>
      <c r="G105" s="172" t="s">
        <v>156</v>
      </c>
      <c r="H105" s="174">
        <v>80111600</v>
      </c>
      <c r="I105" s="175">
        <v>2</v>
      </c>
      <c r="J105" s="175">
        <v>11</v>
      </c>
      <c r="K105" s="176">
        <v>0</v>
      </c>
      <c r="L105" s="177">
        <v>37400000</v>
      </c>
      <c r="M105" s="172" t="s">
        <v>484</v>
      </c>
      <c r="N105" s="177" t="s">
        <v>113</v>
      </c>
      <c r="O105" s="173" t="s">
        <v>224</v>
      </c>
      <c r="P105" s="178" t="str">
        <f>IFERROR(VLOOKUP(C105,TD!$B$32:$F$36,2,0)," ")</f>
        <v>O230117</v>
      </c>
      <c r="Q105" s="178" t="str">
        <f>IFERROR(VLOOKUP(C105,TD!$B$32:$F$36,3,0)," ")</f>
        <v>4503</v>
      </c>
      <c r="R105" s="178">
        <f>IFERROR(VLOOKUP(C105,TD!$B$32:$F$36,4,0)," ")</f>
        <v>20240255</v>
      </c>
      <c r="S105" s="173" t="s">
        <v>191</v>
      </c>
      <c r="T105" s="178" t="str">
        <f>IFERROR(VLOOKUP(S105,TD!$J$33:$K$43,2,0)," ")</f>
        <v>Servicio de apoyo   logístico  en eventos operativos y/o emergencias.</v>
      </c>
      <c r="U105" s="127" t="str">
        <f>CONCATENATE(S105,"-",T105)</f>
        <v>12-Servicio de apoyo   logístico  en eventos operativos y/o emergencias.</v>
      </c>
      <c r="V105" s="173" t="s">
        <v>232</v>
      </c>
      <c r="W105" s="178" t="str">
        <f>IFERROR(VLOOKUP(V105,TD!$N$33:$O$45,2,0)," ")</f>
        <v>Servicio de atención a emergencias y desastres</v>
      </c>
      <c r="X105" s="127" t="str">
        <f>CONCATENATE(V105,"_",W105)</f>
        <v>004_Servicio de atención a emergencias y desastres</v>
      </c>
      <c r="Y105" s="127" t="str">
        <f>CONCATENATE(U105," ",X105)</f>
        <v>12-Servicio de apoyo   logístico  en eventos operativos y/o emergencias. 004_Servicio de atención a emergencias y desastres</v>
      </c>
      <c r="Z105" s="178" t="str">
        <f>CONCATENATE(P105,Q105,R105,S105,V105)</f>
        <v>O23011745032024025512004</v>
      </c>
      <c r="AA105" s="178" t="str">
        <f>IFERROR(VLOOKUP(Y105,TD!$K$46:$L$64,2,0)," ")</f>
        <v>PM/0131/0112/45030040255</v>
      </c>
      <c r="AB105" s="177" t="s">
        <v>138</v>
      </c>
      <c r="AC105" s="179" t="s">
        <v>204</v>
      </c>
    </row>
    <row r="106" spans="2:29" s="28" customFormat="1" ht="74.25" customHeight="1" x14ac:dyDescent="0.35">
      <c r="B106" s="170">
        <v>20250190</v>
      </c>
      <c r="C106" s="171" t="s">
        <v>209</v>
      </c>
      <c r="D106" s="172" t="s">
        <v>168</v>
      </c>
      <c r="E106" s="173" t="s">
        <v>692</v>
      </c>
      <c r="F106" s="172" t="s">
        <v>877</v>
      </c>
      <c r="G106" s="172" t="s">
        <v>156</v>
      </c>
      <c r="H106" s="174">
        <v>80111600</v>
      </c>
      <c r="I106" s="175">
        <v>2</v>
      </c>
      <c r="J106" s="175">
        <v>11</v>
      </c>
      <c r="K106" s="176">
        <v>0</v>
      </c>
      <c r="L106" s="177">
        <v>38500000</v>
      </c>
      <c r="M106" s="172" t="s">
        <v>484</v>
      </c>
      <c r="N106" s="177" t="s">
        <v>113</v>
      </c>
      <c r="O106" s="173" t="s">
        <v>224</v>
      </c>
      <c r="P106" s="178" t="str">
        <f>IFERROR(VLOOKUP(C106,TD!$B$32:$F$36,2,0)," ")</f>
        <v>O230117</v>
      </c>
      <c r="Q106" s="178" t="str">
        <f>IFERROR(VLOOKUP(C106,TD!$B$32:$F$36,3,0)," ")</f>
        <v>4503</v>
      </c>
      <c r="R106" s="178">
        <f>IFERROR(VLOOKUP(C106,TD!$B$32:$F$36,4,0)," ")</f>
        <v>20240255</v>
      </c>
      <c r="S106" s="173" t="s">
        <v>191</v>
      </c>
      <c r="T106" s="178" t="str">
        <f>IFERROR(VLOOKUP(S106,TD!$J$33:$K$43,2,0)," ")</f>
        <v>Servicio de apoyo   logístico  en eventos operativos y/o emergencias.</v>
      </c>
      <c r="U106" s="127" t="str">
        <f>CONCATENATE(S106,"-",T106)</f>
        <v>12-Servicio de apoyo   logístico  en eventos operativos y/o emergencias.</v>
      </c>
      <c r="V106" s="173" t="s">
        <v>232</v>
      </c>
      <c r="W106" s="178" t="str">
        <f>IFERROR(VLOOKUP(V106,TD!$N$33:$O$45,2,0)," ")</f>
        <v>Servicio de atención a emergencias y desastres</v>
      </c>
      <c r="X106" s="127" t="str">
        <f>CONCATENATE(V106,"_",W106)</f>
        <v>004_Servicio de atención a emergencias y desastres</v>
      </c>
      <c r="Y106" s="127" t="str">
        <f>CONCATENATE(U106," ",X106)</f>
        <v>12-Servicio de apoyo   logístico  en eventos operativos y/o emergencias. 004_Servicio de atención a emergencias y desastres</v>
      </c>
      <c r="Z106" s="178" t="str">
        <f>CONCATENATE(P106,Q106,R106,S106,V106)</f>
        <v>O23011745032024025512004</v>
      </c>
      <c r="AA106" s="178" t="str">
        <f>IFERROR(VLOOKUP(Y106,TD!$K$46:$L$64,2,0)," ")</f>
        <v>PM/0131/0112/45030040255</v>
      </c>
      <c r="AB106" s="177" t="s">
        <v>138</v>
      </c>
      <c r="AC106" s="179" t="s">
        <v>204</v>
      </c>
    </row>
    <row r="107" spans="2:29" s="28" customFormat="1" ht="74.25" customHeight="1" x14ac:dyDescent="0.35">
      <c r="B107" s="170">
        <v>20250191</v>
      </c>
      <c r="C107" s="171" t="s">
        <v>209</v>
      </c>
      <c r="D107" s="172" t="s">
        <v>168</v>
      </c>
      <c r="E107" s="173" t="s">
        <v>692</v>
      </c>
      <c r="F107" s="172" t="s">
        <v>878</v>
      </c>
      <c r="G107" s="172" t="s">
        <v>156</v>
      </c>
      <c r="H107" s="174">
        <v>80111600</v>
      </c>
      <c r="I107" s="175">
        <v>2</v>
      </c>
      <c r="J107" s="175">
        <v>10</v>
      </c>
      <c r="K107" s="176">
        <v>0</v>
      </c>
      <c r="L107" s="177">
        <v>35000000</v>
      </c>
      <c r="M107" s="172" t="s">
        <v>484</v>
      </c>
      <c r="N107" s="177" t="s">
        <v>113</v>
      </c>
      <c r="O107" s="173" t="s">
        <v>224</v>
      </c>
      <c r="P107" s="178" t="str">
        <f>IFERROR(VLOOKUP(C107,TD!$B$32:$F$36,2,0)," ")</f>
        <v>O230117</v>
      </c>
      <c r="Q107" s="178" t="str">
        <f>IFERROR(VLOOKUP(C107,TD!$B$32:$F$36,3,0)," ")</f>
        <v>4503</v>
      </c>
      <c r="R107" s="178">
        <f>IFERROR(VLOOKUP(C107,TD!$B$32:$F$36,4,0)," ")</f>
        <v>20240255</v>
      </c>
      <c r="S107" s="173" t="s">
        <v>191</v>
      </c>
      <c r="T107" s="178" t="str">
        <f>IFERROR(VLOOKUP(S107,TD!$J$33:$K$43,2,0)," ")</f>
        <v>Servicio de apoyo   logístico  en eventos operativos y/o emergencias.</v>
      </c>
      <c r="U107" s="127" t="str">
        <f>CONCATENATE(S107,"-",T107)</f>
        <v>12-Servicio de apoyo   logístico  en eventos operativos y/o emergencias.</v>
      </c>
      <c r="V107" s="173" t="s">
        <v>232</v>
      </c>
      <c r="W107" s="178" t="str">
        <f>IFERROR(VLOOKUP(V107,TD!$N$33:$O$45,2,0)," ")</f>
        <v>Servicio de atención a emergencias y desastres</v>
      </c>
      <c r="X107" s="127" t="str">
        <f>CONCATENATE(V107,"_",W107)</f>
        <v>004_Servicio de atención a emergencias y desastres</v>
      </c>
      <c r="Y107" s="127" t="str">
        <f>CONCATENATE(U107," ",X107)</f>
        <v>12-Servicio de apoyo   logístico  en eventos operativos y/o emergencias. 004_Servicio de atención a emergencias y desastres</v>
      </c>
      <c r="Z107" s="178" t="str">
        <f>CONCATENATE(P107,Q107,R107,S107,V107)</f>
        <v>O23011745032024025512004</v>
      </c>
      <c r="AA107" s="178" t="str">
        <f>IFERROR(VLOOKUP(Y107,TD!$K$46:$L$64,2,0)," ")</f>
        <v>PM/0131/0112/45030040255</v>
      </c>
      <c r="AB107" s="177" t="s">
        <v>138</v>
      </c>
      <c r="AC107" s="179" t="s">
        <v>204</v>
      </c>
    </row>
    <row r="108" spans="2:29" s="28" customFormat="1" ht="74.25" customHeight="1" x14ac:dyDescent="0.35">
      <c r="B108" s="170">
        <v>20250192</v>
      </c>
      <c r="C108" s="171" t="s">
        <v>209</v>
      </c>
      <c r="D108" s="172" t="s">
        <v>168</v>
      </c>
      <c r="E108" s="173" t="s">
        <v>692</v>
      </c>
      <c r="F108" s="172" t="s">
        <v>879</v>
      </c>
      <c r="G108" s="172" t="s">
        <v>155</v>
      </c>
      <c r="H108" s="174">
        <v>80111600</v>
      </c>
      <c r="I108" s="175">
        <v>2</v>
      </c>
      <c r="J108" s="175">
        <v>11</v>
      </c>
      <c r="K108" s="176">
        <v>0</v>
      </c>
      <c r="L108" s="177">
        <v>102300000</v>
      </c>
      <c r="M108" s="172" t="s">
        <v>484</v>
      </c>
      <c r="N108" s="177" t="s">
        <v>113</v>
      </c>
      <c r="O108" s="173" t="s">
        <v>224</v>
      </c>
      <c r="P108" s="178" t="str">
        <f>IFERROR(VLOOKUP(C108,TD!$B$32:$F$36,2,0)," ")</f>
        <v>O230117</v>
      </c>
      <c r="Q108" s="178" t="str">
        <f>IFERROR(VLOOKUP(C108,TD!$B$32:$F$36,3,0)," ")</f>
        <v>4503</v>
      </c>
      <c r="R108" s="178">
        <f>IFERROR(VLOOKUP(C108,TD!$B$32:$F$36,4,0)," ")</f>
        <v>20240255</v>
      </c>
      <c r="S108" s="173" t="s">
        <v>187</v>
      </c>
      <c r="T108" s="178" t="str">
        <f>IFERROR(VLOOKUP(S108,TD!$J$33:$K$43,2,0)," ")</f>
        <v>Servicio de mantenimiento, dotación (HEA´s y equipo menor) y adquisición de vehiculos   especializados para la atención de emergencias.</v>
      </c>
      <c r="U108" s="127" t="str">
        <f>CONCATENATE(S108,"-",T108)</f>
        <v>09-Servicio de mantenimiento, dotación (HEA´s y equipo menor) y adquisición de vehiculos   especializados para la atención de emergencias.</v>
      </c>
      <c r="V108" s="173" t="s">
        <v>232</v>
      </c>
      <c r="W108" s="178" t="str">
        <f>IFERROR(VLOOKUP(V108,TD!$N$33:$O$45,2,0)," ")</f>
        <v>Servicio de atención a emergencias y desastres</v>
      </c>
      <c r="X108" s="127" t="str">
        <f>CONCATENATE(V108,"_",W108)</f>
        <v>004_Servicio de atención a emergencias y desastres</v>
      </c>
      <c r="Y108" s="127" t="str">
        <f>CONCATENATE(U108," ",X108)</f>
        <v>09-Servicio de mantenimiento, dotación (HEA´s y equipo menor) y adquisición de vehiculos   especializados para la atención de emergencias. 004_Servicio de atención a emergencias y desastres</v>
      </c>
      <c r="Z108" s="178" t="str">
        <f>CONCATENATE(P108,Q108,R108,S108,V108)</f>
        <v>O23011745032024025509004</v>
      </c>
      <c r="AA108" s="178" t="str">
        <f>IFERROR(VLOOKUP(Y108,TD!$K$46:$L$64,2,0)," ")</f>
        <v>PM/0131/0109/45030040255</v>
      </c>
      <c r="AB108" s="177" t="s">
        <v>138</v>
      </c>
      <c r="AC108" s="179" t="s">
        <v>204</v>
      </c>
    </row>
    <row r="109" spans="2:29" s="28" customFormat="1" ht="74.25" customHeight="1" x14ac:dyDescent="0.35">
      <c r="B109" s="170">
        <v>20250193</v>
      </c>
      <c r="C109" s="171" t="s">
        <v>209</v>
      </c>
      <c r="D109" s="172" t="s">
        <v>168</v>
      </c>
      <c r="E109" s="173" t="s">
        <v>692</v>
      </c>
      <c r="F109" s="172" t="s">
        <v>880</v>
      </c>
      <c r="G109" s="172" t="s">
        <v>156</v>
      </c>
      <c r="H109" s="174">
        <v>80111600</v>
      </c>
      <c r="I109" s="175">
        <v>2</v>
      </c>
      <c r="J109" s="175">
        <v>9</v>
      </c>
      <c r="K109" s="176">
        <v>0</v>
      </c>
      <c r="L109" s="177">
        <v>29700000</v>
      </c>
      <c r="M109" s="172" t="s">
        <v>484</v>
      </c>
      <c r="N109" s="177" t="s">
        <v>113</v>
      </c>
      <c r="O109" s="173" t="s">
        <v>224</v>
      </c>
      <c r="P109" s="178" t="str">
        <f>IFERROR(VLOOKUP(C109,TD!$B$32:$F$36,2,0)," ")</f>
        <v>O230117</v>
      </c>
      <c r="Q109" s="178" t="str">
        <f>IFERROR(VLOOKUP(C109,TD!$B$32:$F$36,3,0)," ")</f>
        <v>4503</v>
      </c>
      <c r="R109" s="178">
        <f>IFERROR(VLOOKUP(C109,TD!$B$32:$F$36,4,0)," ")</f>
        <v>20240255</v>
      </c>
      <c r="S109" s="173" t="s">
        <v>191</v>
      </c>
      <c r="T109" s="178" t="str">
        <f>IFERROR(VLOOKUP(S109,TD!$J$33:$K$43,2,0)," ")</f>
        <v>Servicio de apoyo   logístico  en eventos operativos y/o emergencias.</v>
      </c>
      <c r="U109" s="127" t="str">
        <f>CONCATENATE(S109,"-",T109)</f>
        <v>12-Servicio de apoyo   logístico  en eventos operativos y/o emergencias.</v>
      </c>
      <c r="V109" s="173" t="s">
        <v>232</v>
      </c>
      <c r="W109" s="178" t="str">
        <f>IFERROR(VLOOKUP(V109,TD!$N$33:$O$45,2,0)," ")</f>
        <v>Servicio de atención a emergencias y desastres</v>
      </c>
      <c r="X109" s="127" t="str">
        <f>CONCATENATE(V109,"_",W109)</f>
        <v>004_Servicio de atención a emergencias y desastres</v>
      </c>
      <c r="Y109" s="127" t="str">
        <f>CONCATENATE(U109," ",X109)</f>
        <v>12-Servicio de apoyo   logístico  en eventos operativos y/o emergencias. 004_Servicio de atención a emergencias y desastres</v>
      </c>
      <c r="Z109" s="178" t="str">
        <f>CONCATENATE(P109,Q109,R109,S109,V109)</f>
        <v>O23011745032024025512004</v>
      </c>
      <c r="AA109" s="178" t="str">
        <f>IFERROR(VLOOKUP(Y109,TD!$K$46:$L$64,2,0)," ")</f>
        <v>PM/0131/0112/45030040255</v>
      </c>
      <c r="AB109" s="177" t="s">
        <v>138</v>
      </c>
      <c r="AC109" s="179" t="s">
        <v>204</v>
      </c>
    </row>
    <row r="110" spans="2:29" s="28" customFormat="1" ht="74.25" customHeight="1" x14ac:dyDescent="0.35">
      <c r="B110" s="170">
        <v>20250194</v>
      </c>
      <c r="C110" s="171" t="s">
        <v>209</v>
      </c>
      <c r="D110" s="172" t="s">
        <v>168</v>
      </c>
      <c r="E110" s="173" t="s">
        <v>692</v>
      </c>
      <c r="F110" s="172" t="s">
        <v>549</v>
      </c>
      <c r="G110" s="172" t="s">
        <v>155</v>
      </c>
      <c r="H110" s="174">
        <v>80111600</v>
      </c>
      <c r="I110" s="175">
        <v>2</v>
      </c>
      <c r="J110" s="175">
        <v>11</v>
      </c>
      <c r="K110" s="176">
        <v>0</v>
      </c>
      <c r="L110" s="177">
        <v>61800000</v>
      </c>
      <c r="M110" s="172" t="s">
        <v>484</v>
      </c>
      <c r="N110" s="177" t="s">
        <v>113</v>
      </c>
      <c r="O110" s="173" t="s">
        <v>224</v>
      </c>
      <c r="P110" s="178" t="str">
        <f>IFERROR(VLOOKUP(C110,TD!$B$32:$F$36,2,0)," ")</f>
        <v>O230117</v>
      </c>
      <c r="Q110" s="178" t="str">
        <f>IFERROR(VLOOKUP(C110,TD!$B$32:$F$36,3,0)," ")</f>
        <v>4503</v>
      </c>
      <c r="R110" s="178">
        <f>IFERROR(VLOOKUP(C110,TD!$B$32:$F$36,4,0)," ")</f>
        <v>20240255</v>
      </c>
      <c r="S110" s="173" t="s">
        <v>191</v>
      </c>
      <c r="T110" s="178" t="str">
        <f>IFERROR(VLOOKUP(S110,TD!$J$33:$K$43,2,0)," ")</f>
        <v>Servicio de apoyo   logístico  en eventos operativos y/o emergencias.</v>
      </c>
      <c r="U110" s="127" t="str">
        <f>CONCATENATE(S110,"-",T110)</f>
        <v>12-Servicio de apoyo   logístico  en eventos operativos y/o emergencias.</v>
      </c>
      <c r="V110" s="173" t="s">
        <v>232</v>
      </c>
      <c r="W110" s="178" t="str">
        <f>IFERROR(VLOOKUP(V110,TD!$N$33:$O$45,2,0)," ")</f>
        <v>Servicio de atención a emergencias y desastres</v>
      </c>
      <c r="X110" s="127" t="str">
        <f>CONCATENATE(V110,"_",W110)</f>
        <v>004_Servicio de atención a emergencias y desastres</v>
      </c>
      <c r="Y110" s="127" t="str">
        <f>CONCATENATE(U110," ",X110)</f>
        <v>12-Servicio de apoyo   logístico  en eventos operativos y/o emergencias. 004_Servicio de atención a emergencias y desastres</v>
      </c>
      <c r="Z110" s="178" t="str">
        <f>CONCATENATE(P110,Q110,R110,S110,V110)</f>
        <v>O23011745032024025512004</v>
      </c>
      <c r="AA110" s="178" t="str">
        <f>IFERROR(VLOOKUP(Y110,TD!$K$46:$L$64,2,0)," ")</f>
        <v>PM/0131/0112/45030040255</v>
      </c>
      <c r="AB110" s="177" t="s">
        <v>138</v>
      </c>
      <c r="AC110" s="179" t="s">
        <v>204</v>
      </c>
    </row>
    <row r="111" spans="2:29" s="28" customFormat="1" ht="74.25" customHeight="1" x14ac:dyDescent="0.35">
      <c r="B111" s="170">
        <v>20250195</v>
      </c>
      <c r="C111" s="171" t="s">
        <v>209</v>
      </c>
      <c r="D111" s="172" t="s">
        <v>168</v>
      </c>
      <c r="E111" s="173" t="s">
        <v>692</v>
      </c>
      <c r="F111" s="172" t="s">
        <v>881</v>
      </c>
      <c r="G111" s="172" t="s">
        <v>155</v>
      </c>
      <c r="H111" s="174">
        <v>80111600</v>
      </c>
      <c r="I111" s="175">
        <v>2</v>
      </c>
      <c r="J111" s="175">
        <v>10</v>
      </c>
      <c r="K111" s="176">
        <v>0</v>
      </c>
      <c r="L111" s="177">
        <v>93000000</v>
      </c>
      <c r="M111" s="172" t="s">
        <v>484</v>
      </c>
      <c r="N111" s="177" t="s">
        <v>113</v>
      </c>
      <c r="O111" s="173" t="s">
        <v>224</v>
      </c>
      <c r="P111" s="178" t="str">
        <f>IFERROR(VLOOKUP(C111,TD!$B$32:$F$36,2,0)," ")</f>
        <v>O230117</v>
      </c>
      <c r="Q111" s="178" t="str">
        <f>IFERROR(VLOOKUP(C111,TD!$B$32:$F$36,3,0)," ")</f>
        <v>4503</v>
      </c>
      <c r="R111" s="178">
        <f>IFERROR(VLOOKUP(C111,TD!$B$32:$F$36,4,0)," ")</f>
        <v>20240255</v>
      </c>
      <c r="S111" s="173" t="s">
        <v>191</v>
      </c>
      <c r="T111" s="178" t="str">
        <f>IFERROR(VLOOKUP(S111,TD!$J$33:$K$43,2,0)," ")</f>
        <v>Servicio de apoyo   logístico  en eventos operativos y/o emergencias.</v>
      </c>
      <c r="U111" s="127" t="str">
        <f>CONCATENATE(S111,"-",T111)</f>
        <v>12-Servicio de apoyo   logístico  en eventos operativos y/o emergencias.</v>
      </c>
      <c r="V111" s="173" t="s">
        <v>232</v>
      </c>
      <c r="W111" s="178" t="str">
        <f>IFERROR(VLOOKUP(V111,TD!$N$33:$O$45,2,0)," ")</f>
        <v>Servicio de atención a emergencias y desastres</v>
      </c>
      <c r="X111" s="127" t="str">
        <f>CONCATENATE(V111,"_",W111)</f>
        <v>004_Servicio de atención a emergencias y desastres</v>
      </c>
      <c r="Y111" s="127" t="str">
        <f>CONCATENATE(U111," ",X111)</f>
        <v>12-Servicio de apoyo   logístico  en eventos operativos y/o emergencias. 004_Servicio de atención a emergencias y desastres</v>
      </c>
      <c r="Z111" s="178" t="str">
        <f>CONCATENATE(P111,Q111,R111,S111,V111)</f>
        <v>O23011745032024025512004</v>
      </c>
      <c r="AA111" s="178" t="str">
        <f>IFERROR(VLOOKUP(Y111,TD!$K$46:$L$64,2,0)," ")</f>
        <v>PM/0131/0112/45030040255</v>
      </c>
      <c r="AB111" s="177" t="s">
        <v>120</v>
      </c>
      <c r="AC111" s="179" t="s">
        <v>204</v>
      </c>
    </row>
    <row r="112" spans="2:29" s="28" customFormat="1" ht="74.25" customHeight="1" x14ac:dyDescent="0.35">
      <c r="B112" s="170">
        <v>20250196</v>
      </c>
      <c r="C112" s="171" t="s">
        <v>209</v>
      </c>
      <c r="D112" s="172" t="s">
        <v>168</v>
      </c>
      <c r="E112" s="173" t="s">
        <v>692</v>
      </c>
      <c r="F112" s="172" t="s">
        <v>550</v>
      </c>
      <c r="G112" s="172" t="s">
        <v>155</v>
      </c>
      <c r="H112" s="174">
        <v>80111600</v>
      </c>
      <c r="I112" s="175">
        <v>2</v>
      </c>
      <c r="J112" s="175">
        <v>11</v>
      </c>
      <c r="K112" s="176">
        <v>0</v>
      </c>
      <c r="L112" s="177">
        <v>49500000</v>
      </c>
      <c r="M112" s="172" t="s">
        <v>484</v>
      </c>
      <c r="N112" s="177" t="s">
        <v>113</v>
      </c>
      <c r="O112" s="173" t="s">
        <v>224</v>
      </c>
      <c r="P112" s="178" t="str">
        <f>IFERROR(VLOOKUP(C112,TD!$B$32:$F$36,2,0)," ")</f>
        <v>O230117</v>
      </c>
      <c r="Q112" s="178" t="str">
        <f>IFERROR(VLOOKUP(C112,TD!$B$32:$F$36,3,0)," ")</f>
        <v>4503</v>
      </c>
      <c r="R112" s="178">
        <f>IFERROR(VLOOKUP(C112,TD!$B$32:$F$36,4,0)," ")</f>
        <v>20240255</v>
      </c>
      <c r="S112" s="173" t="s">
        <v>191</v>
      </c>
      <c r="T112" s="178" t="str">
        <f>IFERROR(VLOOKUP(S112,TD!$J$33:$K$43,2,0)," ")</f>
        <v>Servicio de apoyo   logístico  en eventos operativos y/o emergencias.</v>
      </c>
      <c r="U112" s="127" t="str">
        <f>CONCATENATE(S112,"-",T112)</f>
        <v>12-Servicio de apoyo   logístico  en eventos operativos y/o emergencias.</v>
      </c>
      <c r="V112" s="173" t="s">
        <v>232</v>
      </c>
      <c r="W112" s="178" t="str">
        <f>IFERROR(VLOOKUP(V112,TD!$N$33:$O$45,2,0)," ")</f>
        <v>Servicio de atención a emergencias y desastres</v>
      </c>
      <c r="X112" s="127" t="str">
        <f>CONCATENATE(V112,"_",W112)</f>
        <v>004_Servicio de atención a emergencias y desastres</v>
      </c>
      <c r="Y112" s="127" t="str">
        <f>CONCATENATE(U112," ",X112)</f>
        <v>12-Servicio de apoyo   logístico  en eventos operativos y/o emergencias. 004_Servicio de atención a emergencias y desastres</v>
      </c>
      <c r="Z112" s="178" t="str">
        <f>CONCATENATE(P112,Q112,R112,S112,V112)</f>
        <v>O23011745032024025512004</v>
      </c>
      <c r="AA112" s="178" t="str">
        <f>IFERROR(VLOOKUP(Y112,TD!$K$46:$L$64,2,0)," ")</f>
        <v>PM/0131/0112/45030040255</v>
      </c>
      <c r="AB112" s="177" t="s">
        <v>138</v>
      </c>
      <c r="AC112" s="179" t="s">
        <v>204</v>
      </c>
    </row>
    <row r="113" spans="2:29" s="28" customFormat="1" ht="74.25" customHeight="1" x14ac:dyDescent="0.35">
      <c r="B113" s="170">
        <v>20250197</v>
      </c>
      <c r="C113" s="171" t="s">
        <v>209</v>
      </c>
      <c r="D113" s="172" t="s">
        <v>168</v>
      </c>
      <c r="E113" s="173" t="s">
        <v>692</v>
      </c>
      <c r="F113" s="172" t="s">
        <v>882</v>
      </c>
      <c r="G113" s="172" t="s">
        <v>155</v>
      </c>
      <c r="H113" s="174">
        <v>80111600</v>
      </c>
      <c r="I113" s="175">
        <v>2</v>
      </c>
      <c r="J113" s="175">
        <v>11</v>
      </c>
      <c r="K113" s="176">
        <v>0</v>
      </c>
      <c r="L113" s="177">
        <v>49500000</v>
      </c>
      <c r="M113" s="172" t="s">
        <v>484</v>
      </c>
      <c r="N113" s="177" t="s">
        <v>113</v>
      </c>
      <c r="O113" s="173" t="s">
        <v>224</v>
      </c>
      <c r="P113" s="178" t="str">
        <f>IFERROR(VLOOKUP(C113,TD!$B$32:$F$36,2,0)," ")</f>
        <v>O230117</v>
      </c>
      <c r="Q113" s="178" t="str">
        <f>IFERROR(VLOOKUP(C113,TD!$B$32:$F$36,3,0)," ")</f>
        <v>4503</v>
      </c>
      <c r="R113" s="178">
        <f>IFERROR(VLOOKUP(C113,TD!$B$32:$F$36,4,0)," ")</f>
        <v>20240255</v>
      </c>
      <c r="S113" s="173" t="s">
        <v>191</v>
      </c>
      <c r="T113" s="178" t="str">
        <f>IFERROR(VLOOKUP(S113,TD!$J$33:$K$43,2,0)," ")</f>
        <v>Servicio de apoyo   logístico  en eventos operativos y/o emergencias.</v>
      </c>
      <c r="U113" s="127" t="str">
        <f>CONCATENATE(S113,"-",T113)</f>
        <v>12-Servicio de apoyo   logístico  en eventos operativos y/o emergencias.</v>
      </c>
      <c r="V113" s="173" t="s">
        <v>232</v>
      </c>
      <c r="W113" s="178" t="str">
        <f>IFERROR(VLOOKUP(V113,TD!$N$33:$O$45,2,0)," ")</f>
        <v>Servicio de atención a emergencias y desastres</v>
      </c>
      <c r="X113" s="127" t="str">
        <f>CONCATENATE(V113,"_",W113)</f>
        <v>004_Servicio de atención a emergencias y desastres</v>
      </c>
      <c r="Y113" s="127" t="str">
        <f>CONCATENATE(U113," ",X113)</f>
        <v>12-Servicio de apoyo   logístico  en eventos operativos y/o emergencias. 004_Servicio de atención a emergencias y desastres</v>
      </c>
      <c r="Z113" s="178" t="str">
        <f>CONCATENATE(P113,Q113,R113,S113,V113)</f>
        <v>O23011745032024025512004</v>
      </c>
      <c r="AA113" s="178" t="str">
        <f>IFERROR(VLOOKUP(Y113,TD!$K$46:$L$64,2,0)," ")</f>
        <v>PM/0131/0112/45030040255</v>
      </c>
      <c r="AB113" s="177" t="s">
        <v>138</v>
      </c>
      <c r="AC113" s="179" t="s">
        <v>204</v>
      </c>
    </row>
    <row r="114" spans="2:29" s="28" customFormat="1" ht="74.25" customHeight="1" x14ac:dyDescent="0.35">
      <c r="B114" s="170">
        <v>20250198</v>
      </c>
      <c r="C114" s="171" t="s">
        <v>209</v>
      </c>
      <c r="D114" s="172" t="s">
        <v>168</v>
      </c>
      <c r="E114" s="173" t="s">
        <v>692</v>
      </c>
      <c r="F114" s="172" t="s">
        <v>883</v>
      </c>
      <c r="G114" s="172" t="s">
        <v>155</v>
      </c>
      <c r="H114" s="174">
        <v>80111600</v>
      </c>
      <c r="I114" s="175">
        <v>2</v>
      </c>
      <c r="J114" s="175">
        <v>11</v>
      </c>
      <c r="K114" s="176">
        <v>0</v>
      </c>
      <c r="L114" s="177">
        <v>93500000</v>
      </c>
      <c r="M114" s="172" t="s">
        <v>484</v>
      </c>
      <c r="N114" s="177" t="s">
        <v>113</v>
      </c>
      <c r="O114" s="173" t="s">
        <v>224</v>
      </c>
      <c r="P114" s="178" t="str">
        <f>IFERROR(VLOOKUP(C114,TD!$B$32:$F$36,2,0)," ")</f>
        <v>O230117</v>
      </c>
      <c r="Q114" s="178" t="str">
        <f>IFERROR(VLOOKUP(C114,TD!$B$32:$F$36,3,0)," ")</f>
        <v>4503</v>
      </c>
      <c r="R114" s="178">
        <f>IFERROR(VLOOKUP(C114,TD!$B$32:$F$36,4,0)," ")</f>
        <v>20240255</v>
      </c>
      <c r="S114" s="173" t="s">
        <v>187</v>
      </c>
      <c r="T114" s="178" t="str">
        <f>IFERROR(VLOOKUP(S114,TD!$J$33:$K$43,2,0)," ")</f>
        <v>Servicio de mantenimiento, dotación (HEA´s y equipo menor) y adquisición de vehiculos   especializados para la atención de emergencias.</v>
      </c>
      <c r="U114" s="127" t="str">
        <f>CONCATENATE(S114,"-",T114)</f>
        <v>09-Servicio de mantenimiento, dotación (HEA´s y equipo menor) y adquisición de vehiculos   especializados para la atención de emergencias.</v>
      </c>
      <c r="V114" s="173" t="s">
        <v>232</v>
      </c>
      <c r="W114" s="178" t="str">
        <f>IFERROR(VLOOKUP(V114,TD!$N$33:$O$45,2,0)," ")</f>
        <v>Servicio de atención a emergencias y desastres</v>
      </c>
      <c r="X114" s="127" t="str">
        <f>CONCATENATE(V114,"_",W114)</f>
        <v>004_Servicio de atención a emergencias y desastres</v>
      </c>
      <c r="Y114" s="127" t="str">
        <f>CONCATENATE(U114," ",X114)</f>
        <v>09-Servicio de mantenimiento, dotación (HEA´s y equipo menor) y adquisición de vehiculos   especializados para la atención de emergencias. 004_Servicio de atención a emergencias y desastres</v>
      </c>
      <c r="Z114" s="178" t="str">
        <f>CONCATENATE(P114,Q114,R114,S114,V114)</f>
        <v>O23011745032024025509004</v>
      </c>
      <c r="AA114" s="178" t="str">
        <f>IFERROR(VLOOKUP(Y114,TD!$K$46:$L$64,2,0)," ")</f>
        <v>PM/0131/0109/45030040255</v>
      </c>
      <c r="AB114" s="177" t="s">
        <v>138</v>
      </c>
      <c r="AC114" s="179" t="s">
        <v>204</v>
      </c>
    </row>
    <row r="115" spans="2:29" s="28" customFormat="1" ht="74.25" customHeight="1" x14ac:dyDescent="0.35">
      <c r="B115" s="170">
        <v>20250199</v>
      </c>
      <c r="C115" s="171" t="s">
        <v>209</v>
      </c>
      <c r="D115" s="172" t="s">
        <v>168</v>
      </c>
      <c r="E115" s="173" t="s">
        <v>692</v>
      </c>
      <c r="F115" s="172" t="s">
        <v>884</v>
      </c>
      <c r="G115" s="172" t="s">
        <v>155</v>
      </c>
      <c r="H115" s="174">
        <v>80111600</v>
      </c>
      <c r="I115" s="175">
        <v>2</v>
      </c>
      <c r="J115" s="175">
        <v>11</v>
      </c>
      <c r="K115" s="176">
        <v>0</v>
      </c>
      <c r="L115" s="177">
        <v>60500000</v>
      </c>
      <c r="M115" s="172" t="s">
        <v>484</v>
      </c>
      <c r="N115" s="177" t="s">
        <v>113</v>
      </c>
      <c r="O115" s="173" t="s">
        <v>224</v>
      </c>
      <c r="P115" s="178" t="str">
        <f>IFERROR(VLOOKUP(C115,TD!$B$32:$F$36,2,0)," ")</f>
        <v>O230117</v>
      </c>
      <c r="Q115" s="178" t="str">
        <f>IFERROR(VLOOKUP(C115,TD!$B$32:$F$36,3,0)," ")</f>
        <v>4503</v>
      </c>
      <c r="R115" s="178">
        <f>IFERROR(VLOOKUP(C115,TD!$B$32:$F$36,4,0)," ")</f>
        <v>20240255</v>
      </c>
      <c r="S115" s="173" t="s">
        <v>191</v>
      </c>
      <c r="T115" s="178" t="str">
        <f>IFERROR(VLOOKUP(S115,TD!$J$33:$K$43,2,0)," ")</f>
        <v>Servicio de apoyo   logístico  en eventos operativos y/o emergencias.</v>
      </c>
      <c r="U115" s="127" t="str">
        <f>CONCATENATE(S115,"-",T115)</f>
        <v>12-Servicio de apoyo   logístico  en eventos operativos y/o emergencias.</v>
      </c>
      <c r="V115" s="173" t="s">
        <v>232</v>
      </c>
      <c r="W115" s="178" t="str">
        <f>IFERROR(VLOOKUP(V115,TD!$N$33:$O$45,2,0)," ")</f>
        <v>Servicio de atención a emergencias y desastres</v>
      </c>
      <c r="X115" s="127" t="str">
        <f>CONCATENATE(V115,"_",W115)</f>
        <v>004_Servicio de atención a emergencias y desastres</v>
      </c>
      <c r="Y115" s="127" t="str">
        <f>CONCATENATE(U115," ",X115)</f>
        <v>12-Servicio de apoyo   logístico  en eventos operativos y/o emergencias. 004_Servicio de atención a emergencias y desastres</v>
      </c>
      <c r="Z115" s="178" t="str">
        <f>CONCATENATE(P115,Q115,R115,S115,V115)</f>
        <v>O23011745032024025512004</v>
      </c>
      <c r="AA115" s="178" t="str">
        <f>IFERROR(VLOOKUP(Y115,TD!$K$46:$L$64,2,0)," ")</f>
        <v>PM/0131/0112/45030040255</v>
      </c>
      <c r="AB115" s="177" t="s">
        <v>138</v>
      </c>
      <c r="AC115" s="179" t="s">
        <v>204</v>
      </c>
    </row>
    <row r="116" spans="2:29" s="28" customFormat="1" ht="74.25" customHeight="1" x14ac:dyDescent="0.35">
      <c r="B116" s="170">
        <v>20250200</v>
      </c>
      <c r="C116" s="171" t="s">
        <v>209</v>
      </c>
      <c r="D116" s="172" t="s">
        <v>168</v>
      </c>
      <c r="E116" s="173" t="s">
        <v>692</v>
      </c>
      <c r="F116" s="172" t="s">
        <v>885</v>
      </c>
      <c r="G116" s="172" t="s">
        <v>156</v>
      </c>
      <c r="H116" s="174">
        <v>80111600</v>
      </c>
      <c r="I116" s="175">
        <v>2</v>
      </c>
      <c r="J116" s="175">
        <v>10</v>
      </c>
      <c r="K116" s="176">
        <v>0</v>
      </c>
      <c r="L116" s="177">
        <v>33000000</v>
      </c>
      <c r="M116" s="172" t="s">
        <v>484</v>
      </c>
      <c r="N116" s="177" t="s">
        <v>113</v>
      </c>
      <c r="O116" s="173" t="s">
        <v>224</v>
      </c>
      <c r="P116" s="178" t="str">
        <f>IFERROR(VLOOKUP(C116,TD!$B$32:$F$36,2,0)," ")</f>
        <v>O230117</v>
      </c>
      <c r="Q116" s="178" t="str">
        <f>IFERROR(VLOOKUP(C116,TD!$B$32:$F$36,3,0)," ")</f>
        <v>4503</v>
      </c>
      <c r="R116" s="178">
        <f>IFERROR(VLOOKUP(C116,TD!$B$32:$F$36,4,0)," ")</f>
        <v>20240255</v>
      </c>
      <c r="S116" s="173" t="s">
        <v>191</v>
      </c>
      <c r="T116" s="178" t="str">
        <f>IFERROR(VLOOKUP(S116,TD!$J$33:$K$43,2,0)," ")</f>
        <v>Servicio de apoyo   logístico  en eventos operativos y/o emergencias.</v>
      </c>
      <c r="U116" s="127" t="str">
        <f>CONCATENATE(S116,"-",T116)</f>
        <v>12-Servicio de apoyo   logístico  en eventos operativos y/o emergencias.</v>
      </c>
      <c r="V116" s="173" t="s">
        <v>232</v>
      </c>
      <c r="W116" s="178" t="str">
        <f>IFERROR(VLOOKUP(V116,TD!$N$33:$O$45,2,0)," ")</f>
        <v>Servicio de atención a emergencias y desastres</v>
      </c>
      <c r="X116" s="127" t="str">
        <f>CONCATENATE(V116,"_",W116)</f>
        <v>004_Servicio de atención a emergencias y desastres</v>
      </c>
      <c r="Y116" s="127" t="str">
        <f>CONCATENATE(U116," ",X116)</f>
        <v>12-Servicio de apoyo   logístico  en eventos operativos y/o emergencias. 004_Servicio de atención a emergencias y desastres</v>
      </c>
      <c r="Z116" s="178" t="str">
        <f>CONCATENATE(P116,Q116,R116,S116,V116)</f>
        <v>O23011745032024025512004</v>
      </c>
      <c r="AA116" s="178" t="str">
        <f>IFERROR(VLOOKUP(Y116,TD!$K$46:$L$64,2,0)," ")</f>
        <v>PM/0131/0112/45030040255</v>
      </c>
      <c r="AB116" s="177" t="s">
        <v>138</v>
      </c>
      <c r="AC116" s="179" t="s">
        <v>204</v>
      </c>
    </row>
    <row r="117" spans="2:29" s="28" customFormat="1" ht="74.25" customHeight="1" x14ac:dyDescent="0.35">
      <c r="B117" s="170">
        <v>20250201</v>
      </c>
      <c r="C117" s="171" t="s">
        <v>209</v>
      </c>
      <c r="D117" s="172" t="s">
        <v>168</v>
      </c>
      <c r="E117" s="173" t="s">
        <v>692</v>
      </c>
      <c r="F117" s="172" t="s">
        <v>886</v>
      </c>
      <c r="G117" s="172" t="s">
        <v>155</v>
      </c>
      <c r="H117" s="174">
        <v>80111600</v>
      </c>
      <c r="I117" s="175">
        <v>2</v>
      </c>
      <c r="J117" s="175">
        <v>11</v>
      </c>
      <c r="K117" s="176">
        <v>0</v>
      </c>
      <c r="L117" s="177">
        <v>55000000</v>
      </c>
      <c r="M117" s="172" t="s">
        <v>484</v>
      </c>
      <c r="N117" s="177" t="s">
        <v>113</v>
      </c>
      <c r="O117" s="173" t="s">
        <v>224</v>
      </c>
      <c r="P117" s="178" t="str">
        <f>IFERROR(VLOOKUP(C117,TD!$B$32:$F$36,2,0)," ")</f>
        <v>O230117</v>
      </c>
      <c r="Q117" s="178" t="str">
        <f>IFERROR(VLOOKUP(C117,TD!$B$32:$F$36,3,0)," ")</f>
        <v>4503</v>
      </c>
      <c r="R117" s="178">
        <f>IFERROR(VLOOKUP(C117,TD!$B$32:$F$36,4,0)," ")</f>
        <v>20240255</v>
      </c>
      <c r="S117" s="173" t="s">
        <v>191</v>
      </c>
      <c r="T117" s="178" t="str">
        <f>IFERROR(VLOOKUP(S117,TD!$J$33:$K$43,2,0)," ")</f>
        <v>Servicio de apoyo   logístico  en eventos operativos y/o emergencias.</v>
      </c>
      <c r="U117" s="127" t="str">
        <f>CONCATENATE(S117,"-",T117)</f>
        <v>12-Servicio de apoyo   logístico  en eventos operativos y/o emergencias.</v>
      </c>
      <c r="V117" s="173" t="s">
        <v>232</v>
      </c>
      <c r="W117" s="178" t="str">
        <f>IFERROR(VLOOKUP(V117,TD!$N$33:$O$45,2,0)," ")</f>
        <v>Servicio de atención a emergencias y desastres</v>
      </c>
      <c r="X117" s="127" t="str">
        <f>CONCATENATE(V117,"_",W117)</f>
        <v>004_Servicio de atención a emergencias y desastres</v>
      </c>
      <c r="Y117" s="127" t="str">
        <f>CONCATENATE(U117," ",X117)</f>
        <v>12-Servicio de apoyo   logístico  en eventos operativos y/o emergencias. 004_Servicio de atención a emergencias y desastres</v>
      </c>
      <c r="Z117" s="178" t="str">
        <f>CONCATENATE(P117,Q117,R117,S117,V117)</f>
        <v>O23011745032024025512004</v>
      </c>
      <c r="AA117" s="178" t="str">
        <f>IFERROR(VLOOKUP(Y117,TD!$K$46:$L$64,2,0)," ")</f>
        <v>PM/0131/0112/45030040255</v>
      </c>
      <c r="AB117" s="177" t="s">
        <v>138</v>
      </c>
      <c r="AC117" s="179" t="s">
        <v>204</v>
      </c>
    </row>
    <row r="118" spans="2:29" s="28" customFormat="1" ht="74.25" customHeight="1" x14ac:dyDescent="0.35">
      <c r="B118" s="170">
        <v>20250202</v>
      </c>
      <c r="C118" s="171" t="s">
        <v>209</v>
      </c>
      <c r="D118" s="172" t="s">
        <v>168</v>
      </c>
      <c r="E118" s="173" t="s">
        <v>692</v>
      </c>
      <c r="F118" s="172" t="s">
        <v>887</v>
      </c>
      <c r="G118" s="172" t="s">
        <v>156</v>
      </c>
      <c r="H118" s="174">
        <v>80111600</v>
      </c>
      <c r="I118" s="175">
        <v>2</v>
      </c>
      <c r="J118" s="175">
        <v>10</v>
      </c>
      <c r="K118" s="176">
        <v>0</v>
      </c>
      <c r="L118" s="177">
        <v>50000000</v>
      </c>
      <c r="M118" s="172" t="s">
        <v>484</v>
      </c>
      <c r="N118" s="177" t="s">
        <v>113</v>
      </c>
      <c r="O118" s="173" t="s">
        <v>224</v>
      </c>
      <c r="P118" s="178" t="str">
        <f>IFERROR(VLOOKUP(C118,TD!$B$32:$F$36,2,0)," ")</f>
        <v>O230117</v>
      </c>
      <c r="Q118" s="178" t="str">
        <f>IFERROR(VLOOKUP(C118,TD!$B$32:$F$36,3,0)," ")</f>
        <v>4503</v>
      </c>
      <c r="R118" s="178">
        <f>IFERROR(VLOOKUP(C118,TD!$B$32:$F$36,4,0)," ")</f>
        <v>20240255</v>
      </c>
      <c r="S118" s="173" t="s">
        <v>191</v>
      </c>
      <c r="T118" s="178" t="str">
        <f>IFERROR(VLOOKUP(S118,TD!$J$33:$K$43,2,0)," ")</f>
        <v>Servicio de apoyo   logístico  en eventos operativos y/o emergencias.</v>
      </c>
      <c r="U118" s="127" t="str">
        <f>CONCATENATE(S118,"-",T118)</f>
        <v>12-Servicio de apoyo   logístico  en eventos operativos y/o emergencias.</v>
      </c>
      <c r="V118" s="173" t="s">
        <v>232</v>
      </c>
      <c r="W118" s="178" t="str">
        <f>IFERROR(VLOOKUP(V118,TD!$N$33:$O$45,2,0)," ")</f>
        <v>Servicio de atención a emergencias y desastres</v>
      </c>
      <c r="X118" s="127" t="str">
        <f>CONCATENATE(V118,"_",W118)</f>
        <v>004_Servicio de atención a emergencias y desastres</v>
      </c>
      <c r="Y118" s="127" t="str">
        <f>CONCATENATE(U118," ",X118)</f>
        <v>12-Servicio de apoyo   logístico  en eventos operativos y/o emergencias. 004_Servicio de atención a emergencias y desastres</v>
      </c>
      <c r="Z118" s="178" t="str">
        <f>CONCATENATE(P118,Q118,R118,S118,V118)</f>
        <v>O23011745032024025512004</v>
      </c>
      <c r="AA118" s="178" t="str">
        <f>IFERROR(VLOOKUP(Y118,TD!$K$46:$L$64,2,0)," ")</f>
        <v>PM/0131/0112/45030040255</v>
      </c>
      <c r="AB118" s="177" t="s">
        <v>138</v>
      </c>
      <c r="AC118" s="179" t="s">
        <v>204</v>
      </c>
    </row>
    <row r="119" spans="2:29" s="28" customFormat="1" ht="74.25" customHeight="1" x14ac:dyDescent="0.35">
      <c r="B119" s="170">
        <v>20250203</v>
      </c>
      <c r="C119" s="171" t="s">
        <v>209</v>
      </c>
      <c r="D119" s="172" t="s">
        <v>168</v>
      </c>
      <c r="E119" s="173" t="s">
        <v>692</v>
      </c>
      <c r="F119" s="172" t="s">
        <v>879</v>
      </c>
      <c r="G119" s="172" t="s">
        <v>155</v>
      </c>
      <c r="H119" s="174">
        <v>80111600</v>
      </c>
      <c r="I119" s="175">
        <v>2</v>
      </c>
      <c r="J119" s="175">
        <v>11</v>
      </c>
      <c r="K119" s="176">
        <v>0</v>
      </c>
      <c r="L119" s="177">
        <v>88000000</v>
      </c>
      <c r="M119" s="172" t="s">
        <v>484</v>
      </c>
      <c r="N119" s="177" t="s">
        <v>113</v>
      </c>
      <c r="O119" s="173" t="s">
        <v>224</v>
      </c>
      <c r="P119" s="178" t="str">
        <f>IFERROR(VLOOKUP(C119,TD!$B$32:$F$36,2,0)," ")</f>
        <v>O230117</v>
      </c>
      <c r="Q119" s="178" t="str">
        <f>IFERROR(VLOOKUP(C119,TD!$B$32:$F$36,3,0)," ")</f>
        <v>4503</v>
      </c>
      <c r="R119" s="178">
        <f>IFERROR(VLOOKUP(C119,TD!$B$32:$F$36,4,0)," ")</f>
        <v>20240255</v>
      </c>
      <c r="S119" s="173" t="s">
        <v>187</v>
      </c>
      <c r="T119" s="178" t="str">
        <f>IFERROR(VLOOKUP(S119,TD!$J$33:$K$43,2,0)," ")</f>
        <v>Servicio de mantenimiento, dotación (HEA´s y equipo menor) y adquisición de vehiculos   especializados para la atención de emergencias.</v>
      </c>
      <c r="U119" s="127" t="str">
        <f>CONCATENATE(S119,"-",T119)</f>
        <v>09-Servicio de mantenimiento, dotación (HEA´s y equipo menor) y adquisición de vehiculos   especializados para la atención de emergencias.</v>
      </c>
      <c r="V119" s="173" t="s">
        <v>232</v>
      </c>
      <c r="W119" s="178" t="str">
        <f>IFERROR(VLOOKUP(V119,TD!$N$33:$O$45,2,0)," ")</f>
        <v>Servicio de atención a emergencias y desastres</v>
      </c>
      <c r="X119" s="127" t="str">
        <f>CONCATENATE(V119,"_",W119)</f>
        <v>004_Servicio de atención a emergencias y desastres</v>
      </c>
      <c r="Y119" s="127" t="str">
        <f>CONCATENATE(U119," ",X119)</f>
        <v>09-Servicio de mantenimiento, dotación (HEA´s y equipo menor) y adquisición de vehiculos   especializados para la atención de emergencias. 004_Servicio de atención a emergencias y desastres</v>
      </c>
      <c r="Z119" s="178" t="str">
        <f>CONCATENATE(P119,Q119,R119,S119,V119)</f>
        <v>O23011745032024025509004</v>
      </c>
      <c r="AA119" s="178" t="str">
        <f>IFERROR(VLOOKUP(Y119,TD!$K$46:$L$64,2,0)," ")</f>
        <v>PM/0131/0109/45030040255</v>
      </c>
      <c r="AB119" s="177" t="s">
        <v>138</v>
      </c>
      <c r="AC119" s="179" t="s">
        <v>204</v>
      </c>
    </row>
    <row r="120" spans="2:29" s="28" customFormat="1" ht="74.25" customHeight="1" x14ac:dyDescent="0.35">
      <c r="B120" s="170">
        <v>20250204</v>
      </c>
      <c r="C120" s="171" t="s">
        <v>209</v>
      </c>
      <c r="D120" s="172" t="s">
        <v>168</v>
      </c>
      <c r="E120" s="173" t="s">
        <v>692</v>
      </c>
      <c r="F120" s="172" t="s">
        <v>888</v>
      </c>
      <c r="G120" s="172" t="s">
        <v>156</v>
      </c>
      <c r="H120" s="174">
        <v>80111600</v>
      </c>
      <c r="I120" s="175">
        <v>2</v>
      </c>
      <c r="J120" s="175">
        <v>9</v>
      </c>
      <c r="K120" s="176">
        <v>0</v>
      </c>
      <c r="L120" s="177">
        <v>29700000</v>
      </c>
      <c r="M120" s="172" t="s">
        <v>484</v>
      </c>
      <c r="N120" s="177" t="s">
        <v>113</v>
      </c>
      <c r="O120" s="173" t="s">
        <v>224</v>
      </c>
      <c r="P120" s="178" t="str">
        <f>IFERROR(VLOOKUP(C120,TD!$B$32:$F$36,2,0)," ")</f>
        <v>O230117</v>
      </c>
      <c r="Q120" s="178" t="str">
        <f>IFERROR(VLOOKUP(C120,TD!$B$32:$F$36,3,0)," ")</f>
        <v>4503</v>
      </c>
      <c r="R120" s="178">
        <f>IFERROR(VLOOKUP(C120,TD!$B$32:$F$36,4,0)," ")</f>
        <v>20240255</v>
      </c>
      <c r="S120" s="173" t="s">
        <v>191</v>
      </c>
      <c r="T120" s="178" t="str">
        <f>IFERROR(VLOOKUP(S120,TD!$J$33:$K$43,2,0)," ")</f>
        <v>Servicio de apoyo   logístico  en eventos operativos y/o emergencias.</v>
      </c>
      <c r="U120" s="127" t="str">
        <f>CONCATENATE(S120,"-",T120)</f>
        <v>12-Servicio de apoyo   logístico  en eventos operativos y/o emergencias.</v>
      </c>
      <c r="V120" s="173" t="s">
        <v>232</v>
      </c>
      <c r="W120" s="178" t="str">
        <f>IFERROR(VLOOKUP(V120,TD!$N$33:$O$45,2,0)," ")</f>
        <v>Servicio de atención a emergencias y desastres</v>
      </c>
      <c r="X120" s="127" t="str">
        <f>CONCATENATE(V120,"_",W120)</f>
        <v>004_Servicio de atención a emergencias y desastres</v>
      </c>
      <c r="Y120" s="127" t="str">
        <f>CONCATENATE(U120," ",X120)</f>
        <v>12-Servicio de apoyo   logístico  en eventos operativos y/o emergencias. 004_Servicio de atención a emergencias y desastres</v>
      </c>
      <c r="Z120" s="178" t="str">
        <f>CONCATENATE(P120,Q120,R120,S120,V120)</f>
        <v>O23011745032024025512004</v>
      </c>
      <c r="AA120" s="178" t="str">
        <f>IFERROR(VLOOKUP(Y120,TD!$K$46:$L$64,2,0)," ")</f>
        <v>PM/0131/0112/45030040255</v>
      </c>
      <c r="AB120" s="177" t="s">
        <v>138</v>
      </c>
      <c r="AC120" s="179" t="s">
        <v>204</v>
      </c>
    </row>
    <row r="121" spans="2:29" s="28" customFormat="1" ht="74.25" customHeight="1" x14ac:dyDescent="0.35">
      <c r="B121" s="170">
        <v>20250205</v>
      </c>
      <c r="C121" s="171" t="s">
        <v>209</v>
      </c>
      <c r="D121" s="172" t="s">
        <v>168</v>
      </c>
      <c r="E121" s="173" t="s">
        <v>692</v>
      </c>
      <c r="F121" s="172" t="s">
        <v>889</v>
      </c>
      <c r="G121" s="172" t="s">
        <v>155</v>
      </c>
      <c r="H121" s="174">
        <v>80111600</v>
      </c>
      <c r="I121" s="175">
        <v>2</v>
      </c>
      <c r="J121" s="175">
        <v>10</v>
      </c>
      <c r="K121" s="176">
        <v>0</v>
      </c>
      <c r="L121" s="177">
        <v>125000000</v>
      </c>
      <c r="M121" s="172" t="s">
        <v>484</v>
      </c>
      <c r="N121" s="177" t="s">
        <v>113</v>
      </c>
      <c r="O121" s="173" t="s">
        <v>224</v>
      </c>
      <c r="P121" s="178" t="str">
        <f>IFERROR(VLOOKUP(C121,TD!$B$32:$F$36,2,0)," ")</f>
        <v>O230117</v>
      </c>
      <c r="Q121" s="178" t="str">
        <f>IFERROR(VLOOKUP(C121,TD!$B$32:$F$36,3,0)," ")</f>
        <v>4503</v>
      </c>
      <c r="R121" s="178">
        <f>IFERROR(VLOOKUP(C121,TD!$B$32:$F$36,4,0)," ")</f>
        <v>20240255</v>
      </c>
      <c r="S121" s="173" t="s">
        <v>191</v>
      </c>
      <c r="T121" s="178" t="str">
        <f>IFERROR(VLOOKUP(S121,TD!$J$33:$K$43,2,0)," ")</f>
        <v>Servicio de apoyo   logístico  en eventos operativos y/o emergencias.</v>
      </c>
      <c r="U121" s="127" t="str">
        <f>CONCATENATE(S121,"-",T121)</f>
        <v>12-Servicio de apoyo   logístico  en eventos operativos y/o emergencias.</v>
      </c>
      <c r="V121" s="173" t="s">
        <v>232</v>
      </c>
      <c r="W121" s="178" t="str">
        <f>IFERROR(VLOOKUP(V121,TD!$N$33:$O$45,2,0)," ")</f>
        <v>Servicio de atención a emergencias y desastres</v>
      </c>
      <c r="X121" s="127" t="str">
        <f>CONCATENATE(V121,"_",W121)</f>
        <v>004_Servicio de atención a emergencias y desastres</v>
      </c>
      <c r="Y121" s="127" t="str">
        <f>CONCATENATE(U121," ",X121)</f>
        <v>12-Servicio de apoyo   logístico  en eventos operativos y/o emergencias. 004_Servicio de atención a emergencias y desastres</v>
      </c>
      <c r="Z121" s="178" t="str">
        <f>CONCATENATE(P121,Q121,R121,S121,V121)</f>
        <v>O23011745032024025512004</v>
      </c>
      <c r="AA121" s="178" t="str">
        <f>IFERROR(VLOOKUP(Y121,TD!$K$46:$L$64,2,0)," ")</f>
        <v>PM/0131/0112/45030040255</v>
      </c>
      <c r="AB121" s="177" t="s">
        <v>138</v>
      </c>
      <c r="AC121" s="179" t="s">
        <v>204</v>
      </c>
    </row>
    <row r="122" spans="2:29" s="28" customFormat="1" ht="74.25" customHeight="1" x14ac:dyDescent="0.35">
      <c r="B122" s="170">
        <v>20250206</v>
      </c>
      <c r="C122" s="171" t="s">
        <v>209</v>
      </c>
      <c r="D122" s="172" t="s">
        <v>168</v>
      </c>
      <c r="E122" s="173" t="s">
        <v>692</v>
      </c>
      <c r="F122" s="172" t="s">
        <v>890</v>
      </c>
      <c r="G122" s="172" t="s">
        <v>155</v>
      </c>
      <c r="H122" s="174">
        <v>80111600</v>
      </c>
      <c r="I122" s="175">
        <v>2</v>
      </c>
      <c r="J122" s="175">
        <v>11</v>
      </c>
      <c r="K122" s="176">
        <v>0</v>
      </c>
      <c r="L122" s="177">
        <v>88000000</v>
      </c>
      <c r="M122" s="172" t="s">
        <v>484</v>
      </c>
      <c r="N122" s="177" t="s">
        <v>113</v>
      </c>
      <c r="O122" s="173" t="s">
        <v>224</v>
      </c>
      <c r="P122" s="178" t="str">
        <f>IFERROR(VLOOKUP(C122,TD!$B$32:$F$36,2,0)," ")</f>
        <v>O230117</v>
      </c>
      <c r="Q122" s="178" t="str">
        <f>IFERROR(VLOOKUP(C122,TD!$B$32:$F$36,3,0)," ")</f>
        <v>4503</v>
      </c>
      <c r="R122" s="178">
        <f>IFERROR(VLOOKUP(C122,TD!$B$32:$F$36,4,0)," ")</f>
        <v>20240255</v>
      </c>
      <c r="S122" s="173" t="s">
        <v>191</v>
      </c>
      <c r="T122" s="178" t="str">
        <f>IFERROR(VLOOKUP(S122,TD!$J$33:$K$43,2,0)," ")</f>
        <v>Servicio de apoyo   logístico  en eventos operativos y/o emergencias.</v>
      </c>
      <c r="U122" s="127" t="str">
        <f>CONCATENATE(S122,"-",T122)</f>
        <v>12-Servicio de apoyo   logístico  en eventos operativos y/o emergencias.</v>
      </c>
      <c r="V122" s="173" t="s">
        <v>232</v>
      </c>
      <c r="W122" s="178" t="str">
        <f>IFERROR(VLOOKUP(V122,TD!$N$33:$O$45,2,0)," ")</f>
        <v>Servicio de atención a emergencias y desastres</v>
      </c>
      <c r="X122" s="127" t="str">
        <f>CONCATENATE(V122,"_",W122)</f>
        <v>004_Servicio de atención a emergencias y desastres</v>
      </c>
      <c r="Y122" s="127" t="str">
        <f>CONCATENATE(U122," ",X122)</f>
        <v>12-Servicio de apoyo   logístico  en eventos operativos y/o emergencias. 004_Servicio de atención a emergencias y desastres</v>
      </c>
      <c r="Z122" s="178" t="str">
        <f>CONCATENATE(P122,Q122,R122,S122,V122)</f>
        <v>O23011745032024025512004</v>
      </c>
      <c r="AA122" s="178" t="str">
        <f>IFERROR(VLOOKUP(Y122,TD!$K$46:$L$64,2,0)," ")</f>
        <v>PM/0131/0112/45030040255</v>
      </c>
      <c r="AB122" s="177" t="s">
        <v>138</v>
      </c>
      <c r="AC122" s="179" t="s">
        <v>204</v>
      </c>
    </row>
    <row r="123" spans="2:29" s="28" customFormat="1" ht="74.25" customHeight="1" x14ac:dyDescent="0.35">
      <c r="B123" s="170">
        <v>20250207</v>
      </c>
      <c r="C123" s="171" t="s">
        <v>209</v>
      </c>
      <c r="D123" s="172" t="s">
        <v>168</v>
      </c>
      <c r="E123" s="173" t="s">
        <v>692</v>
      </c>
      <c r="F123" s="172" t="s">
        <v>882</v>
      </c>
      <c r="G123" s="172" t="s">
        <v>155</v>
      </c>
      <c r="H123" s="174">
        <v>80111600</v>
      </c>
      <c r="I123" s="175">
        <v>2</v>
      </c>
      <c r="J123" s="175">
        <v>8</v>
      </c>
      <c r="K123" s="176">
        <v>0</v>
      </c>
      <c r="L123" s="177">
        <v>52000000</v>
      </c>
      <c r="M123" s="172" t="s">
        <v>484</v>
      </c>
      <c r="N123" s="177" t="s">
        <v>113</v>
      </c>
      <c r="O123" s="173" t="s">
        <v>224</v>
      </c>
      <c r="P123" s="178" t="str">
        <f>IFERROR(VLOOKUP(C123,TD!$B$32:$F$36,2,0)," ")</f>
        <v>O230117</v>
      </c>
      <c r="Q123" s="178" t="str">
        <f>IFERROR(VLOOKUP(C123,TD!$B$32:$F$36,3,0)," ")</f>
        <v>4503</v>
      </c>
      <c r="R123" s="178">
        <f>IFERROR(VLOOKUP(C123,TD!$B$32:$F$36,4,0)," ")</f>
        <v>20240255</v>
      </c>
      <c r="S123" s="173" t="s">
        <v>191</v>
      </c>
      <c r="T123" s="178" t="str">
        <f>IFERROR(VLOOKUP(S123,TD!$J$33:$K$43,2,0)," ")</f>
        <v>Servicio de apoyo   logístico  en eventos operativos y/o emergencias.</v>
      </c>
      <c r="U123" s="127" t="str">
        <f>CONCATENATE(S123,"-",T123)</f>
        <v>12-Servicio de apoyo   logístico  en eventos operativos y/o emergencias.</v>
      </c>
      <c r="V123" s="173" t="s">
        <v>232</v>
      </c>
      <c r="W123" s="178" t="str">
        <f>IFERROR(VLOOKUP(V123,TD!$N$33:$O$45,2,0)," ")</f>
        <v>Servicio de atención a emergencias y desastres</v>
      </c>
      <c r="X123" s="127" t="str">
        <f>CONCATENATE(V123,"_",W123)</f>
        <v>004_Servicio de atención a emergencias y desastres</v>
      </c>
      <c r="Y123" s="127" t="str">
        <f>CONCATENATE(U123," ",X123)</f>
        <v>12-Servicio de apoyo   logístico  en eventos operativos y/o emergencias. 004_Servicio de atención a emergencias y desastres</v>
      </c>
      <c r="Z123" s="178" t="str">
        <f>CONCATENATE(P123,Q123,R123,S123,V123)</f>
        <v>O23011745032024025512004</v>
      </c>
      <c r="AA123" s="178" t="str">
        <f>IFERROR(VLOOKUP(Y123,TD!$K$46:$L$64,2,0)," ")</f>
        <v>PM/0131/0112/45030040255</v>
      </c>
      <c r="AB123" s="177" t="s">
        <v>138</v>
      </c>
      <c r="AC123" s="179" t="s">
        <v>204</v>
      </c>
    </row>
    <row r="124" spans="2:29" s="28" customFormat="1" ht="74.25" customHeight="1" x14ac:dyDescent="0.35">
      <c r="B124" s="170">
        <v>20250208</v>
      </c>
      <c r="C124" s="171" t="s">
        <v>209</v>
      </c>
      <c r="D124" s="172" t="s">
        <v>168</v>
      </c>
      <c r="E124" s="173" t="s">
        <v>692</v>
      </c>
      <c r="F124" s="172" t="s">
        <v>873</v>
      </c>
      <c r="G124" s="172" t="s">
        <v>155</v>
      </c>
      <c r="H124" s="174">
        <v>80111600</v>
      </c>
      <c r="I124" s="175">
        <v>2</v>
      </c>
      <c r="J124" s="175">
        <v>9</v>
      </c>
      <c r="K124" s="176">
        <v>0</v>
      </c>
      <c r="L124" s="177">
        <v>65000000</v>
      </c>
      <c r="M124" s="172" t="s">
        <v>484</v>
      </c>
      <c r="N124" s="177" t="s">
        <v>113</v>
      </c>
      <c r="O124" s="173" t="s">
        <v>224</v>
      </c>
      <c r="P124" s="178" t="str">
        <f>IFERROR(VLOOKUP(C124,TD!$B$32:$F$36,2,0)," ")</f>
        <v>O230117</v>
      </c>
      <c r="Q124" s="178" t="str">
        <f>IFERROR(VLOOKUP(C124,TD!$B$32:$F$36,3,0)," ")</f>
        <v>4503</v>
      </c>
      <c r="R124" s="178">
        <f>IFERROR(VLOOKUP(C124,TD!$B$32:$F$36,4,0)," ")</f>
        <v>20240255</v>
      </c>
      <c r="S124" s="173" t="s">
        <v>191</v>
      </c>
      <c r="T124" s="178" t="str">
        <f>IFERROR(VLOOKUP(S124,TD!$J$33:$K$43,2,0)," ")</f>
        <v>Servicio de apoyo   logístico  en eventos operativos y/o emergencias.</v>
      </c>
      <c r="U124" s="127" t="str">
        <f>CONCATENATE(S124,"-",T124)</f>
        <v>12-Servicio de apoyo   logístico  en eventos operativos y/o emergencias.</v>
      </c>
      <c r="V124" s="173" t="s">
        <v>232</v>
      </c>
      <c r="W124" s="178" t="str">
        <f>IFERROR(VLOOKUP(V124,TD!$N$33:$O$45,2,0)," ")</f>
        <v>Servicio de atención a emergencias y desastres</v>
      </c>
      <c r="X124" s="127" t="str">
        <f>CONCATENATE(V124,"_",W124)</f>
        <v>004_Servicio de atención a emergencias y desastres</v>
      </c>
      <c r="Y124" s="127" t="str">
        <f>CONCATENATE(U124," ",X124)</f>
        <v>12-Servicio de apoyo   logístico  en eventos operativos y/o emergencias. 004_Servicio de atención a emergencias y desastres</v>
      </c>
      <c r="Z124" s="178" t="str">
        <f>CONCATENATE(P124,Q124,R124,S124,V124)</f>
        <v>O23011745032024025512004</v>
      </c>
      <c r="AA124" s="178" t="str">
        <f>IFERROR(VLOOKUP(Y124,TD!$K$46:$L$64,2,0)," ")</f>
        <v>PM/0131/0112/45030040255</v>
      </c>
      <c r="AB124" s="177" t="s">
        <v>138</v>
      </c>
      <c r="AC124" s="179" t="s">
        <v>204</v>
      </c>
    </row>
    <row r="125" spans="2:29" s="28" customFormat="1" ht="74.25" customHeight="1" x14ac:dyDescent="0.35">
      <c r="B125" s="170">
        <v>20250209</v>
      </c>
      <c r="C125" s="171" t="s">
        <v>209</v>
      </c>
      <c r="D125" s="172" t="s">
        <v>168</v>
      </c>
      <c r="E125" s="173" t="s">
        <v>692</v>
      </c>
      <c r="F125" s="172" t="s">
        <v>891</v>
      </c>
      <c r="G125" s="172" t="s">
        <v>156</v>
      </c>
      <c r="H125" s="174">
        <v>80111600</v>
      </c>
      <c r="I125" s="175">
        <v>2</v>
      </c>
      <c r="J125" s="175">
        <v>10</v>
      </c>
      <c r="K125" s="176">
        <v>0</v>
      </c>
      <c r="L125" s="177">
        <v>33000000</v>
      </c>
      <c r="M125" s="172" t="s">
        <v>484</v>
      </c>
      <c r="N125" s="177" t="s">
        <v>113</v>
      </c>
      <c r="O125" s="173" t="s">
        <v>224</v>
      </c>
      <c r="P125" s="178" t="str">
        <f>IFERROR(VLOOKUP(C125,TD!$B$32:$F$36,2,0)," ")</f>
        <v>O230117</v>
      </c>
      <c r="Q125" s="178" t="str">
        <f>IFERROR(VLOOKUP(C125,TD!$B$32:$F$36,3,0)," ")</f>
        <v>4503</v>
      </c>
      <c r="R125" s="178">
        <f>IFERROR(VLOOKUP(C125,TD!$B$32:$F$36,4,0)," ")</f>
        <v>20240255</v>
      </c>
      <c r="S125" s="173" t="s">
        <v>191</v>
      </c>
      <c r="T125" s="178" t="str">
        <f>IFERROR(VLOOKUP(S125,TD!$J$33:$K$43,2,0)," ")</f>
        <v>Servicio de apoyo   logístico  en eventos operativos y/o emergencias.</v>
      </c>
      <c r="U125" s="127" t="str">
        <f>CONCATENATE(S125,"-",T125)</f>
        <v>12-Servicio de apoyo   logístico  en eventos operativos y/o emergencias.</v>
      </c>
      <c r="V125" s="173" t="s">
        <v>232</v>
      </c>
      <c r="W125" s="178" t="str">
        <f>IFERROR(VLOOKUP(V125,TD!$N$33:$O$45,2,0)," ")</f>
        <v>Servicio de atención a emergencias y desastres</v>
      </c>
      <c r="X125" s="127" t="str">
        <f>CONCATENATE(V125,"_",W125)</f>
        <v>004_Servicio de atención a emergencias y desastres</v>
      </c>
      <c r="Y125" s="127" t="str">
        <f>CONCATENATE(U125," ",X125)</f>
        <v>12-Servicio de apoyo   logístico  en eventos operativos y/o emergencias. 004_Servicio de atención a emergencias y desastres</v>
      </c>
      <c r="Z125" s="178" t="str">
        <f>CONCATENATE(P125,Q125,R125,S125,V125)</f>
        <v>O23011745032024025512004</v>
      </c>
      <c r="AA125" s="178" t="str">
        <f>IFERROR(VLOOKUP(Y125,TD!$K$46:$L$64,2,0)," ")</f>
        <v>PM/0131/0112/45030040255</v>
      </c>
      <c r="AB125" s="177" t="s">
        <v>138</v>
      </c>
      <c r="AC125" s="179" t="s">
        <v>204</v>
      </c>
    </row>
    <row r="126" spans="2:29" s="28" customFormat="1" ht="74.25" customHeight="1" x14ac:dyDescent="0.35">
      <c r="B126" s="170">
        <v>20250210</v>
      </c>
      <c r="C126" s="171" t="s">
        <v>209</v>
      </c>
      <c r="D126" s="172" t="s">
        <v>168</v>
      </c>
      <c r="E126" s="173" t="s">
        <v>692</v>
      </c>
      <c r="F126" s="172" t="s">
        <v>892</v>
      </c>
      <c r="G126" s="172" t="s">
        <v>155</v>
      </c>
      <c r="H126" s="174">
        <v>80111600</v>
      </c>
      <c r="I126" s="175">
        <v>2</v>
      </c>
      <c r="J126" s="175">
        <v>10</v>
      </c>
      <c r="K126" s="176">
        <v>0</v>
      </c>
      <c r="L126" s="177">
        <v>70000000</v>
      </c>
      <c r="M126" s="172" t="s">
        <v>484</v>
      </c>
      <c r="N126" s="177" t="s">
        <v>113</v>
      </c>
      <c r="O126" s="173" t="s">
        <v>224</v>
      </c>
      <c r="P126" s="178" t="str">
        <f>IFERROR(VLOOKUP(C126,TD!$B$32:$F$36,2,0)," ")</f>
        <v>O230117</v>
      </c>
      <c r="Q126" s="178" t="str">
        <f>IFERROR(VLOOKUP(C126,TD!$B$32:$F$36,3,0)," ")</f>
        <v>4503</v>
      </c>
      <c r="R126" s="178">
        <f>IFERROR(VLOOKUP(C126,TD!$B$32:$F$36,4,0)," ")</f>
        <v>20240255</v>
      </c>
      <c r="S126" s="173" t="s">
        <v>191</v>
      </c>
      <c r="T126" s="178" t="str">
        <f>IFERROR(VLOOKUP(S126,TD!$J$33:$K$43,2,0)," ")</f>
        <v>Servicio de apoyo   logístico  en eventos operativos y/o emergencias.</v>
      </c>
      <c r="U126" s="127" t="str">
        <f>CONCATENATE(S126,"-",T126)</f>
        <v>12-Servicio de apoyo   logístico  en eventos operativos y/o emergencias.</v>
      </c>
      <c r="V126" s="173" t="s">
        <v>232</v>
      </c>
      <c r="W126" s="178" t="str">
        <f>IFERROR(VLOOKUP(V126,TD!$N$33:$O$45,2,0)," ")</f>
        <v>Servicio de atención a emergencias y desastres</v>
      </c>
      <c r="X126" s="127" t="str">
        <f>CONCATENATE(V126,"_",W126)</f>
        <v>004_Servicio de atención a emergencias y desastres</v>
      </c>
      <c r="Y126" s="127" t="str">
        <f>CONCATENATE(U126," ",X126)</f>
        <v>12-Servicio de apoyo   logístico  en eventos operativos y/o emergencias. 004_Servicio de atención a emergencias y desastres</v>
      </c>
      <c r="Z126" s="178" t="str">
        <f>CONCATENATE(P126,Q126,R126,S126,V126)</f>
        <v>O23011745032024025512004</v>
      </c>
      <c r="AA126" s="178" t="str">
        <f>IFERROR(VLOOKUP(Y126,TD!$K$46:$L$64,2,0)," ")</f>
        <v>PM/0131/0112/45030040255</v>
      </c>
      <c r="AB126" s="177" t="s">
        <v>138</v>
      </c>
      <c r="AC126" s="179" t="s">
        <v>204</v>
      </c>
    </row>
    <row r="127" spans="2:29" s="28" customFormat="1" ht="74.25" customHeight="1" x14ac:dyDescent="0.35">
      <c r="B127" s="170">
        <v>20250211</v>
      </c>
      <c r="C127" s="171" t="s">
        <v>209</v>
      </c>
      <c r="D127" s="172" t="s">
        <v>168</v>
      </c>
      <c r="E127" s="173" t="s">
        <v>692</v>
      </c>
      <c r="F127" s="172" t="s">
        <v>873</v>
      </c>
      <c r="G127" s="172" t="s">
        <v>156</v>
      </c>
      <c r="H127" s="174">
        <v>80111600</v>
      </c>
      <c r="I127" s="175">
        <v>2</v>
      </c>
      <c r="J127" s="175">
        <v>10</v>
      </c>
      <c r="K127" s="176">
        <v>0</v>
      </c>
      <c r="L127" s="177">
        <v>70000000</v>
      </c>
      <c r="M127" s="172" t="s">
        <v>484</v>
      </c>
      <c r="N127" s="177" t="s">
        <v>113</v>
      </c>
      <c r="O127" s="173" t="s">
        <v>224</v>
      </c>
      <c r="P127" s="178" t="str">
        <f>IFERROR(VLOOKUP(C127,TD!$B$32:$F$36,2,0)," ")</f>
        <v>O230117</v>
      </c>
      <c r="Q127" s="178" t="str">
        <f>IFERROR(VLOOKUP(C127,TD!$B$32:$F$36,3,0)," ")</f>
        <v>4503</v>
      </c>
      <c r="R127" s="178">
        <f>IFERROR(VLOOKUP(C127,TD!$B$32:$F$36,4,0)," ")</f>
        <v>20240255</v>
      </c>
      <c r="S127" s="173" t="s">
        <v>191</v>
      </c>
      <c r="T127" s="178" t="str">
        <f>IFERROR(VLOOKUP(S127,TD!$J$33:$K$43,2,0)," ")</f>
        <v>Servicio de apoyo   logístico  en eventos operativos y/o emergencias.</v>
      </c>
      <c r="U127" s="127" t="str">
        <f>CONCATENATE(S127,"-",T127)</f>
        <v>12-Servicio de apoyo   logístico  en eventos operativos y/o emergencias.</v>
      </c>
      <c r="V127" s="173" t="s">
        <v>232</v>
      </c>
      <c r="W127" s="178" t="str">
        <f>IFERROR(VLOOKUP(V127,TD!$N$33:$O$45,2,0)," ")</f>
        <v>Servicio de atención a emergencias y desastres</v>
      </c>
      <c r="X127" s="127" t="str">
        <f>CONCATENATE(V127,"_",W127)</f>
        <v>004_Servicio de atención a emergencias y desastres</v>
      </c>
      <c r="Y127" s="127" t="str">
        <f>CONCATENATE(U127," ",X127)</f>
        <v>12-Servicio de apoyo   logístico  en eventos operativos y/o emergencias. 004_Servicio de atención a emergencias y desastres</v>
      </c>
      <c r="Z127" s="178" t="str">
        <f>CONCATENATE(P127,Q127,R127,S127,V127)</f>
        <v>O23011745032024025512004</v>
      </c>
      <c r="AA127" s="178" t="str">
        <f>IFERROR(VLOOKUP(Y127,TD!$K$46:$L$64,2,0)," ")</f>
        <v>PM/0131/0112/45030040255</v>
      </c>
      <c r="AB127" s="177" t="s">
        <v>138</v>
      </c>
      <c r="AC127" s="179" t="s">
        <v>204</v>
      </c>
    </row>
    <row r="128" spans="2:29" s="28" customFormat="1" ht="74.25" customHeight="1" x14ac:dyDescent="0.35">
      <c r="B128" s="170">
        <v>20250212</v>
      </c>
      <c r="C128" s="171" t="s">
        <v>209</v>
      </c>
      <c r="D128" s="172" t="s">
        <v>168</v>
      </c>
      <c r="E128" s="173" t="s">
        <v>692</v>
      </c>
      <c r="F128" s="172" t="s">
        <v>893</v>
      </c>
      <c r="G128" s="172" t="s">
        <v>155</v>
      </c>
      <c r="H128" s="174">
        <v>80111600</v>
      </c>
      <c r="I128" s="175">
        <v>2</v>
      </c>
      <c r="J128" s="175">
        <v>10</v>
      </c>
      <c r="K128" s="176">
        <v>0</v>
      </c>
      <c r="L128" s="177">
        <v>61800000</v>
      </c>
      <c r="M128" s="172" t="s">
        <v>484</v>
      </c>
      <c r="N128" s="177" t="s">
        <v>113</v>
      </c>
      <c r="O128" s="173" t="s">
        <v>224</v>
      </c>
      <c r="P128" s="178" t="str">
        <f>IFERROR(VLOOKUP(C128,TD!$B$32:$F$36,2,0)," ")</f>
        <v>O230117</v>
      </c>
      <c r="Q128" s="178" t="str">
        <f>IFERROR(VLOOKUP(C128,TD!$B$32:$F$36,3,0)," ")</f>
        <v>4503</v>
      </c>
      <c r="R128" s="178">
        <f>IFERROR(VLOOKUP(C128,TD!$B$32:$F$36,4,0)," ")</f>
        <v>20240255</v>
      </c>
      <c r="S128" s="173" t="s">
        <v>191</v>
      </c>
      <c r="T128" s="178" t="str">
        <f>IFERROR(VLOOKUP(S128,TD!$J$33:$K$43,2,0)," ")</f>
        <v>Servicio de apoyo   logístico  en eventos operativos y/o emergencias.</v>
      </c>
      <c r="U128" s="127" t="str">
        <f>CONCATENATE(S128,"-",T128)</f>
        <v>12-Servicio de apoyo   logístico  en eventos operativos y/o emergencias.</v>
      </c>
      <c r="V128" s="173" t="s">
        <v>232</v>
      </c>
      <c r="W128" s="178" t="str">
        <f>IFERROR(VLOOKUP(V128,TD!$N$33:$O$45,2,0)," ")</f>
        <v>Servicio de atención a emergencias y desastres</v>
      </c>
      <c r="X128" s="127" t="str">
        <f>CONCATENATE(V128,"_",W128)</f>
        <v>004_Servicio de atención a emergencias y desastres</v>
      </c>
      <c r="Y128" s="127" t="str">
        <f>CONCATENATE(U128," ",X128)</f>
        <v>12-Servicio de apoyo   logístico  en eventos operativos y/o emergencias. 004_Servicio de atención a emergencias y desastres</v>
      </c>
      <c r="Z128" s="178" t="str">
        <f>CONCATENATE(P128,Q128,R128,S128,V128)</f>
        <v>O23011745032024025512004</v>
      </c>
      <c r="AA128" s="178" t="str">
        <f>IFERROR(VLOOKUP(Y128,TD!$K$46:$L$64,2,0)," ")</f>
        <v>PM/0131/0112/45030040255</v>
      </c>
      <c r="AB128" s="177" t="s">
        <v>138</v>
      </c>
      <c r="AC128" s="179" t="s">
        <v>204</v>
      </c>
    </row>
    <row r="129" spans="2:29" s="28" customFormat="1" ht="74.25" customHeight="1" x14ac:dyDescent="0.35">
      <c r="B129" s="170">
        <v>20250213</v>
      </c>
      <c r="C129" s="171" t="s">
        <v>209</v>
      </c>
      <c r="D129" s="172" t="s">
        <v>168</v>
      </c>
      <c r="E129" s="173" t="s">
        <v>692</v>
      </c>
      <c r="F129" s="172" t="s">
        <v>894</v>
      </c>
      <c r="G129" s="172" t="s">
        <v>155</v>
      </c>
      <c r="H129" s="174">
        <v>80111600</v>
      </c>
      <c r="I129" s="175">
        <v>2</v>
      </c>
      <c r="J129" s="175">
        <v>11</v>
      </c>
      <c r="K129" s="176">
        <v>0</v>
      </c>
      <c r="L129" s="177">
        <v>55000000</v>
      </c>
      <c r="M129" s="172" t="s">
        <v>484</v>
      </c>
      <c r="N129" s="177" t="s">
        <v>113</v>
      </c>
      <c r="O129" s="173" t="s">
        <v>224</v>
      </c>
      <c r="P129" s="178" t="str">
        <f>IFERROR(VLOOKUP(C129,TD!$B$32:$F$36,2,0)," ")</f>
        <v>O230117</v>
      </c>
      <c r="Q129" s="178" t="str">
        <f>IFERROR(VLOOKUP(C129,TD!$B$32:$F$36,3,0)," ")</f>
        <v>4503</v>
      </c>
      <c r="R129" s="178">
        <f>IFERROR(VLOOKUP(C129,TD!$B$32:$F$36,4,0)," ")</f>
        <v>20240255</v>
      </c>
      <c r="S129" s="173" t="s">
        <v>187</v>
      </c>
      <c r="T129" s="178" t="str">
        <f>IFERROR(VLOOKUP(S129,TD!$J$33:$K$43,2,0)," ")</f>
        <v>Servicio de mantenimiento, dotación (HEA´s y equipo menor) y adquisición de vehiculos   especializados para la atención de emergencias.</v>
      </c>
      <c r="U129" s="127" t="str">
        <f>CONCATENATE(S129,"-",T129)</f>
        <v>09-Servicio de mantenimiento, dotación (HEA´s y equipo menor) y adquisición de vehiculos   especializados para la atención de emergencias.</v>
      </c>
      <c r="V129" s="173" t="s">
        <v>232</v>
      </c>
      <c r="W129" s="178" t="str">
        <f>IFERROR(VLOOKUP(V129,TD!$N$33:$O$45,2,0)," ")</f>
        <v>Servicio de atención a emergencias y desastres</v>
      </c>
      <c r="X129" s="127" t="str">
        <f>CONCATENATE(V129,"_",W129)</f>
        <v>004_Servicio de atención a emergencias y desastres</v>
      </c>
      <c r="Y129" s="127" t="str">
        <f>CONCATENATE(U129," ",X129)</f>
        <v>09-Servicio de mantenimiento, dotación (HEA´s y equipo menor) y adquisición de vehiculos   especializados para la atención de emergencias. 004_Servicio de atención a emergencias y desastres</v>
      </c>
      <c r="Z129" s="178" t="str">
        <f>CONCATENATE(P129,Q129,R129,S129,V129)</f>
        <v>O23011745032024025509004</v>
      </c>
      <c r="AA129" s="178" t="str">
        <f>IFERROR(VLOOKUP(Y129,TD!$K$46:$L$64,2,0)," ")</f>
        <v>PM/0131/0109/45030040255</v>
      </c>
      <c r="AB129" s="177" t="s">
        <v>138</v>
      </c>
      <c r="AC129" s="179" t="s">
        <v>204</v>
      </c>
    </row>
    <row r="130" spans="2:29" s="28" customFormat="1" ht="74.25" customHeight="1" x14ac:dyDescent="0.35">
      <c r="B130" s="170">
        <v>20250214</v>
      </c>
      <c r="C130" s="171" t="s">
        <v>209</v>
      </c>
      <c r="D130" s="172" t="s">
        <v>168</v>
      </c>
      <c r="E130" s="173" t="s">
        <v>692</v>
      </c>
      <c r="F130" s="172" t="s">
        <v>895</v>
      </c>
      <c r="G130" s="172" t="s">
        <v>155</v>
      </c>
      <c r="H130" s="174">
        <v>80111600</v>
      </c>
      <c r="I130" s="175">
        <v>2</v>
      </c>
      <c r="J130" s="175">
        <v>9</v>
      </c>
      <c r="K130" s="176">
        <v>0</v>
      </c>
      <c r="L130" s="177">
        <v>40500000</v>
      </c>
      <c r="M130" s="172" t="s">
        <v>484</v>
      </c>
      <c r="N130" s="177" t="s">
        <v>113</v>
      </c>
      <c r="O130" s="173" t="s">
        <v>224</v>
      </c>
      <c r="P130" s="178" t="str">
        <f>IFERROR(VLOOKUP(C130,TD!$B$32:$F$36,2,0)," ")</f>
        <v>O230117</v>
      </c>
      <c r="Q130" s="178" t="str">
        <f>IFERROR(VLOOKUP(C130,TD!$B$32:$F$36,3,0)," ")</f>
        <v>4503</v>
      </c>
      <c r="R130" s="178">
        <f>IFERROR(VLOOKUP(C130,TD!$B$32:$F$36,4,0)," ")</f>
        <v>20240255</v>
      </c>
      <c r="S130" s="173" t="s">
        <v>191</v>
      </c>
      <c r="T130" s="178" t="str">
        <f>IFERROR(VLOOKUP(S130,TD!$J$33:$K$43,2,0)," ")</f>
        <v>Servicio de apoyo   logístico  en eventos operativos y/o emergencias.</v>
      </c>
      <c r="U130" s="127" t="str">
        <f>CONCATENATE(S130,"-",T130)</f>
        <v>12-Servicio de apoyo   logístico  en eventos operativos y/o emergencias.</v>
      </c>
      <c r="V130" s="173" t="s">
        <v>232</v>
      </c>
      <c r="W130" s="178" t="str">
        <f>IFERROR(VLOOKUP(V130,TD!$N$33:$O$45,2,0)," ")</f>
        <v>Servicio de atención a emergencias y desastres</v>
      </c>
      <c r="X130" s="127" t="str">
        <f>CONCATENATE(V130,"_",W130)</f>
        <v>004_Servicio de atención a emergencias y desastres</v>
      </c>
      <c r="Y130" s="127" t="str">
        <f>CONCATENATE(U130," ",X130)</f>
        <v>12-Servicio de apoyo   logístico  en eventos operativos y/o emergencias. 004_Servicio de atención a emergencias y desastres</v>
      </c>
      <c r="Z130" s="178" t="str">
        <f>CONCATENATE(P130,Q130,R130,S130,V130)</f>
        <v>O23011745032024025512004</v>
      </c>
      <c r="AA130" s="178" t="str">
        <f>IFERROR(VLOOKUP(Y130,TD!$K$46:$L$64,2,0)," ")</f>
        <v>PM/0131/0112/45030040255</v>
      </c>
      <c r="AB130" s="177" t="s">
        <v>138</v>
      </c>
      <c r="AC130" s="179" t="s">
        <v>204</v>
      </c>
    </row>
    <row r="131" spans="2:29" s="28" customFormat="1" ht="74.25" customHeight="1" x14ac:dyDescent="0.35">
      <c r="B131" s="170">
        <v>20250215</v>
      </c>
      <c r="C131" s="171" t="s">
        <v>209</v>
      </c>
      <c r="D131" s="172" t="s">
        <v>168</v>
      </c>
      <c r="E131" s="173" t="s">
        <v>692</v>
      </c>
      <c r="F131" s="172" t="s">
        <v>896</v>
      </c>
      <c r="G131" s="172" t="s">
        <v>155</v>
      </c>
      <c r="H131" s="174">
        <v>80111600</v>
      </c>
      <c r="I131" s="175">
        <v>2</v>
      </c>
      <c r="J131" s="175">
        <v>10</v>
      </c>
      <c r="K131" s="176">
        <v>0</v>
      </c>
      <c r="L131" s="177">
        <v>60000000</v>
      </c>
      <c r="M131" s="172" t="s">
        <v>484</v>
      </c>
      <c r="N131" s="177" t="s">
        <v>113</v>
      </c>
      <c r="O131" s="173" t="s">
        <v>224</v>
      </c>
      <c r="P131" s="178" t="str">
        <f>IFERROR(VLOOKUP(C131,TD!$B$32:$F$36,2,0)," ")</f>
        <v>O230117</v>
      </c>
      <c r="Q131" s="178" t="str">
        <f>IFERROR(VLOOKUP(C131,TD!$B$32:$F$36,3,0)," ")</f>
        <v>4503</v>
      </c>
      <c r="R131" s="178">
        <f>IFERROR(VLOOKUP(C131,TD!$B$32:$F$36,4,0)," ")</f>
        <v>20240255</v>
      </c>
      <c r="S131" s="173" t="s">
        <v>191</v>
      </c>
      <c r="T131" s="178" t="str">
        <f>IFERROR(VLOOKUP(S131,TD!$J$33:$K$43,2,0)," ")</f>
        <v>Servicio de apoyo   logístico  en eventos operativos y/o emergencias.</v>
      </c>
      <c r="U131" s="127" t="str">
        <f>CONCATENATE(S131,"-",T131)</f>
        <v>12-Servicio de apoyo   logístico  en eventos operativos y/o emergencias.</v>
      </c>
      <c r="V131" s="173" t="s">
        <v>232</v>
      </c>
      <c r="W131" s="178" t="str">
        <f>IFERROR(VLOOKUP(V131,TD!$N$33:$O$45,2,0)," ")</f>
        <v>Servicio de atención a emergencias y desastres</v>
      </c>
      <c r="X131" s="127" t="str">
        <f>CONCATENATE(V131,"_",W131)</f>
        <v>004_Servicio de atención a emergencias y desastres</v>
      </c>
      <c r="Y131" s="127" t="str">
        <f>CONCATENATE(U131," ",X131)</f>
        <v>12-Servicio de apoyo   logístico  en eventos operativos y/o emergencias. 004_Servicio de atención a emergencias y desastres</v>
      </c>
      <c r="Z131" s="178" t="str">
        <f>CONCATENATE(P131,Q131,R131,S131,V131)</f>
        <v>O23011745032024025512004</v>
      </c>
      <c r="AA131" s="178" t="str">
        <f>IFERROR(VLOOKUP(Y131,TD!$K$46:$L$64,2,0)," ")</f>
        <v>PM/0131/0112/45030040255</v>
      </c>
      <c r="AB131" s="177" t="s">
        <v>138</v>
      </c>
      <c r="AC131" s="179" t="s">
        <v>204</v>
      </c>
    </row>
    <row r="132" spans="2:29" s="28" customFormat="1" ht="74.25" customHeight="1" x14ac:dyDescent="0.35">
      <c r="B132" s="170">
        <v>20250216</v>
      </c>
      <c r="C132" s="171" t="s">
        <v>209</v>
      </c>
      <c r="D132" s="172" t="s">
        <v>168</v>
      </c>
      <c r="E132" s="173" t="s">
        <v>692</v>
      </c>
      <c r="F132" s="172" t="s">
        <v>897</v>
      </c>
      <c r="G132" s="172" t="s">
        <v>155</v>
      </c>
      <c r="H132" s="174">
        <v>80111600</v>
      </c>
      <c r="I132" s="175">
        <v>2</v>
      </c>
      <c r="J132" s="175">
        <v>10</v>
      </c>
      <c r="K132" s="176">
        <v>0</v>
      </c>
      <c r="L132" s="177">
        <v>75000000</v>
      </c>
      <c r="M132" s="172" t="s">
        <v>484</v>
      </c>
      <c r="N132" s="177" t="s">
        <v>113</v>
      </c>
      <c r="O132" s="173" t="s">
        <v>224</v>
      </c>
      <c r="P132" s="178" t="str">
        <f>IFERROR(VLOOKUP(C132,TD!$B$32:$F$36,2,0)," ")</f>
        <v>O230117</v>
      </c>
      <c r="Q132" s="178" t="str">
        <f>IFERROR(VLOOKUP(C132,TD!$B$32:$F$36,3,0)," ")</f>
        <v>4503</v>
      </c>
      <c r="R132" s="178">
        <f>IFERROR(VLOOKUP(C132,TD!$B$32:$F$36,4,0)," ")</f>
        <v>20240255</v>
      </c>
      <c r="S132" s="173" t="s">
        <v>191</v>
      </c>
      <c r="T132" s="178" t="str">
        <f>IFERROR(VLOOKUP(S132,TD!$J$33:$K$43,2,0)," ")</f>
        <v>Servicio de apoyo   logístico  en eventos operativos y/o emergencias.</v>
      </c>
      <c r="U132" s="127" t="str">
        <f>CONCATENATE(S132,"-",T132)</f>
        <v>12-Servicio de apoyo   logístico  en eventos operativos y/o emergencias.</v>
      </c>
      <c r="V132" s="173" t="s">
        <v>232</v>
      </c>
      <c r="W132" s="178" t="str">
        <f>IFERROR(VLOOKUP(V132,TD!$N$33:$O$45,2,0)," ")</f>
        <v>Servicio de atención a emergencias y desastres</v>
      </c>
      <c r="X132" s="127" t="str">
        <f>CONCATENATE(V132,"_",W132)</f>
        <v>004_Servicio de atención a emergencias y desastres</v>
      </c>
      <c r="Y132" s="127" t="str">
        <f>CONCATENATE(U132," ",X132)</f>
        <v>12-Servicio de apoyo   logístico  en eventos operativos y/o emergencias. 004_Servicio de atención a emergencias y desastres</v>
      </c>
      <c r="Z132" s="178" t="str">
        <f>CONCATENATE(P132,Q132,R132,S132,V132)</f>
        <v>O23011745032024025512004</v>
      </c>
      <c r="AA132" s="178" t="str">
        <f>IFERROR(VLOOKUP(Y132,TD!$K$46:$L$64,2,0)," ")</f>
        <v>PM/0131/0112/45030040255</v>
      </c>
      <c r="AB132" s="177" t="s">
        <v>138</v>
      </c>
      <c r="AC132" s="179" t="s">
        <v>204</v>
      </c>
    </row>
    <row r="133" spans="2:29" s="28" customFormat="1" ht="90.75" customHeight="1" x14ac:dyDescent="0.35">
      <c r="B133" s="170">
        <v>20250217</v>
      </c>
      <c r="C133" s="171" t="s">
        <v>209</v>
      </c>
      <c r="D133" s="172" t="s">
        <v>168</v>
      </c>
      <c r="E133" s="173" t="s">
        <v>692</v>
      </c>
      <c r="F133" s="172" t="s">
        <v>898</v>
      </c>
      <c r="G133" s="172" t="s">
        <v>155</v>
      </c>
      <c r="H133" s="174">
        <v>80111600</v>
      </c>
      <c r="I133" s="175">
        <v>2</v>
      </c>
      <c r="J133" s="175">
        <v>9</v>
      </c>
      <c r="K133" s="176">
        <v>0</v>
      </c>
      <c r="L133" s="177">
        <v>40500000</v>
      </c>
      <c r="M133" s="172" t="s">
        <v>484</v>
      </c>
      <c r="N133" s="177" t="s">
        <v>113</v>
      </c>
      <c r="O133" s="173" t="s">
        <v>224</v>
      </c>
      <c r="P133" s="178" t="str">
        <f>IFERROR(VLOOKUP(C133,TD!$B$32:$F$36,2,0)," ")</f>
        <v>O230117</v>
      </c>
      <c r="Q133" s="178" t="str">
        <f>IFERROR(VLOOKUP(C133,TD!$B$32:$F$36,3,0)," ")</f>
        <v>4503</v>
      </c>
      <c r="R133" s="178">
        <f>IFERROR(VLOOKUP(C133,TD!$B$32:$F$36,4,0)," ")</f>
        <v>20240255</v>
      </c>
      <c r="S133" s="173" t="s">
        <v>191</v>
      </c>
      <c r="T133" s="178" t="str">
        <f>IFERROR(VLOOKUP(S133,TD!$J$33:$K$43,2,0)," ")</f>
        <v>Servicio de apoyo   logístico  en eventos operativos y/o emergencias.</v>
      </c>
      <c r="U133" s="127" t="str">
        <f>CONCATENATE(S133,"-",T133)</f>
        <v>12-Servicio de apoyo   logístico  en eventos operativos y/o emergencias.</v>
      </c>
      <c r="V133" s="173" t="s">
        <v>232</v>
      </c>
      <c r="W133" s="178" t="str">
        <f>IFERROR(VLOOKUP(V133,TD!$N$33:$O$45,2,0)," ")</f>
        <v>Servicio de atención a emergencias y desastres</v>
      </c>
      <c r="X133" s="127" t="str">
        <f>CONCATENATE(V133,"_",W133)</f>
        <v>004_Servicio de atención a emergencias y desastres</v>
      </c>
      <c r="Y133" s="127" t="str">
        <f>CONCATENATE(U133," ",X133)</f>
        <v>12-Servicio de apoyo   logístico  en eventos operativos y/o emergencias. 004_Servicio de atención a emergencias y desastres</v>
      </c>
      <c r="Z133" s="178" t="str">
        <f>CONCATENATE(P133,Q133,R133,S133,V133)</f>
        <v>O23011745032024025512004</v>
      </c>
      <c r="AA133" s="178" t="str">
        <f>IFERROR(VLOOKUP(Y133,TD!$K$46:$L$64,2,0)," ")</f>
        <v>PM/0131/0112/45030040255</v>
      </c>
      <c r="AB133" s="177" t="s">
        <v>138</v>
      </c>
      <c r="AC133" s="179" t="s">
        <v>204</v>
      </c>
    </row>
    <row r="134" spans="2:29" s="28" customFormat="1" ht="74.25" customHeight="1" x14ac:dyDescent="0.35">
      <c r="B134" s="170">
        <v>20250218</v>
      </c>
      <c r="C134" s="171" t="s">
        <v>209</v>
      </c>
      <c r="D134" s="172" t="s">
        <v>168</v>
      </c>
      <c r="E134" s="173" t="s">
        <v>692</v>
      </c>
      <c r="F134" s="172" t="s">
        <v>899</v>
      </c>
      <c r="G134" s="172" t="s">
        <v>156</v>
      </c>
      <c r="H134" s="174">
        <v>80111600</v>
      </c>
      <c r="I134" s="175">
        <v>2</v>
      </c>
      <c r="J134" s="175">
        <v>9</v>
      </c>
      <c r="K134" s="176">
        <v>0</v>
      </c>
      <c r="L134" s="177">
        <v>29700000</v>
      </c>
      <c r="M134" s="172" t="s">
        <v>484</v>
      </c>
      <c r="N134" s="177" t="s">
        <v>113</v>
      </c>
      <c r="O134" s="173" t="s">
        <v>224</v>
      </c>
      <c r="P134" s="178" t="str">
        <f>IFERROR(VLOOKUP(C134,TD!$B$32:$F$36,2,0)," ")</f>
        <v>O230117</v>
      </c>
      <c r="Q134" s="178" t="str">
        <f>IFERROR(VLOOKUP(C134,TD!$B$32:$F$36,3,0)," ")</f>
        <v>4503</v>
      </c>
      <c r="R134" s="178">
        <f>IFERROR(VLOOKUP(C134,TD!$B$32:$F$36,4,0)," ")</f>
        <v>20240255</v>
      </c>
      <c r="S134" s="173" t="s">
        <v>191</v>
      </c>
      <c r="T134" s="178" t="str">
        <f>IFERROR(VLOOKUP(S134,TD!$J$33:$K$43,2,0)," ")</f>
        <v>Servicio de apoyo   logístico  en eventos operativos y/o emergencias.</v>
      </c>
      <c r="U134" s="127" t="str">
        <f>CONCATENATE(S134,"-",T134)</f>
        <v>12-Servicio de apoyo   logístico  en eventos operativos y/o emergencias.</v>
      </c>
      <c r="V134" s="173" t="s">
        <v>232</v>
      </c>
      <c r="W134" s="178" t="str">
        <f>IFERROR(VLOOKUP(V134,TD!$N$33:$O$45,2,0)," ")</f>
        <v>Servicio de atención a emergencias y desastres</v>
      </c>
      <c r="X134" s="127" t="str">
        <f>CONCATENATE(V134,"_",W134)</f>
        <v>004_Servicio de atención a emergencias y desastres</v>
      </c>
      <c r="Y134" s="127" t="str">
        <f>CONCATENATE(U134," ",X134)</f>
        <v>12-Servicio de apoyo   logístico  en eventos operativos y/o emergencias. 004_Servicio de atención a emergencias y desastres</v>
      </c>
      <c r="Z134" s="178" t="str">
        <f>CONCATENATE(P134,Q134,R134,S134,V134)</f>
        <v>O23011745032024025512004</v>
      </c>
      <c r="AA134" s="178" t="str">
        <f>IFERROR(VLOOKUP(Y134,TD!$K$46:$L$64,2,0)," ")</f>
        <v>PM/0131/0112/45030040255</v>
      </c>
      <c r="AB134" s="177" t="s">
        <v>138</v>
      </c>
      <c r="AC134" s="179" t="s">
        <v>204</v>
      </c>
    </row>
    <row r="135" spans="2:29" s="28" customFormat="1" ht="74.25" customHeight="1" x14ac:dyDescent="0.35">
      <c r="B135" s="170">
        <v>20250220</v>
      </c>
      <c r="C135" s="171" t="s">
        <v>209</v>
      </c>
      <c r="D135" s="172" t="s">
        <v>168</v>
      </c>
      <c r="E135" s="173" t="s">
        <v>692</v>
      </c>
      <c r="F135" s="172" t="s">
        <v>900</v>
      </c>
      <c r="G135" s="172" t="s">
        <v>155</v>
      </c>
      <c r="H135" s="174">
        <v>80111600</v>
      </c>
      <c r="I135" s="175">
        <v>2</v>
      </c>
      <c r="J135" s="175">
        <v>11</v>
      </c>
      <c r="K135" s="176">
        <v>0</v>
      </c>
      <c r="L135" s="177">
        <v>49500000</v>
      </c>
      <c r="M135" s="172" t="s">
        <v>484</v>
      </c>
      <c r="N135" s="177" t="s">
        <v>113</v>
      </c>
      <c r="O135" s="173" t="s">
        <v>224</v>
      </c>
      <c r="P135" s="178" t="str">
        <f>IFERROR(VLOOKUP(C135,TD!$B$32:$F$36,2,0)," ")</f>
        <v>O230117</v>
      </c>
      <c r="Q135" s="178" t="str">
        <f>IFERROR(VLOOKUP(C135,TD!$B$32:$F$36,3,0)," ")</f>
        <v>4503</v>
      </c>
      <c r="R135" s="178">
        <f>IFERROR(VLOOKUP(C135,TD!$B$32:$F$36,4,0)," ")</f>
        <v>20240255</v>
      </c>
      <c r="S135" s="173" t="s">
        <v>191</v>
      </c>
      <c r="T135" s="178" t="str">
        <f>IFERROR(VLOOKUP(S135,TD!$J$33:$K$43,2,0)," ")</f>
        <v>Servicio de apoyo   logístico  en eventos operativos y/o emergencias.</v>
      </c>
      <c r="U135" s="127" t="str">
        <f>CONCATENATE(S135,"-",T135)</f>
        <v>12-Servicio de apoyo   logístico  en eventos operativos y/o emergencias.</v>
      </c>
      <c r="V135" s="173" t="s">
        <v>232</v>
      </c>
      <c r="W135" s="178" t="str">
        <f>IFERROR(VLOOKUP(V135,TD!$N$33:$O$45,2,0)," ")</f>
        <v>Servicio de atención a emergencias y desastres</v>
      </c>
      <c r="X135" s="127" t="str">
        <f>CONCATENATE(V135,"_",W135)</f>
        <v>004_Servicio de atención a emergencias y desastres</v>
      </c>
      <c r="Y135" s="127" t="str">
        <f>CONCATENATE(U135," ",X135)</f>
        <v>12-Servicio de apoyo   logístico  en eventos operativos y/o emergencias. 004_Servicio de atención a emergencias y desastres</v>
      </c>
      <c r="Z135" s="178" t="str">
        <f>CONCATENATE(P135,Q135,R135,S135,V135)</f>
        <v>O23011745032024025512004</v>
      </c>
      <c r="AA135" s="178" t="str">
        <f>IFERROR(VLOOKUP(Y135,TD!$K$46:$L$64,2,0)," ")</f>
        <v>PM/0131/0112/45030040255</v>
      </c>
      <c r="AB135" s="177" t="s">
        <v>138</v>
      </c>
      <c r="AC135" s="179" t="s">
        <v>204</v>
      </c>
    </row>
    <row r="136" spans="2:29" s="28" customFormat="1" ht="74.25" customHeight="1" x14ac:dyDescent="0.35">
      <c r="B136" s="170">
        <v>20250221</v>
      </c>
      <c r="C136" s="171" t="s">
        <v>209</v>
      </c>
      <c r="D136" s="172" t="s">
        <v>168</v>
      </c>
      <c r="E136" s="173" t="s">
        <v>692</v>
      </c>
      <c r="F136" s="172" t="s">
        <v>901</v>
      </c>
      <c r="G136" s="172" t="s">
        <v>155</v>
      </c>
      <c r="H136" s="174">
        <v>80111600</v>
      </c>
      <c r="I136" s="175">
        <v>2</v>
      </c>
      <c r="J136" s="175">
        <v>9</v>
      </c>
      <c r="K136" s="176">
        <v>0</v>
      </c>
      <c r="L136" s="177">
        <v>49500000</v>
      </c>
      <c r="M136" s="172" t="s">
        <v>484</v>
      </c>
      <c r="N136" s="177" t="s">
        <v>113</v>
      </c>
      <c r="O136" s="173" t="s">
        <v>224</v>
      </c>
      <c r="P136" s="178" t="str">
        <f>IFERROR(VLOOKUP(C136,TD!$B$32:$F$36,2,0)," ")</f>
        <v>O230117</v>
      </c>
      <c r="Q136" s="178" t="str">
        <f>IFERROR(VLOOKUP(C136,TD!$B$32:$F$36,3,0)," ")</f>
        <v>4503</v>
      </c>
      <c r="R136" s="178">
        <f>IFERROR(VLOOKUP(C136,TD!$B$32:$F$36,4,0)," ")</f>
        <v>20240255</v>
      </c>
      <c r="S136" s="173" t="s">
        <v>191</v>
      </c>
      <c r="T136" s="178" t="str">
        <f>IFERROR(VLOOKUP(S136,TD!$J$33:$K$43,2,0)," ")</f>
        <v>Servicio de apoyo   logístico  en eventos operativos y/o emergencias.</v>
      </c>
      <c r="U136" s="127" t="str">
        <f>CONCATENATE(S136,"-",T136)</f>
        <v>12-Servicio de apoyo   logístico  en eventos operativos y/o emergencias.</v>
      </c>
      <c r="V136" s="173" t="s">
        <v>232</v>
      </c>
      <c r="W136" s="178" t="str">
        <f>IFERROR(VLOOKUP(V136,TD!$N$33:$O$45,2,0)," ")</f>
        <v>Servicio de atención a emergencias y desastres</v>
      </c>
      <c r="X136" s="127" t="str">
        <f>CONCATENATE(V136,"_",W136)</f>
        <v>004_Servicio de atención a emergencias y desastres</v>
      </c>
      <c r="Y136" s="127" t="str">
        <f>CONCATENATE(U136," ",X136)</f>
        <v>12-Servicio de apoyo   logístico  en eventos operativos y/o emergencias. 004_Servicio de atención a emergencias y desastres</v>
      </c>
      <c r="Z136" s="178" t="str">
        <f>CONCATENATE(P136,Q136,R136,S136,V136)</f>
        <v>O23011745032024025512004</v>
      </c>
      <c r="AA136" s="178" t="str">
        <f>IFERROR(VLOOKUP(Y136,TD!$K$46:$L$64,2,0)," ")</f>
        <v>PM/0131/0112/45030040255</v>
      </c>
      <c r="AB136" s="177" t="s">
        <v>138</v>
      </c>
      <c r="AC136" s="179" t="s">
        <v>204</v>
      </c>
    </row>
    <row r="137" spans="2:29" s="28" customFormat="1" ht="74.25" customHeight="1" x14ac:dyDescent="0.35">
      <c r="B137" s="170">
        <v>20250222</v>
      </c>
      <c r="C137" s="171" t="s">
        <v>209</v>
      </c>
      <c r="D137" s="172" t="s">
        <v>168</v>
      </c>
      <c r="E137" s="173" t="s">
        <v>692</v>
      </c>
      <c r="F137" s="172" t="s">
        <v>551</v>
      </c>
      <c r="G137" s="172" t="s">
        <v>155</v>
      </c>
      <c r="H137" s="174">
        <v>80111600</v>
      </c>
      <c r="I137" s="175">
        <v>2</v>
      </c>
      <c r="J137" s="175">
        <v>9</v>
      </c>
      <c r="K137" s="176">
        <v>0</v>
      </c>
      <c r="L137" s="177">
        <v>50035680</v>
      </c>
      <c r="M137" s="172" t="s">
        <v>484</v>
      </c>
      <c r="N137" s="177" t="s">
        <v>113</v>
      </c>
      <c r="O137" s="173" t="s">
        <v>224</v>
      </c>
      <c r="P137" s="178" t="str">
        <f>IFERROR(VLOOKUP(C137,TD!$B$32:$F$36,2,0)," ")</f>
        <v>O230117</v>
      </c>
      <c r="Q137" s="178" t="str">
        <f>IFERROR(VLOOKUP(C137,TD!$B$32:$F$36,3,0)," ")</f>
        <v>4503</v>
      </c>
      <c r="R137" s="178">
        <f>IFERROR(VLOOKUP(C137,TD!$B$32:$F$36,4,0)," ")</f>
        <v>20240255</v>
      </c>
      <c r="S137" s="173" t="s">
        <v>191</v>
      </c>
      <c r="T137" s="178" t="str">
        <f>IFERROR(VLOOKUP(S137,TD!$J$33:$K$43,2,0)," ")</f>
        <v>Servicio de apoyo   logístico  en eventos operativos y/o emergencias.</v>
      </c>
      <c r="U137" s="127" t="str">
        <f>CONCATENATE(S137,"-",T137)</f>
        <v>12-Servicio de apoyo   logístico  en eventos operativos y/o emergencias.</v>
      </c>
      <c r="V137" s="173" t="s">
        <v>232</v>
      </c>
      <c r="W137" s="178" t="str">
        <f>IFERROR(VLOOKUP(V137,TD!$N$33:$O$45,2,0)," ")</f>
        <v>Servicio de atención a emergencias y desastres</v>
      </c>
      <c r="X137" s="127" t="str">
        <f>CONCATENATE(V137,"_",W137)</f>
        <v>004_Servicio de atención a emergencias y desastres</v>
      </c>
      <c r="Y137" s="127" t="str">
        <f>CONCATENATE(U137," ",X137)</f>
        <v>12-Servicio de apoyo   logístico  en eventos operativos y/o emergencias. 004_Servicio de atención a emergencias y desastres</v>
      </c>
      <c r="Z137" s="178" t="str">
        <f>CONCATENATE(P137,Q137,R137,S137,V137)</f>
        <v>O23011745032024025512004</v>
      </c>
      <c r="AA137" s="178" t="str">
        <f>IFERROR(VLOOKUP(Y137,TD!$K$46:$L$64,2,0)," ")</f>
        <v>PM/0131/0112/45030040255</v>
      </c>
      <c r="AB137" s="177" t="s">
        <v>138</v>
      </c>
      <c r="AC137" s="179" t="s">
        <v>204</v>
      </c>
    </row>
    <row r="138" spans="2:29" s="28" customFormat="1" ht="74.25" customHeight="1" x14ac:dyDescent="0.35">
      <c r="B138" s="170">
        <v>20250223</v>
      </c>
      <c r="C138" s="181" t="s">
        <v>346</v>
      </c>
      <c r="D138" s="182" t="s">
        <v>168</v>
      </c>
      <c r="E138" s="183" t="s">
        <v>692</v>
      </c>
      <c r="F138" s="182" t="s">
        <v>693</v>
      </c>
      <c r="G138" s="182" t="s">
        <v>96</v>
      </c>
      <c r="H138" s="174">
        <v>78181505</v>
      </c>
      <c r="I138" s="184">
        <v>3</v>
      </c>
      <c r="J138" s="184">
        <v>3</v>
      </c>
      <c r="K138" s="185">
        <v>0</v>
      </c>
      <c r="L138" s="186">
        <v>48795000</v>
      </c>
      <c r="M138" s="182" t="s">
        <v>172</v>
      </c>
      <c r="N138" s="186" t="s">
        <v>100</v>
      </c>
      <c r="O138" s="183" t="s">
        <v>347</v>
      </c>
      <c r="P138" s="187" t="str">
        <f>IFERROR(VLOOKUP(C138,TD!$B$32:$F$36,2,0)," ")</f>
        <v>NA</v>
      </c>
      <c r="Q138" s="187" t="str">
        <f>IFERROR(VLOOKUP(C138,TD!$B$32:$F$36,3,0)," ")</f>
        <v>NA</v>
      </c>
      <c r="R138" s="187" t="str">
        <f>IFERROR(VLOOKUP(C138,TD!$B$32:$F$36,4,0)," ")</f>
        <v>NA</v>
      </c>
      <c r="S138" s="183" t="s">
        <v>409</v>
      </c>
      <c r="T138" s="178" t="str">
        <f>IFERROR(VLOOKUP(S138,TD!$J$33:$K$43,2,0)," ")</f>
        <v>N/A</v>
      </c>
      <c r="U138" s="127" t="str">
        <f>CONCATENATE(S138,"-",T138)</f>
        <v>N/A-N/A</v>
      </c>
      <c r="V138" s="173" t="s">
        <v>409</v>
      </c>
      <c r="W138" s="178" t="str">
        <f>IFERROR(VLOOKUP(V138,TD!$N$33:$O$45,2,0)," ")</f>
        <v>N/A</v>
      </c>
      <c r="X138" s="127" t="str">
        <f>CONCATENATE(V138,"_",W138)</f>
        <v>N/A_N/A</v>
      </c>
      <c r="Y138" s="127" t="str">
        <f>CONCATENATE(U138," ",X138)</f>
        <v>N/A-N/A N/A_N/A</v>
      </c>
      <c r="Z138" s="187" t="str">
        <f>CONCATENATE(P138,Q138,R138,S138,V138)</f>
        <v>NANANAN/AN/A</v>
      </c>
      <c r="AA138" s="178" t="str">
        <f>IFERROR(VLOOKUP(Y138,TD!$K$46:$L$64,2,0)," ")</f>
        <v>N/A</v>
      </c>
      <c r="AB138" s="188" t="s">
        <v>469</v>
      </c>
      <c r="AC138" s="179" t="s">
        <v>204</v>
      </c>
    </row>
    <row r="139" spans="2:29" s="28" customFormat="1" ht="74.25" customHeight="1" x14ac:dyDescent="0.35">
      <c r="B139" s="170">
        <v>20250226</v>
      </c>
      <c r="C139" s="171" t="s">
        <v>209</v>
      </c>
      <c r="D139" s="172" t="s">
        <v>167</v>
      </c>
      <c r="E139" s="173" t="s">
        <v>552</v>
      </c>
      <c r="F139" s="172" t="s">
        <v>795</v>
      </c>
      <c r="G139" s="172" t="s">
        <v>155</v>
      </c>
      <c r="H139" s="174">
        <v>80111600</v>
      </c>
      <c r="I139" s="175">
        <v>1</v>
      </c>
      <c r="J139" s="191">
        <v>10</v>
      </c>
      <c r="K139" s="192">
        <v>0</v>
      </c>
      <c r="L139" s="188">
        <v>100000000</v>
      </c>
      <c r="M139" s="172" t="s">
        <v>484</v>
      </c>
      <c r="N139" s="177" t="s">
        <v>113</v>
      </c>
      <c r="O139" s="173" t="s">
        <v>221</v>
      </c>
      <c r="P139" s="178" t="str">
        <f>IFERROR(VLOOKUP(C139,TD!$B$32:$F$36,2,0)," ")</f>
        <v>O230117</v>
      </c>
      <c r="Q139" s="178" t="str">
        <f>IFERROR(VLOOKUP(C139,TD!$B$32:$F$36,3,0)," ")</f>
        <v>4503</v>
      </c>
      <c r="R139" s="178">
        <f>IFERROR(VLOOKUP(C139,TD!$B$32:$F$36,4,0)," ")</f>
        <v>20240255</v>
      </c>
      <c r="S139" s="173" t="s">
        <v>181</v>
      </c>
      <c r="T139" s="178" t="str">
        <f>IFERROR(VLOOKUP(S139,TD!$J$33:$K$43,2,0)," ")</f>
        <v>Servicio de inspecciones técnicas realizadas</v>
      </c>
      <c r="U139" s="127" t="str">
        <f>CONCATENATE(S139,"-",T139)</f>
        <v>06-Servicio de inspecciones técnicas realizadas</v>
      </c>
      <c r="V139" s="173" t="s">
        <v>234</v>
      </c>
      <c r="W139" s="178" t="str">
        <f>IFERROR(VLOOKUP(V139,TD!$N$33:$O$45,2,0)," ")</f>
        <v>Servicio prevención y control de incendios</v>
      </c>
      <c r="X139" s="127" t="str">
        <f>CONCATENATE(V139,"_",W139)</f>
        <v>035_Servicio prevención y control de incendios</v>
      </c>
      <c r="Y139" s="127" t="str">
        <f>CONCATENATE(U139," ",X139)</f>
        <v>06-Servicio de inspecciones técnicas realizadas 035_Servicio prevención y control de incendios</v>
      </c>
      <c r="Z139" s="178" t="str">
        <f>CONCATENATE(P139,Q139,R139,S139,V139)</f>
        <v>O23011745032024025506035</v>
      </c>
      <c r="AA139" s="178" t="str">
        <f>IFERROR(VLOOKUP(Y139,TD!$K$46:$L$64,2,0)," ")</f>
        <v>PM/0131/0106/45030350255</v>
      </c>
      <c r="AB139" s="177" t="s">
        <v>138</v>
      </c>
      <c r="AC139" s="179" t="s">
        <v>204</v>
      </c>
    </row>
    <row r="140" spans="2:29" s="28" customFormat="1" ht="74.25" customHeight="1" x14ac:dyDescent="0.35">
      <c r="B140" s="170">
        <v>20250227</v>
      </c>
      <c r="C140" s="171" t="s">
        <v>209</v>
      </c>
      <c r="D140" s="172" t="s">
        <v>167</v>
      </c>
      <c r="E140" s="173" t="s">
        <v>552</v>
      </c>
      <c r="F140" s="172" t="s">
        <v>555</v>
      </c>
      <c r="G140" s="172" t="s">
        <v>155</v>
      </c>
      <c r="H140" s="174">
        <v>80111600</v>
      </c>
      <c r="I140" s="175">
        <v>1</v>
      </c>
      <c r="J140" s="191">
        <v>10</v>
      </c>
      <c r="K140" s="192">
        <v>0</v>
      </c>
      <c r="L140" s="188">
        <f>100000000-80000000</f>
        <v>20000000</v>
      </c>
      <c r="M140" s="172" t="s">
        <v>484</v>
      </c>
      <c r="N140" s="177" t="s">
        <v>113</v>
      </c>
      <c r="O140" s="173" t="s">
        <v>221</v>
      </c>
      <c r="P140" s="178" t="str">
        <f>IFERROR(VLOOKUP(C140,TD!$B$32:$F$36,2,0)," ")</f>
        <v>O230117</v>
      </c>
      <c r="Q140" s="178" t="str">
        <f>IFERROR(VLOOKUP(C140,TD!$B$32:$F$36,3,0)," ")</f>
        <v>4503</v>
      </c>
      <c r="R140" s="178">
        <f>IFERROR(VLOOKUP(C140,TD!$B$32:$F$36,4,0)," ")</f>
        <v>20240255</v>
      </c>
      <c r="S140" s="173" t="s">
        <v>179</v>
      </c>
      <c r="T140" s="178" t="str">
        <f>IFERROR(VLOOKUP(S140,TD!$J$33:$K$43,2,0)," ")</f>
        <v>Infraestructura Tecnológica   (Sistemas de Información y Tecnologia)</v>
      </c>
      <c r="U140" s="127" t="str">
        <f>CONCATENATE(S140,"-",T140)</f>
        <v>11-Infraestructura Tecnológica   (Sistemas de Información y Tecnologia)</v>
      </c>
      <c r="V140" s="173" t="s">
        <v>235</v>
      </c>
      <c r="W140" s="178" t="str">
        <f>IFERROR(VLOOKUP(V140,TD!$N$33:$O$45,2,0)," ")</f>
        <v>"Servicio de monitoreo y seguimiento para la gestión del riesgo"</v>
      </c>
      <c r="X140" s="127" t="str">
        <f>CONCATENATE(V140,"_",W140)</f>
        <v>018_"Servicio de monitoreo y seguimiento para la gestión del riesgo"</v>
      </c>
      <c r="Y140" s="127" t="str">
        <f>CONCATENATE(U140," ",X140)</f>
        <v>11-Infraestructura Tecnológica   (Sistemas de Información y Tecnologia) 018_"Servicio de monitoreo y seguimiento para la gestión del riesgo"</v>
      </c>
      <c r="Z140" s="178" t="str">
        <f>CONCATENATE(P140,Q140,R140,S140,V140)</f>
        <v>O23011745032024025511018</v>
      </c>
      <c r="AA140" s="178" t="str">
        <f>IFERROR(VLOOKUP(Y140,TD!$K$46:$L$64,2,0)," ")</f>
        <v>PM/0131/0111/45030180255</v>
      </c>
      <c r="AB140" s="177" t="s">
        <v>138</v>
      </c>
      <c r="AC140" s="179" t="s">
        <v>204</v>
      </c>
    </row>
    <row r="141" spans="2:29" s="28" customFormat="1" ht="120.75" customHeight="1" x14ac:dyDescent="0.35">
      <c r="B141" s="170">
        <v>20250228</v>
      </c>
      <c r="C141" s="171" t="s">
        <v>209</v>
      </c>
      <c r="D141" s="172" t="s">
        <v>167</v>
      </c>
      <c r="E141" s="173" t="s">
        <v>552</v>
      </c>
      <c r="F141" s="172" t="s">
        <v>556</v>
      </c>
      <c r="G141" s="172" t="s">
        <v>155</v>
      </c>
      <c r="H141" s="174">
        <v>80111600</v>
      </c>
      <c r="I141" s="175">
        <v>1</v>
      </c>
      <c r="J141" s="191">
        <v>10</v>
      </c>
      <c r="K141" s="192">
        <v>0</v>
      </c>
      <c r="L141" s="188">
        <f>100000000-50000000</f>
        <v>50000000</v>
      </c>
      <c r="M141" s="172" t="s">
        <v>484</v>
      </c>
      <c r="N141" s="177" t="s">
        <v>557</v>
      </c>
      <c r="O141" s="173" t="s">
        <v>225</v>
      </c>
      <c r="P141" s="178" t="str">
        <f>IFERROR(VLOOKUP(C141,TD!$B$32:$F$36,2,0)," ")</f>
        <v>O230117</v>
      </c>
      <c r="Q141" s="178" t="str">
        <f>IFERROR(VLOOKUP(C141,TD!$B$32:$F$36,3,0)," ")</f>
        <v>4503</v>
      </c>
      <c r="R141" s="178">
        <f>IFERROR(VLOOKUP(C141,TD!$B$32:$F$36,4,0)," ")</f>
        <v>20240255</v>
      </c>
      <c r="S141" s="173" t="s">
        <v>179</v>
      </c>
      <c r="T141" s="178" t="str">
        <f>IFERROR(VLOOKUP(S141,TD!$J$33:$K$43,2,0)," ")</f>
        <v>Infraestructura Tecnológica   (Sistemas de Información y Tecnologia)</v>
      </c>
      <c r="U141" s="127" t="str">
        <f>CONCATENATE(S141,"-",T141)</f>
        <v>11-Infraestructura Tecnológica   (Sistemas de Información y Tecnologia)</v>
      </c>
      <c r="V141" s="173" t="s">
        <v>235</v>
      </c>
      <c r="W141" s="178" t="str">
        <f>IFERROR(VLOOKUP(V141,TD!$N$33:$O$45,2,0)," ")</f>
        <v>"Servicio de monitoreo y seguimiento para la gestión del riesgo"</v>
      </c>
      <c r="X141" s="127" t="str">
        <f>CONCATENATE(V141,"_",W141)</f>
        <v>018_"Servicio de monitoreo y seguimiento para la gestión del riesgo"</v>
      </c>
      <c r="Y141" s="127" t="str">
        <f>CONCATENATE(U141," ",X141)</f>
        <v>11-Infraestructura Tecnológica   (Sistemas de Información y Tecnologia) 018_"Servicio de monitoreo y seguimiento para la gestión del riesgo"</v>
      </c>
      <c r="Z141" s="178" t="str">
        <f>CONCATENATE(P141,Q141,R141,S141,V141)</f>
        <v>O23011745032024025511018</v>
      </c>
      <c r="AA141" s="178" t="str">
        <f>IFERROR(VLOOKUP(Y141,TD!$K$46:$L$64,2,0)," ")</f>
        <v>PM/0131/0111/45030180255</v>
      </c>
      <c r="AB141" s="177" t="s">
        <v>138</v>
      </c>
      <c r="AC141" s="179" t="s">
        <v>204</v>
      </c>
    </row>
    <row r="142" spans="2:29" s="28" customFormat="1" ht="74.25" customHeight="1" x14ac:dyDescent="0.35">
      <c r="B142" s="170">
        <v>20250229</v>
      </c>
      <c r="C142" s="171" t="s">
        <v>209</v>
      </c>
      <c r="D142" s="172" t="s">
        <v>167</v>
      </c>
      <c r="E142" s="173" t="s">
        <v>552</v>
      </c>
      <c r="F142" s="172" t="s">
        <v>558</v>
      </c>
      <c r="G142" s="172" t="s">
        <v>155</v>
      </c>
      <c r="H142" s="174">
        <v>80111600</v>
      </c>
      <c r="I142" s="175">
        <v>1</v>
      </c>
      <c r="J142" s="191">
        <v>10</v>
      </c>
      <c r="K142" s="192">
        <v>0</v>
      </c>
      <c r="L142" s="188">
        <f>90000000+10000000</f>
        <v>100000000</v>
      </c>
      <c r="M142" s="172" t="s">
        <v>484</v>
      </c>
      <c r="N142" s="177" t="s">
        <v>557</v>
      </c>
      <c r="O142" s="173" t="s">
        <v>225</v>
      </c>
      <c r="P142" s="178" t="str">
        <f>IFERROR(VLOOKUP(C142,TD!$B$32:$F$36,2,0)," ")</f>
        <v>O230117</v>
      </c>
      <c r="Q142" s="178" t="str">
        <f>IFERROR(VLOOKUP(C142,TD!$B$32:$F$36,3,0)," ")</f>
        <v>4503</v>
      </c>
      <c r="R142" s="178">
        <f>IFERROR(VLOOKUP(C142,TD!$B$32:$F$36,4,0)," ")</f>
        <v>20240255</v>
      </c>
      <c r="S142" s="173" t="s">
        <v>179</v>
      </c>
      <c r="T142" s="178" t="str">
        <f>IFERROR(VLOOKUP(S142,TD!$J$33:$K$43,2,0)," ")</f>
        <v>Infraestructura Tecnológica   (Sistemas de Información y Tecnologia)</v>
      </c>
      <c r="U142" s="127" t="str">
        <f>CONCATENATE(S142,"-",T142)</f>
        <v>11-Infraestructura Tecnológica   (Sistemas de Información y Tecnologia)</v>
      </c>
      <c r="V142" s="173" t="s">
        <v>235</v>
      </c>
      <c r="W142" s="178" t="str">
        <f>IFERROR(VLOOKUP(V142,TD!$N$33:$O$45,2,0)," ")</f>
        <v>"Servicio de monitoreo y seguimiento para la gestión del riesgo"</v>
      </c>
      <c r="X142" s="127" t="str">
        <f>CONCATENATE(V142,"_",W142)</f>
        <v>018_"Servicio de monitoreo y seguimiento para la gestión del riesgo"</v>
      </c>
      <c r="Y142" s="127" t="str">
        <f>CONCATENATE(U142," ",X142)</f>
        <v>11-Infraestructura Tecnológica   (Sistemas de Información y Tecnologia) 018_"Servicio de monitoreo y seguimiento para la gestión del riesgo"</v>
      </c>
      <c r="Z142" s="178" t="str">
        <f>CONCATENATE(P142,Q142,R142,S142,V142)</f>
        <v>O23011745032024025511018</v>
      </c>
      <c r="AA142" s="178" t="str">
        <f>IFERROR(VLOOKUP(Y142,TD!$K$46:$L$64,2,0)," ")</f>
        <v>PM/0131/0111/45030180255</v>
      </c>
      <c r="AB142" s="177" t="s">
        <v>138</v>
      </c>
      <c r="AC142" s="179" t="s">
        <v>204</v>
      </c>
    </row>
    <row r="143" spans="2:29" s="28" customFormat="1" ht="74.25" customHeight="1" x14ac:dyDescent="0.35">
      <c r="B143" s="170">
        <v>20250230</v>
      </c>
      <c r="C143" s="171" t="s">
        <v>209</v>
      </c>
      <c r="D143" s="172" t="s">
        <v>167</v>
      </c>
      <c r="E143" s="173" t="s">
        <v>552</v>
      </c>
      <c r="F143" s="172" t="s">
        <v>796</v>
      </c>
      <c r="G143" s="172" t="s">
        <v>155</v>
      </c>
      <c r="H143" s="174">
        <v>80111600</v>
      </c>
      <c r="I143" s="175">
        <v>1</v>
      </c>
      <c r="J143" s="191">
        <v>10</v>
      </c>
      <c r="K143" s="192">
        <v>0</v>
      </c>
      <c r="L143" s="188">
        <v>90000000</v>
      </c>
      <c r="M143" s="172" t="s">
        <v>484</v>
      </c>
      <c r="N143" s="177" t="s">
        <v>557</v>
      </c>
      <c r="O143" s="173" t="s">
        <v>221</v>
      </c>
      <c r="P143" s="178" t="str">
        <f>IFERROR(VLOOKUP(C143,TD!$B$32:$F$36,2,0)," ")</f>
        <v>O230117</v>
      </c>
      <c r="Q143" s="178" t="str">
        <f>IFERROR(VLOOKUP(C143,TD!$B$32:$F$36,3,0)," ")</f>
        <v>4503</v>
      </c>
      <c r="R143" s="178">
        <f>IFERROR(VLOOKUP(C143,TD!$B$32:$F$36,4,0)," ")</f>
        <v>20240255</v>
      </c>
      <c r="S143" s="173" t="s">
        <v>177</v>
      </c>
      <c r="T143" s="178" t="str">
        <f>IFERROR(VLOOKUP(S143,TD!$J$33:$K$43,2,0)," ")</f>
        <v>Servicio de capacitaciones en gestión del riesgo de incendios  a la ciudadania.</v>
      </c>
      <c r="U143" s="127" t="str">
        <f>CONCATENATE(S143,"-",T143)</f>
        <v>05-Servicio de capacitaciones en gestión del riesgo de incendios  a la ciudadania.</v>
      </c>
      <c r="V143" s="173" t="s">
        <v>233</v>
      </c>
      <c r="W143" s="178" t="str">
        <f>IFERROR(VLOOKUP(V143,TD!$N$33:$O$45,2,0)," ")</f>
        <v>Servicio de educación informal</v>
      </c>
      <c r="X143" s="127" t="str">
        <f>CONCATENATE(V143,"_",W143)</f>
        <v>002_Servicio de educación informal</v>
      </c>
      <c r="Y143" s="127" t="str">
        <f>CONCATENATE(U143," ",X143)</f>
        <v>05-Servicio de capacitaciones en gestión del riesgo de incendios  a la ciudadania. 002_Servicio de educación informal</v>
      </c>
      <c r="Z143" s="178" t="str">
        <f>CONCATENATE(P143,Q143,R143,S143,V143)</f>
        <v>O23011745032024025505002</v>
      </c>
      <c r="AA143" s="178" t="str">
        <f>IFERROR(VLOOKUP(Y143,TD!$K$46:$L$64,2,0)," ")</f>
        <v>PM/0131/0105/45030020255</v>
      </c>
      <c r="AB143" s="177" t="s">
        <v>138</v>
      </c>
      <c r="AC143" s="179" t="s">
        <v>204</v>
      </c>
    </row>
    <row r="144" spans="2:29" s="28" customFormat="1" ht="74.25" customHeight="1" x14ac:dyDescent="0.35">
      <c r="B144" s="170">
        <v>20250231</v>
      </c>
      <c r="C144" s="171" t="s">
        <v>209</v>
      </c>
      <c r="D144" s="172" t="s">
        <v>167</v>
      </c>
      <c r="E144" s="173" t="s">
        <v>552</v>
      </c>
      <c r="F144" s="172" t="s">
        <v>797</v>
      </c>
      <c r="G144" s="172" t="s">
        <v>155</v>
      </c>
      <c r="H144" s="174">
        <v>80111600</v>
      </c>
      <c r="I144" s="175">
        <v>1</v>
      </c>
      <c r="J144" s="191">
        <v>10</v>
      </c>
      <c r="K144" s="192">
        <v>0</v>
      </c>
      <c r="L144" s="188">
        <v>70000000</v>
      </c>
      <c r="M144" s="172" t="s">
        <v>484</v>
      </c>
      <c r="N144" s="177" t="s">
        <v>557</v>
      </c>
      <c r="O144" s="173" t="s">
        <v>221</v>
      </c>
      <c r="P144" s="178" t="str">
        <f>IFERROR(VLOOKUP(C144,TD!$B$32:$F$36,2,0)," ")</f>
        <v>O230117</v>
      </c>
      <c r="Q144" s="178" t="str">
        <f>IFERROR(VLOOKUP(C144,TD!$B$32:$F$36,3,0)," ")</f>
        <v>4503</v>
      </c>
      <c r="R144" s="178">
        <f>IFERROR(VLOOKUP(C144,TD!$B$32:$F$36,4,0)," ")</f>
        <v>20240255</v>
      </c>
      <c r="S144" s="173" t="s">
        <v>177</v>
      </c>
      <c r="T144" s="178" t="str">
        <f>IFERROR(VLOOKUP(S144,TD!$J$33:$K$43,2,0)," ")</f>
        <v>Servicio de capacitaciones en gestión del riesgo de incendios  a la ciudadania.</v>
      </c>
      <c r="U144" s="127" t="str">
        <f>CONCATENATE(S144,"-",T144)</f>
        <v>05-Servicio de capacitaciones en gestión del riesgo de incendios  a la ciudadania.</v>
      </c>
      <c r="V144" s="173" t="s">
        <v>234</v>
      </c>
      <c r="W144" s="178" t="str">
        <f>IFERROR(VLOOKUP(V144,TD!$N$33:$O$45,2,0)," ")</f>
        <v>Servicio prevención y control de incendios</v>
      </c>
      <c r="X144" s="127" t="str">
        <f>CONCATENATE(V144,"_",W144)</f>
        <v>035_Servicio prevención y control de incendios</v>
      </c>
      <c r="Y144" s="127" t="str">
        <f>CONCATENATE(U144," ",X144)</f>
        <v>05-Servicio de capacitaciones en gestión del riesgo de incendios  a la ciudadania. 035_Servicio prevención y control de incendios</v>
      </c>
      <c r="Z144" s="178" t="str">
        <f>CONCATENATE(P144,Q144,R144,S144,V144)</f>
        <v>O23011745032024025505035</v>
      </c>
      <c r="AA144" s="178" t="str">
        <f>IFERROR(VLOOKUP(Y144,TD!$K$46:$L$64,2,0)," ")</f>
        <v>PM/0131/0105/45030350255</v>
      </c>
      <c r="AB144" s="177" t="s">
        <v>138</v>
      </c>
      <c r="AC144" s="179" t="s">
        <v>204</v>
      </c>
    </row>
    <row r="145" spans="2:30" s="28" customFormat="1" ht="74.25" customHeight="1" x14ac:dyDescent="0.35">
      <c r="B145" s="170">
        <v>20250232</v>
      </c>
      <c r="C145" s="171" t="s">
        <v>209</v>
      </c>
      <c r="D145" s="172" t="s">
        <v>167</v>
      </c>
      <c r="E145" s="173" t="s">
        <v>552</v>
      </c>
      <c r="F145" s="172" t="s">
        <v>378</v>
      </c>
      <c r="G145" s="172" t="s">
        <v>155</v>
      </c>
      <c r="H145" s="174">
        <v>80111600</v>
      </c>
      <c r="I145" s="175">
        <v>1</v>
      </c>
      <c r="J145" s="191">
        <v>10</v>
      </c>
      <c r="K145" s="192">
        <v>0</v>
      </c>
      <c r="L145" s="188">
        <v>70000000</v>
      </c>
      <c r="M145" s="172" t="s">
        <v>484</v>
      </c>
      <c r="N145" s="177" t="s">
        <v>557</v>
      </c>
      <c r="O145" s="173" t="s">
        <v>221</v>
      </c>
      <c r="P145" s="178" t="str">
        <f>IFERROR(VLOOKUP(C145,TD!$B$32:$F$36,2,0)," ")</f>
        <v>O230117</v>
      </c>
      <c r="Q145" s="178" t="str">
        <f>IFERROR(VLOOKUP(C145,TD!$B$32:$F$36,3,0)," ")</f>
        <v>4503</v>
      </c>
      <c r="R145" s="178">
        <f>IFERROR(VLOOKUP(C145,TD!$B$32:$F$36,4,0)," ")</f>
        <v>20240255</v>
      </c>
      <c r="S145" s="173" t="s">
        <v>177</v>
      </c>
      <c r="T145" s="178" t="str">
        <f>IFERROR(VLOOKUP(S145,TD!$J$33:$K$43,2,0)," ")</f>
        <v>Servicio de capacitaciones en gestión del riesgo de incendios  a la ciudadania.</v>
      </c>
      <c r="U145" s="127" t="str">
        <f>CONCATENATE(S145,"-",T145)</f>
        <v>05-Servicio de capacitaciones en gestión del riesgo de incendios  a la ciudadania.</v>
      </c>
      <c r="V145" s="173" t="s">
        <v>233</v>
      </c>
      <c r="W145" s="178" t="str">
        <f>IFERROR(VLOOKUP(V145,TD!$N$33:$O$45,2,0)," ")</f>
        <v>Servicio de educación informal</v>
      </c>
      <c r="X145" s="127" t="str">
        <f>CONCATENATE(V145,"_",W145)</f>
        <v>002_Servicio de educación informal</v>
      </c>
      <c r="Y145" s="127" t="str">
        <f>CONCATENATE(U145," ",X145)</f>
        <v>05-Servicio de capacitaciones en gestión del riesgo de incendios  a la ciudadania. 002_Servicio de educación informal</v>
      </c>
      <c r="Z145" s="178" t="str">
        <f>CONCATENATE(P145,Q145,R145,S145,V145)</f>
        <v>O23011745032024025505002</v>
      </c>
      <c r="AA145" s="178" t="str">
        <f>IFERROR(VLOOKUP(Y145,TD!$K$46:$L$64,2,0)," ")</f>
        <v>PM/0131/0105/45030020255</v>
      </c>
      <c r="AB145" s="177" t="s">
        <v>120</v>
      </c>
      <c r="AC145" s="179" t="s">
        <v>204</v>
      </c>
    </row>
    <row r="146" spans="2:30" s="28" customFormat="1" ht="74.25" customHeight="1" x14ac:dyDescent="0.35">
      <c r="B146" s="170">
        <v>20250233</v>
      </c>
      <c r="C146" s="171" t="s">
        <v>209</v>
      </c>
      <c r="D146" s="172" t="s">
        <v>167</v>
      </c>
      <c r="E146" s="173" t="s">
        <v>552</v>
      </c>
      <c r="F146" s="172" t="s">
        <v>798</v>
      </c>
      <c r="G146" s="172" t="s">
        <v>155</v>
      </c>
      <c r="H146" s="174">
        <v>80111600</v>
      </c>
      <c r="I146" s="175">
        <v>1</v>
      </c>
      <c r="J146" s="191">
        <v>10</v>
      </c>
      <c r="K146" s="192">
        <v>0</v>
      </c>
      <c r="L146" s="188">
        <v>70000000</v>
      </c>
      <c r="M146" s="172" t="s">
        <v>484</v>
      </c>
      <c r="N146" s="177" t="s">
        <v>557</v>
      </c>
      <c r="O146" s="173" t="s">
        <v>221</v>
      </c>
      <c r="P146" s="178" t="str">
        <f>IFERROR(VLOOKUP(C146,TD!$B$32:$F$36,2,0)," ")</f>
        <v>O230117</v>
      </c>
      <c r="Q146" s="178" t="str">
        <f>IFERROR(VLOOKUP(C146,TD!$B$32:$F$36,3,0)," ")</f>
        <v>4503</v>
      </c>
      <c r="R146" s="178">
        <f>IFERROR(VLOOKUP(C146,TD!$B$32:$F$36,4,0)," ")</f>
        <v>20240255</v>
      </c>
      <c r="S146" s="173" t="s">
        <v>177</v>
      </c>
      <c r="T146" s="178" t="str">
        <f>IFERROR(VLOOKUP(S146,TD!$J$33:$K$43,2,0)," ")</f>
        <v>Servicio de capacitaciones en gestión del riesgo de incendios  a la ciudadania.</v>
      </c>
      <c r="U146" s="127" t="str">
        <f>CONCATENATE(S146,"-",T146)</f>
        <v>05-Servicio de capacitaciones en gestión del riesgo de incendios  a la ciudadania.</v>
      </c>
      <c r="V146" s="173" t="s">
        <v>233</v>
      </c>
      <c r="W146" s="178" t="str">
        <f>IFERROR(VLOOKUP(V146,TD!$N$33:$O$45,2,0)," ")</f>
        <v>Servicio de educación informal</v>
      </c>
      <c r="X146" s="127" t="str">
        <f>CONCATENATE(V146,"_",W146)</f>
        <v>002_Servicio de educación informal</v>
      </c>
      <c r="Y146" s="127" t="str">
        <f>CONCATENATE(U146," ",X146)</f>
        <v>05-Servicio de capacitaciones en gestión del riesgo de incendios  a la ciudadania. 002_Servicio de educación informal</v>
      </c>
      <c r="Z146" s="178" t="str">
        <f>CONCATENATE(P146,Q146,R146,S146,V146)</f>
        <v>O23011745032024025505002</v>
      </c>
      <c r="AA146" s="178" t="str">
        <f>IFERROR(VLOOKUP(Y146,TD!$K$46:$L$64,2,0)," ")</f>
        <v>PM/0131/0105/45030020255</v>
      </c>
      <c r="AB146" s="177" t="s">
        <v>138</v>
      </c>
      <c r="AC146" s="179" t="s">
        <v>204</v>
      </c>
    </row>
    <row r="147" spans="2:30" s="28" customFormat="1" ht="74.25" customHeight="1" x14ac:dyDescent="0.35">
      <c r="B147" s="170">
        <v>20250234</v>
      </c>
      <c r="C147" s="171" t="s">
        <v>209</v>
      </c>
      <c r="D147" s="172" t="s">
        <v>167</v>
      </c>
      <c r="E147" s="173" t="s">
        <v>552</v>
      </c>
      <c r="F147" s="172" t="s">
        <v>559</v>
      </c>
      <c r="G147" s="172" t="s">
        <v>155</v>
      </c>
      <c r="H147" s="174">
        <v>80111600</v>
      </c>
      <c r="I147" s="175">
        <v>1</v>
      </c>
      <c r="J147" s="191">
        <v>10</v>
      </c>
      <c r="K147" s="192">
        <v>0</v>
      </c>
      <c r="L147" s="188">
        <f>60000000-10000000</f>
        <v>50000000</v>
      </c>
      <c r="M147" s="172" t="s">
        <v>484</v>
      </c>
      <c r="N147" s="177" t="s">
        <v>557</v>
      </c>
      <c r="O147" s="173" t="s">
        <v>221</v>
      </c>
      <c r="P147" s="178" t="str">
        <f>IFERROR(VLOOKUP(C147,TD!$B$32:$F$36,2,0)," ")</f>
        <v>O230117</v>
      </c>
      <c r="Q147" s="178" t="str">
        <f>IFERROR(VLOOKUP(C147,TD!$B$32:$F$36,3,0)," ")</f>
        <v>4503</v>
      </c>
      <c r="R147" s="178">
        <f>IFERROR(VLOOKUP(C147,TD!$B$32:$F$36,4,0)," ")</f>
        <v>20240255</v>
      </c>
      <c r="S147" s="173" t="s">
        <v>177</v>
      </c>
      <c r="T147" s="178" t="str">
        <f>IFERROR(VLOOKUP(S147,TD!$J$33:$K$43,2,0)," ")</f>
        <v>Servicio de capacitaciones en gestión del riesgo de incendios  a la ciudadania.</v>
      </c>
      <c r="U147" s="127" t="str">
        <f>CONCATENATE(S147,"-",T147)</f>
        <v>05-Servicio de capacitaciones en gestión del riesgo de incendios  a la ciudadania.</v>
      </c>
      <c r="V147" s="173" t="s">
        <v>233</v>
      </c>
      <c r="W147" s="178" t="str">
        <f>IFERROR(VLOOKUP(V147,TD!$N$33:$O$45,2,0)," ")</f>
        <v>Servicio de educación informal</v>
      </c>
      <c r="X147" s="127" t="str">
        <f>CONCATENATE(V147,"_",W147)</f>
        <v>002_Servicio de educación informal</v>
      </c>
      <c r="Y147" s="127" t="str">
        <f>CONCATENATE(U147," ",X147)</f>
        <v>05-Servicio de capacitaciones en gestión del riesgo de incendios  a la ciudadania. 002_Servicio de educación informal</v>
      </c>
      <c r="Z147" s="178" t="str">
        <f>CONCATENATE(P147,Q147,R147,S147,V147)</f>
        <v>O23011745032024025505002</v>
      </c>
      <c r="AA147" s="178" t="str">
        <f>IFERROR(VLOOKUP(Y147,TD!$K$46:$L$64,2,0)," ")</f>
        <v>PM/0131/0105/45030020255</v>
      </c>
      <c r="AB147" s="177" t="s">
        <v>120</v>
      </c>
      <c r="AC147" s="179" t="s">
        <v>204</v>
      </c>
    </row>
    <row r="148" spans="2:30" s="28" customFormat="1" ht="74.25" customHeight="1" x14ac:dyDescent="0.35">
      <c r="B148" s="170">
        <v>20250235</v>
      </c>
      <c r="C148" s="171" t="s">
        <v>209</v>
      </c>
      <c r="D148" s="172" t="s">
        <v>167</v>
      </c>
      <c r="E148" s="173" t="s">
        <v>552</v>
      </c>
      <c r="F148" s="172" t="s">
        <v>822</v>
      </c>
      <c r="G148" s="172" t="s">
        <v>155</v>
      </c>
      <c r="H148" s="174">
        <v>80111600</v>
      </c>
      <c r="I148" s="175">
        <v>1</v>
      </c>
      <c r="J148" s="191">
        <v>10</v>
      </c>
      <c r="K148" s="192">
        <v>0</v>
      </c>
      <c r="L148" s="188">
        <f>40000000+10000000</f>
        <v>50000000</v>
      </c>
      <c r="M148" s="172" t="s">
        <v>484</v>
      </c>
      <c r="N148" s="177" t="s">
        <v>557</v>
      </c>
      <c r="O148" s="173" t="s">
        <v>221</v>
      </c>
      <c r="P148" s="178" t="str">
        <f>IFERROR(VLOOKUP(C148,TD!$B$32:$F$36,2,0)," ")</f>
        <v>O230117</v>
      </c>
      <c r="Q148" s="178" t="str">
        <f>IFERROR(VLOOKUP(C148,TD!$B$32:$F$36,3,0)," ")</f>
        <v>4503</v>
      </c>
      <c r="R148" s="178">
        <f>IFERROR(VLOOKUP(C148,TD!$B$32:$F$36,4,0)," ")</f>
        <v>20240255</v>
      </c>
      <c r="S148" s="173" t="s">
        <v>177</v>
      </c>
      <c r="T148" s="178" t="str">
        <f>IFERROR(VLOOKUP(S148,TD!$J$33:$K$43,2,0)," ")</f>
        <v>Servicio de capacitaciones en gestión del riesgo de incendios  a la ciudadania.</v>
      </c>
      <c r="U148" s="127" t="str">
        <f>CONCATENATE(S148,"-",T148)</f>
        <v>05-Servicio de capacitaciones en gestión del riesgo de incendios  a la ciudadania.</v>
      </c>
      <c r="V148" s="173" t="s">
        <v>233</v>
      </c>
      <c r="W148" s="178" t="str">
        <f>IFERROR(VLOOKUP(V148,TD!$N$33:$O$45,2,0)," ")</f>
        <v>Servicio de educación informal</v>
      </c>
      <c r="X148" s="127" t="str">
        <f>CONCATENATE(V148,"_",W148)</f>
        <v>002_Servicio de educación informal</v>
      </c>
      <c r="Y148" s="127" t="str">
        <f>CONCATENATE(U148," ",X148)</f>
        <v>05-Servicio de capacitaciones en gestión del riesgo de incendios  a la ciudadania. 002_Servicio de educación informal</v>
      </c>
      <c r="Z148" s="178" t="str">
        <f>CONCATENATE(P148,Q148,R148,S148,V148)</f>
        <v>O23011745032024025505002</v>
      </c>
      <c r="AA148" s="178" t="str">
        <f>IFERROR(VLOOKUP(Y148,TD!$K$46:$L$64,2,0)," ")</f>
        <v>PM/0131/0105/45030020255</v>
      </c>
      <c r="AB148" s="177" t="s">
        <v>138</v>
      </c>
      <c r="AC148" s="179" t="s">
        <v>204</v>
      </c>
    </row>
    <row r="149" spans="2:30" s="28" customFormat="1" ht="74.25" customHeight="1" x14ac:dyDescent="0.35">
      <c r="B149" s="170">
        <v>20250237</v>
      </c>
      <c r="C149" s="171" t="s">
        <v>209</v>
      </c>
      <c r="D149" s="172" t="s">
        <v>167</v>
      </c>
      <c r="E149" s="173" t="s">
        <v>552</v>
      </c>
      <c r="F149" s="172" t="s">
        <v>561</v>
      </c>
      <c r="G149" s="172" t="s">
        <v>155</v>
      </c>
      <c r="H149" s="174">
        <v>80111600</v>
      </c>
      <c r="I149" s="175">
        <v>1</v>
      </c>
      <c r="J149" s="191">
        <v>10</v>
      </c>
      <c r="K149" s="192">
        <v>0</v>
      </c>
      <c r="L149" s="188">
        <f>55000000-15000000</f>
        <v>40000000</v>
      </c>
      <c r="M149" s="172" t="s">
        <v>484</v>
      </c>
      <c r="N149" s="177" t="s">
        <v>557</v>
      </c>
      <c r="O149" s="173" t="s">
        <v>221</v>
      </c>
      <c r="P149" s="178" t="str">
        <f>IFERROR(VLOOKUP(C149,TD!$B$32:$F$36,2,0)," ")</f>
        <v>O230117</v>
      </c>
      <c r="Q149" s="178" t="str">
        <f>IFERROR(VLOOKUP(C149,TD!$B$32:$F$36,3,0)," ")</f>
        <v>4503</v>
      </c>
      <c r="R149" s="178">
        <f>IFERROR(VLOOKUP(C149,TD!$B$32:$F$36,4,0)," ")</f>
        <v>20240255</v>
      </c>
      <c r="S149" s="173" t="s">
        <v>177</v>
      </c>
      <c r="T149" s="178" t="str">
        <f>IFERROR(VLOOKUP(S149,TD!$J$33:$K$43,2,0)," ")</f>
        <v>Servicio de capacitaciones en gestión del riesgo de incendios  a la ciudadania.</v>
      </c>
      <c r="U149" s="127" t="str">
        <f>CONCATENATE(S149,"-",T149)</f>
        <v>05-Servicio de capacitaciones en gestión del riesgo de incendios  a la ciudadania.</v>
      </c>
      <c r="V149" s="173" t="s">
        <v>233</v>
      </c>
      <c r="W149" s="178" t="str">
        <f>IFERROR(VLOOKUP(V149,TD!$N$33:$O$45,2,0)," ")</f>
        <v>Servicio de educación informal</v>
      </c>
      <c r="X149" s="127" t="str">
        <f>CONCATENATE(V149,"_",W149)</f>
        <v>002_Servicio de educación informal</v>
      </c>
      <c r="Y149" s="127" t="str">
        <f>CONCATENATE(U149," ",X149)</f>
        <v>05-Servicio de capacitaciones en gestión del riesgo de incendios  a la ciudadania. 002_Servicio de educación informal</v>
      </c>
      <c r="Z149" s="178" t="str">
        <f>CONCATENATE(P149,Q149,R149,S149,V149)</f>
        <v>O23011745032024025505002</v>
      </c>
      <c r="AA149" s="178" t="str">
        <f>IFERROR(VLOOKUP(Y149,TD!$K$46:$L$64,2,0)," ")</f>
        <v>PM/0131/0105/45030020255</v>
      </c>
      <c r="AB149" s="177" t="s">
        <v>138</v>
      </c>
      <c r="AC149" s="179" t="s">
        <v>204</v>
      </c>
    </row>
    <row r="150" spans="2:30" s="28" customFormat="1" ht="74.25" customHeight="1" x14ac:dyDescent="0.35">
      <c r="B150" s="170">
        <v>20250238</v>
      </c>
      <c r="C150" s="171" t="s">
        <v>209</v>
      </c>
      <c r="D150" s="172" t="s">
        <v>167</v>
      </c>
      <c r="E150" s="173" t="s">
        <v>552</v>
      </c>
      <c r="F150" s="172" t="s">
        <v>562</v>
      </c>
      <c r="G150" s="172" t="s">
        <v>156</v>
      </c>
      <c r="H150" s="174">
        <v>80111600</v>
      </c>
      <c r="I150" s="175">
        <v>1</v>
      </c>
      <c r="J150" s="191">
        <v>10</v>
      </c>
      <c r="K150" s="192">
        <v>0</v>
      </c>
      <c r="L150" s="188">
        <f>42000000-7000000</f>
        <v>35000000</v>
      </c>
      <c r="M150" s="172" t="s">
        <v>484</v>
      </c>
      <c r="N150" s="177" t="s">
        <v>557</v>
      </c>
      <c r="O150" s="173" t="s">
        <v>221</v>
      </c>
      <c r="P150" s="178" t="str">
        <f>IFERROR(VLOOKUP(C150,TD!$B$32:$F$36,2,0)," ")</f>
        <v>O230117</v>
      </c>
      <c r="Q150" s="178" t="str">
        <f>IFERROR(VLOOKUP(C150,TD!$B$32:$F$36,3,0)," ")</f>
        <v>4503</v>
      </c>
      <c r="R150" s="178">
        <f>IFERROR(VLOOKUP(C150,TD!$B$32:$F$36,4,0)," ")</f>
        <v>20240255</v>
      </c>
      <c r="S150" s="173" t="s">
        <v>179</v>
      </c>
      <c r="T150" s="178" t="str">
        <f>IFERROR(VLOOKUP(S150,TD!$J$33:$K$43,2,0)," ")</f>
        <v>Infraestructura Tecnológica   (Sistemas de Información y Tecnologia)</v>
      </c>
      <c r="U150" s="127" t="str">
        <f>CONCATENATE(S150,"-",T150)</f>
        <v>11-Infraestructura Tecnológica   (Sistemas de Información y Tecnologia)</v>
      </c>
      <c r="V150" s="173" t="s">
        <v>235</v>
      </c>
      <c r="W150" s="178" t="str">
        <f>IFERROR(VLOOKUP(V150,TD!$N$33:$O$45,2,0)," ")</f>
        <v>"Servicio de monitoreo y seguimiento para la gestión del riesgo"</v>
      </c>
      <c r="X150" s="127" t="str">
        <f>CONCATENATE(V150,"_",W150)</f>
        <v>018_"Servicio de monitoreo y seguimiento para la gestión del riesgo"</v>
      </c>
      <c r="Y150" s="127" t="str">
        <f>CONCATENATE(U150," ",X150)</f>
        <v>11-Infraestructura Tecnológica   (Sistemas de Información y Tecnologia) 018_"Servicio de monitoreo y seguimiento para la gestión del riesgo"</v>
      </c>
      <c r="Z150" s="178" t="str">
        <f>CONCATENATE(P150,Q150,R150,S150,V150)</f>
        <v>O23011745032024025511018</v>
      </c>
      <c r="AA150" s="178" t="str">
        <f>IFERROR(VLOOKUP(Y150,TD!$K$46:$L$64,2,0)," ")</f>
        <v>PM/0131/0111/45030180255</v>
      </c>
      <c r="AB150" s="177" t="s">
        <v>138</v>
      </c>
      <c r="AC150" s="179" t="s">
        <v>204</v>
      </c>
    </row>
    <row r="151" spans="2:30" s="28" customFormat="1" ht="74.25" customHeight="1" x14ac:dyDescent="0.35">
      <c r="B151" s="170">
        <v>20250239</v>
      </c>
      <c r="C151" s="171" t="s">
        <v>209</v>
      </c>
      <c r="D151" s="172" t="s">
        <v>167</v>
      </c>
      <c r="E151" s="173" t="s">
        <v>552</v>
      </c>
      <c r="F151" s="172" t="s">
        <v>563</v>
      </c>
      <c r="G151" s="172" t="s">
        <v>156</v>
      </c>
      <c r="H151" s="174">
        <v>80111600</v>
      </c>
      <c r="I151" s="175">
        <v>1</v>
      </c>
      <c r="J151" s="191">
        <v>10</v>
      </c>
      <c r="K151" s="192">
        <v>0</v>
      </c>
      <c r="L151" s="188">
        <f>44000000-9000000</f>
        <v>35000000</v>
      </c>
      <c r="M151" s="172" t="s">
        <v>484</v>
      </c>
      <c r="N151" s="177" t="s">
        <v>557</v>
      </c>
      <c r="O151" s="173" t="s">
        <v>221</v>
      </c>
      <c r="P151" s="178" t="str">
        <f>IFERROR(VLOOKUP(C151,TD!$B$32:$F$36,2,0)," ")</f>
        <v>O230117</v>
      </c>
      <c r="Q151" s="178" t="str">
        <f>IFERROR(VLOOKUP(C151,TD!$B$32:$F$36,3,0)," ")</f>
        <v>4503</v>
      </c>
      <c r="R151" s="178">
        <f>IFERROR(VLOOKUP(C151,TD!$B$32:$F$36,4,0)," ")</f>
        <v>20240255</v>
      </c>
      <c r="S151" s="173" t="s">
        <v>177</v>
      </c>
      <c r="T151" s="178" t="str">
        <f>IFERROR(VLOOKUP(S151,TD!$J$33:$K$43,2,0)," ")</f>
        <v>Servicio de capacitaciones en gestión del riesgo de incendios  a la ciudadania.</v>
      </c>
      <c r="U151" s="127" t="str">
        <f>CONCATENATE(S151,"-",T151)</f>
        <v>05-Servicio de capacitaciones en gestión del riesgo de incendios  a la ciudadania.</v>
      </c>
      <c r="V151" s="173" t="s">
        <v>233</v>
      </c>
      <c r="W151" s="178" t="str">
        <f>IFERROR(VLOOKUP(V151,TD!$N$33:$O$45,2,0)," ")</f>
        <v>Servicio de educación informal</v>
      </c>
      <c r="X151" s="127" t="str">
        <f>CONCATENATE(V151,"_",W151)</f>
        <v>002_Servicio de educación informal</v>
      </c>
      <c r="Y151" s="127" t="str">
        <f>CONCATENATE(U151," ",X151)</f>
        <v>05-Servicio de capacitaciones en gestión del riesgo de incendios  a la ciudadania. 002_Servicio de educación informal</v>
      </c>
      <c r="Z151" s="178" t="str">
        <f>CONCATENATE(P151,Q151,R151,S151,V151)</f>
        <v>O23011745032024025505002</v>
      </c>
      <c r="AA151" s="178" t="str">
        <f>IFERROR(VLOOKUP(Y151,TD!$K$46:$L$64,2,0)," ")</f>
        <v>PM/0131/0105/45030020255</v>
      </c>
      <c r="AB151" s="177" t="s">
        <v>138</v>
      </c>
      <c r="AC151" s="179" t="s">
        <v>204</v>
      </c>
    </row>
    <row r="152" spans="2:30" s="28" customFormat="1" ht="74.25" customHeight="1" x14ac:dyDescent="0.35">
      <c r="B152" s="170">
        <v>20250240</v>
      </c>
      <c r="C152" s="171" t="s">
        <v>209</v>
      </c>
      <c r="D152" s="172" t="s">
        <v>167</v>
      </c>
      <c r="E152" s="173" t="s">
        <v>552</v>
      </c>
      <c r="F152" s="172" t="s">
        <v>564</v>
      </c>
      <c r="G152" s="172" t="s">
        <v>155</v>
      </c>
      <c r="H152" s="174">
        <v>80111600</v>
      </c>
      <c r="I152" s="175">
        <v>1</v>
      </c>
      <c r="J152" s="191">
        <v>10</v>
      </c>
      <c r="K152" s="192">
        <v>0</v>
      </c>
      <c r="L152" s="188">
        <f>77000000+3000000</f>
        <v>80000000</v>
      </c>
      <c r="M152" s="172" t="s">
        <v>484</v>
      </c>
      <c r="N152" s="177" t="s">
        <v>557</v>
      </c>
      <c r="O152" s="173" t="s">
        <v>225</v>
      </c>
      <c r="P152" s="178" t="str">
        <f>IFERROR(VLOOKUP(C152,TD!$B$32:$F$36,2,0)," ")</f>
        <v>O230117</v>
      </c>
      <c r="Q152" s="178" t="str">
        <f>IFERROR(VLOOKUP(C152,TD!$B$32:$F$36,3,0)," ")</f>
        <v>4503</v>
      </c>
      <c r="R152" s="178">
        <f>IFERROR(VLOOKUP(C152,TD!$B$32:$F$36,4,0)," ")</f>
        <v>20240255</v>
      </c>
      <c r="S152" s="173" t="s">
        <v>179</v>
      </c>
      <c r="T152" s="178" t="str">
        <f>IFERROR(VLOOKUP(S152,TD!$J$33:$K$43,2,0)," ")</f>
        <v>Infraestructura Tecnológica   (Sistemas de Información y Tecnologia)</v>
      </c>
      <c r="U152" s="127" t="str">
        <f>CONCATENATE(S152,"-",T152)</f>
        <v>11-Infraestructura Tecnológica   (Sistemas de Información y Tecnologia)</v>
      </c>
      <c r="V152" s="173" t="s">
        <v>235</v>
      </c>
      <c r="W152" s="178" t="str">
        <f>IFERROR(VLOOKUP(V152,TD!$N$33:$O$45,2,0)," ")</f>
        <v>"Servicio de monitoreo y seguimiento para la gestión del riesgo"</v>
      </c>
      <c r="X152" s="127" t="str">
        <f>CONCATENATE(V152,"_",W152)</f>
        <v>018_"Servicio de monitoreo y seguimiento para la gestión del riesgo"</v>
      </c>
      <c r="Y152" s="127" t="str">
        <f>CONCATENATE(U152," ",X152)</f>
        <v>11-Infraestructura Tecnológica   (Sistemas de Información y Tecnologia) 018_"Servicio de monitoreo y seguimiento para la gestión del riesgo"</v>
      </c>
      <c r="Z152" s="178" t="str">
        <f>CONCATENATE(P152,Q152,R152,S152,V152)</f>
        <v>O23011745032024025511018</v>
      </c>
      <c r="AA152" s="178" t="str">
        <f>IFERROR(VLOOKUP(Y152,TD!$K$46:$L$64,2,0)," ")</f>
        <v>PM/0131/0111/45030180255</v>
      </c>
      <c r="AB152" s="177" t="s">
        <v>138</v>
      </c>
      <c r="AC152" s="179" t="s">
        <v>204</v>
      </c>
    </row>
    <row r="153" spans="2:30" s="28" customFormat="1" ht="74.25" customHeight="1" x14ac:dyDescent="0.35">
      <c r="B153" s="170">
        <v>20250241</v>
      </c>
      <c r="C153" s="171" t="s">
        <v>209</v>
      </c>
      <c r="D153" s="172" t="s">
        <v>167</v>
      </c>
      <c r="E153" s="173" t="s">
        <v>552</v>
      </c>
      <c r="F153" s="172" t="s">
        <v>564</v>
      </c>
      <c r="G153" s="172" t="s">
        <v>155</v>
      </c>
      <c r="H153" s="174">
        <v>80111600</v>
      </c>
      <c r="I153" s="175">
        <v>1</v>
      </c>
      <c r="J153" s="191">
        <v>10</v>
      </c>
      <c r="K153" s="192">
        <v>0</v>
      </c>
      <c r="L153" s="188">
        <f>77000000+3000000</f>
        <v>80000000</v>
      </c>
      <c r="M153" s="172" t="s">
        <v>484</v>
      </c>
      <c r="N153" s="177" t="s">
        <v>557</v>
      </c>
      <c r="O153" s="173" t="s">
        <v>225</v>
      </c>
      <c r="P153" s="178" t="str">
        <f>IFERROR(VLOOKUP(C153,TD!$B$32:$F$36,2,0)," ")</f>
        <v>O230117</v>
      </c>
      <c r="Q153" s="178" t="str">
        <f>IFERROR(VLOOKUP(C153,TD!$B$32:$F$36,3,0)," ")</f>
        <v>4503</v>
      </c>
      <c r="R153" s="178">
        <f>IFERROR(VLOOKUP(C153,TD!$B$32:$F$36,4,0)," ")</f>
        <v>20240255</v>
      </c>
      <c r="S153" s="173" t="s">
        <v>179</v>
      </c>
      <c r="T153" s="178" t="str">
        <f>IFERROR(VLOOKUP(S153,TD!$J$33:$K$43,2,0)," ")</f>
        <v>Infraestructura Tecnológica   (Sistemas de Información y Tecnologia)</v>
      </c>
      <c r="U153" s="127" t="str">
        <f>CONCATENATE(S153,"-",T153)</f>
        <v>11-Infraestructura Tecnológica   (Sistemas de Información y Tecnologia)</v>
      </c>
      <c r="V153" s="173" t="s">
        <v>235</v>
      </c>
      <c r="W153" s="178" t="str">
        <f>IFERROR(VLOOKUP(V153,TD!$N$33:$O$45,2,0)," ")</f>
        <v>"Servicio de monitoreo y seguimiento para la gestión del riesgo"</v>
      </c>
      <c r="X153" s="127" t="str">
        <f>CONCATENATE(V153,"_",W153)</f>
        <v>018_"Servicio de monitoreo y seguimiento para la gestión del riesgo"</v>
      </c>
      <c r="Y153" s="127" t="str">
        <f>CONCATENATE(U153," ",X153)</f>
        <v>11-Infraestructura Tecnológica   (Sistemas de Información y Tecnologia) 018_"Servicio de monitoreo y seguimiento para la gestión del riesgo"</v>
      </c>
      <c r="Z153" s="178" t="str">
        <f>CONCATENATE(P153,Q153,R153,S153,V153)</f>
        <v>O23011745032024025511018</v>
      </c>
      <c r="AA153" s="178" t="str">
        <f>IFERROR(VLOOKUP(Y153,TD!$K$46:$L$64,2,0)," ")</f>
        <v>PM/0131/0111/45030180255</v>
      </c>
      <c r="AB153" s="177" t="s">
        <v>138</v>
      </c>
      <c r="AC153" s="179" t="s">
        <v>204</v>
      </c>
    </row>
    <row r="154" spans="2:30" s="28" customFormat="1" ht="74.25" customHeight="1" x14ac:dyDescent="0.35">
      <c r="B154" s="170">
        <v>20250242</v>
      </c>
      <c r="C154" s="171" t="s">
        <v>209</v>
      </c>
      <c r="D154" s="172" t="s">
        <v>167</v>
      </c>
      <c r="E154" s="173" t="s">
        <v>552</v>
      </c>
      <c r="F154" s="172" t="s">
        <v>564</v>
      </c>
      <c r="G154" s="172" t="s">
        <v>155</v>
      </c>
      <c r="H154" s="174">
        <v>80111600</v>
      </c>
      <c r="I154" s="175">
        <v>1</v>
      </c>
      <c r="J154" s="191">
        <v>10</v>
      </c>
      <c r="K154" s="192">
        <v>0</v>
      </c>
      <c r="L154" s="188">
        <f>77000000+3000000</f>
        <v>80000000</v>
      </c>
      <c r="M154" s="172" t="s">
        <v>484</v>
      </c>
      <c r="N154" s="177" t="s">
        <v>557</v>
      </c>
      <c r="O154" s="173" t="s">
        <v>225</v>
      </c>
      <c r="P154" s="178" t="str">
        <f>IFERROR(VLOOKUP(C154,TD!$B$32:$F$36,2,0)," ")</f>
        <v>O230117</v>
      </c>
      <c r="Q154" s="178" t="str">
        <f>IFERROR(VLOOKUP(C154,TD!$B$32:$F$36,3,0)," ")</f>
        <v>4503</v>
      </c>
      <c r="R154" s="178">
        <f>IFERROR(VLOOKUP(C154,TD!$B$32:$F$36,4,0)," ")</f>
        <v>20240255</v>
      </c>
      <c r="S154" s="173" t="s">
        <v>179</v>
      </c>
      <c r="T154" s="178" t="str">
        <f>IFERROR(VLOOKUP(S154,TD!$J$33:$K$43,2,0)," ")</f>
        <v>Infraestructura Tecnológica   (Sistemas de Información y Tecnologia)</v>
      </c>
      <c r="U154" s="127" t="str">
        <f>CONCATENATE(S154,"-",T154)</f>
        <v>11-Infraestructura Tecnológica   (Sistemas de Información y Tecnologia)</v>
      </c>
      <c r="V154" s="173" t="s">
        <v>235</v>
      </c>
      <c r="W154" s="178" t="str">
        <f>IFERROR(VLOOKUP(V154,TD!$N$33:$O$45,2,0)," ")</f>
        <v>"Servicio de monitoreo y seguimiento para la gestión del riesgo"</v>
      </c>
      <c r="X154" s="127" t="str">
        <f>CONCATENATE(V154,"_",W154)</f>
        <v>018_"Servicio de monitoreo y seguimiento para la gestión del riesgo"</v>
      </c>
      <c r="Y154" s="127" t="str">
        <f>CONCATENATE(U154," ",X154)</f>
        <v>11-Infraestructura Tecnológica   (Sistemas de Información y Tecnologia) 018_"Servicio de monitoreo y seguimiento para la gestión del riesgo"</v>
      </c>
      <c r="Z154" s="178" t="str">
        <f>CONCATENATE(P154,Q154,R154,S154,V154)</f>
        <v>O23011745032024025511018</v>
      </c>
      <c r="AA154" s="178" t="str">
        <f>IFERROR(VLOOKUP(Y154,TD!$K$46:$L$64,2,0)," ")</f>
        <v>PM/0131/0111/45030180255</v>
      </c>
      <c r="AB154" s="177" t="s">
        <v>138</v>
      </c>
      <c r="AC154" s="179" t="s">
        <v>204</v>
      </c>
    </row>
    <row r="155" spans="2:30" s="28" customFormat="1" ht="74.25" customHeight="1" x14ac:dyDescent="0.35">
      <c r="B155" s="170">
        <v>20250243</v>
      </c>
      <c r="C155" s="171" t="s">
        <v>209</v>
      </c>
      <c r="D155" s="172" t="s">
        <v>167</v>
      </c>
      <c r="E155" s="173" t="s">
        <v>552</v>
      </c>
      <c r="F155" s="172" t="s">
        <v>374</v>
      </c>
      <c r="G155" s="172" t="s">
        <v>155</v>
      </c>
      <c r="H155" s="174">
        <v>80111600</v>
      </c>
      <c r="I155" s="175">
        <v>1</v>
      </c>
      <c r="J155" s="191">
        <v>10</v>
      </c>
      <c r="K155" s="192">
        <v>0</v>
      </c>
      <c r="L155" s="188">
        <f>77000000-7000000</f>
        <v>70000000</v>
      </c>
      <c r="M155" s="172" t="s">
        <v>484</v>
      </c>
      <c r="N155" s="177" t="s">
        <v>557</v>
      </c>
      <c r="O155" s="173" t="s">
        <v>221</v>
      </c>
      <c r="P155" s="178" t="str">
        <f>IFERROR(VLOOKUP(C155,TD!$B$32:$F$36,2,0)," ")</f>
        <v>O230117</v>
      </c>
      <c r="Q155" s="178" t="str">
        <f>IFERROR(VLOOKUP(C155,TD!$B$32:$F$36,3,0)," ")</f>
        <v>4503</v>
      </c>
      <c r="R155" s="178">
        <f>IFERROR(VLOOKUP(C155,TD!$B$32:$F$36,4,0)," ")</f>
        <v>20240255</v>
      </c>
      <c r="S155" s="173" t="s">
        <v>181</v>
      </c>
      <c r="T155" s="178" t="str">
        <f>IFERROR(VLOOKUP(S155,TD!$J$33:$K$43,2,0)," ")</f>
        <v>Servicio de inspecciones técnicas realizadas</v>
      </c>
      <c r="U155" s="127" t="str">
        <f>CONCATENATE(S155,"-",T155)</f>
        <v>06-Servicio de inspecciones técnicas realizadas</v>
      </c>
      <c r="V155" s="173" t="s">
        <v>234</v>
      </c>
      <c r="W155" s="178" t="str">
        <f>IFERROR(VLOOKUP(V155,TD!$N$33:$O$45,2,0)," ")</f>
        <v>Servicio prevención y control de incendios</v>
      </c>
      <c r="X155" s="127" t="str">
        <f>CONCATENATE(V155,"_",W155)</f>
        <v>035_Servicio prevención y control de incendios</v>
      </c>
      <c r="Y155" s="127" t="str">
        <f>CONCATENATE(U155," ",X155)</f>
        <v>06-Servicio de inspecciones técnicas realizadas 035_Servicio prevención y control de incendios</v>
      </c>
      <c r="Z155" s="178" t="str">
        <f>CONCATENATE(P155,Q155,R155,S155,V155)</f>
        <v>O23011745032024025506035</v>
      </c>
      <c r="AA155" s="178" t="str">
        <f>IFERROR(VLOOKUP(Y155,TD!$K$46:$L$64,2,0)," ")</f>
        <v>PM/0131/0106/45030350255</v>
      </c>
      <c r="AB155" s="177" t="s">
        <v>138</v>
      </c>
      <c r="AC155" s="179" t="s">
        <v>204</v>
      </c>
    </row>
    <row r="156" spans="2:30" s="28" customFormat="1" ht="74.25" customHeight="1" x14ac:dyDescent="0.35">
      <c r="B156" s="170">
        <v>20250244</v>
      </c>
      <c r="C156" s="171" t="s">
        <v>209</v>
      </c>
      <c r="D156" s="172" t="s">
        <v>167</v>
      </c>
      <c r="E156" s="173" t="s">
        <v>552</v>
      </c>
      <c r="F156" s="172" t="s">
        <v>374</v>
      </c>
      <c r="G156" s="172" t="s">
        <v>155</v>
      </c>
      <c r="H156" s="174">
        <v>80111600</v>
      </c>
      <c r="I156" s="175">
        <v>1</v>
      </c>
      <c r="J156" s="191">
        <v>10</v>
      </c>
      <c r="K156" s="192">
        <v>0</v>
      </c>
      <c r="L156" s="188">
        <f>55000000+15000000</f>
        <v>70000000</v>
      </c>
      <c r="M156" s="172" t="s">
        <v>484</v>
      </c>
      <c r="N156" s="177" t="s">
        <v>557</v>
      </c>
      <c r="O156" s="173" t="s">
        <v>221</v>
      </c>
      <c r="P156" s="178" t="str">
        <f>IFERROR(VLOOKUP(C156,TD!$B$32:$F$36,2,0)," ")</f>
        <v>O230117</v>
      </c>
      <c r="Q156" s="178" t="str">
        <f>IFERROR(VLOOKUP(C156,TD!$B$32:$F$36,3,0)," ")</f>
        <v>4503</v>
      </c>
      <c r="R156" s="178">
        <f>IFERROR(VLOOKUP(C156,TD!$B$32:$F$36,4,0)," ")</f>
        <v>20240255</v>
      </c>
      <c r="S156" s="173" t="s">
        <v>181</v>
      </c>
      <c r="T156" s="178" t="str">
        <f>IFERROR(VLOOKUP(S156,TD!$J$33:$K$43,2,0)," ")</f>
        <v>Servicio de inspecciones técnicas realizadas</v>
      </c>
      <c r="U156" s="127" t="str">
        <f>CONCATENATE(S156,"-",T156)</f>
        <v>06-Servicio de inspecciones técnicas realizadas</v>
      </c>
      <c r="V156" s="173" t="s">
        <v>234</v>
      </c>
      <c r="W156" s="178" t="str">
        <f>IFERROR(VLOOKUP(V156,TD!$N$33:$O$45,2,0)," ")</f>
        <v>Servicio prevención y control de incendios</v>
      </c>
      <c r="X156" s="127" t="str">
        <f>CONCATENATE(V156,"_",W156)</f>
        <v>035_Servicio prevención y control de incendios</v>
      </c>
      <c r="Y156" s="127" t="str">
        <f>CONCATENATE(U156," ",X156)</f>
        <v>06-Servicio de inspecciones técnicas realizadas 035_Servicio prevención y control de incendios</v>
      </c>
      <c r="Z156" s="178" t="str">
        <f>CONCATENATE(P156,Q156,R156,S156,V156)</f>
        <v>O23011745032024025506035</v>
      </c>
      <c r="AA156" s="178" t="str">
        <f>IFERROR(VLOOKUP(Y156,TD!$K$46:$L$64,2,0)," ")</f>
        <v>PM/0131/0106/45030350255</v>
      </c>
      <c r="AB156" s="177" t="s">
        <v>138</v>
      </c>
      <c r="AC156" s="179" t="s">
        <v>204</v>
      </c>
    </row>
    <row r="157" spans="2:30" s="28" customFormat="1" ht="74.25" customHeight="1" x14ac:dyDescent="0.35">
      <c r="B157" s="170">
        <v>20250245</v>
      </c>
      <c r="C157" s="171" t="s">
        <v>209</v>
      </c>
      <c r="D157" s="172" t="s">
        <v>167</v>
      </c>
      <c r="E157" s="173" t="s">
        <v>552</v>
      </c>
      <c r="F157" s="172" t="s">
        <v>564</v>
      </c>
      <c r="G157" s="172" t="s">
        <v>155</v>
      </c>
      <c r="H157" s="174">
        <v>80111600</v>
      </c>
      <c r="I157" s="175">
        <v>1</v>
      </c>
      <c r="J157" s="191">
        <v>10</v>
      </c>
      <c r="K157" s="192">
        <v>0</v>
      </c>
      <c r="L157" s="188">
        <f>55000000-5000000</f>
        <v>50000000</v>
      </c>
      <c r="M157" s="172" t="s">
        <v>484</v>
      </c>
      <c r="N157" s="177" t="s">
        <v>557</v>
      </c>
      <c r="O157" s="173" t="s">
        <v>225</v>
      </c>
      <c r="P157" s="178" t="str">
        <f>IFERROR(VLOOKUP(C157,TD!$B$32:$F$36,2,0)," ")</f>
        <v>O230117</v>
      </c>
      <c r="Q157" s="178" t="str">
        <f>IFERROR(VLOOKUP(C157,TD!$B$32:$F$36,3,0)," ")</f>
        <v>4503</v>
      </c>
      <c r="R157" s="178">
        <f>IFERROR(VLOOKUP(C157,TD!$B$32:$F$36,4,0)," ")</f>
        <v>20240255</v>
      </c>
      <c r="S157" s="173" t="s">
        <v>179</v>
      </c>
      <c r="T157" s="178" t="str">
        <f>IFERROR(VLOOKUP(S157,TD!$J$33:$K$43,2,0)," ")</f>
        <v>Infraestructura Tecnológica   (Sistemas de Información y Tecnologia)</v>
      </c>
      <c r="U157" s="127" t="str">
        <f>CONCATENATE(S157,"-",T157)</f>
        <v>11-Infraestructura Tecnológica   (Sistemas de Información y Tecnologia)</v>
      </c>
      <c r="V157" s="173" t="s">
        <v>235</v>
      </c>
      <c r="W157" s="178" t="str">
        <f>IFERROR(VLOOKUP(V157,TD!$N$33:$O$45,2,0)," ")</f>
        <v>"Servicio de monitoreo y seguimiento para la gestión del riesgo"</v>
      </c>
      <c r="X157" s="127" t="str">
        <f>CONCATENATE(V157,"_",W157)</f>
        <v>018_"Servicio de monitoreo y seguimiento para la gestión del riesgo"</v>
      </c>
      <c r="Y157" s="127" t="str">
        <f>CONCATENATE(U157," ",X157)</f>
        <v>11-Infraestructura Tecnológica   (Sistemas de Información y Tecnologia) 018_"Servicio de monitoreo y seguimiento para la gestión del riesgo"</v>
      </c>
      <c r="Z157" s="178" t="str">
        <f>CONCATENATE(P157,Q157,R157,S157,V157)</f>
        <v>O23011745032024025511018</v>
      </c>
      <c r="AA157" s="178" t="str">
        <f>IFERROR(VLOOKUP(Y157,TD!$K$46:$L$64,2,0)," ")</f>
        <v>PM/0131/0111/45030180255</v>
      </c>
      <c r="AB157" s="177" t="s">
        <v>138</v>
      </c>
      <c r="AC157" s="179" t="s">
        <v>204</v>
      </c>
      <c r="AD157" s="141"/>
    </row>
    <row r="158" spans="2:30" s="28" customFormat="1" ht="74.25" customHeight="1" x14ac:dyDescent="0.35">
      <c r="B158" s="170">
        <v>20250246</v>
      </c>
      <c r="C158" s="171" t="s">
        <v>209</v>
      </c>
      <c r="D158" s="172" t="s">
        <v>167</v>
      </c>
      <c r="E158" s="173" t="s">
        <v>552</v>
      </c>
      <c r="F158" s="172" t="s">
        <v>565</v>
      </c>
      <c r="G158" s="172" t="s">
        <v>155</v>
      </c>
      <c r="H158" s="174">
        <v>80111600</v>
      </c>
      <c r="I158" s="175">
        <v>1</v>
      </c>
      <c r="J158" s="191">
        <v>10</v>
      </c>
      <c r="K158" s="192">
        <v>0</v>
      </c>
      <c r="L158" s="188">
        <f>77000000-17000000</f>
        <v>60000000</v>
      </c>
      <c r="M158" s="172" t="s">
        <v>484</v>
      </c>
      <c r="N158" s="177" t="s">
        <v>557</v>
      </c>
      <c r="O158" s="173" t="s">
        <v>226</v>
      </c>
      <c r="P158" s="178" t="str">
        <f>IFERROR(VLOOKUP(C158,TD!$B$32:$F$36,2,0)," ")</f>
        <v>O230117</v>
      </c>
      <c r="Q158" s="178" t="str">
        <f>IFERROR(VLOOKUP(C158,TD!$B$32:$F$36,3,0)," ")</f>
        <v>4503</v>
      </c>
      <c r="R158" s="178">
        <f>IFERROR(VLOOKUP(C158,TD!$B$32:$F$36,4,0)," ")</f>
        <v>20240255</v>
      </c>
      <c r="S158" s="173" t="s">
        <v>179</v>
      </c>
      <c r="T158" s="178" t="str">
        <f>IFERROR(VLOOKUP(S158,TD!$J$33:$K$43,2,0)," ")</f>
        <v>Infraestructura Tecnológica   (Sistemas de Información y Tecnologia)</v>
      </c>
      <c r="U158" s="127" t="str">
        <f>CONCATENATE(S158,"-",T158)</f>
        <v>11-Infraestructura Tecnológica   (Sistemas de Información y Tecnologia)</v>
      </c>
      <c r="V158" s="173" t="s">
        <v>235</v>
      </c>
      <c r="W158" s="178" t="str">
        <f>IFERROR(VLOOKUP(V158,TD!$N$33:$O$45,2,0)," ")</f>
        <v>"Servicio de monitoreo y seguimiento para la gestión del riesgo"</v>
      </c>
      <c r="X158" s="127" t="str">
        <f>CONCATENATE(V158,"_",W158)</f>
        <v>018_"Servicio de monitoreo y seguimiento para la gestión del riesgo"</v>
      </c>
      <c r="Y158" s="127" t="str">
        <f>CONCATENATE(U158," ",X158)</f>
        <v>11-Infraestructura Tecnológica   (Sistemas de Información y Tecnologia) 018_"Servicio de monitoreo y seguimiento para la gestión del riesgo"</v>
      </c>
      <c r="Z158" s="178" t="str">
        <f>CONCATENATE(P158,Q158,R158,S158,V158)</f>
        <v>O23011745032024025511018</v>
      </c>
      <c r="AA158" s="178" t="str">
        <f>IFERROR(VLOOKUP(Y158,TD!$K$46:$L$64,2,0)," ")</f>
        <v>PM/0131/0111/45030180255</v>
      </c>
      <c r="AB158" s="177" t="s">
        <v>138</v>
      </c>
      <c r="AC158" s="179" t="s">
        <v>204</v>
      </c>
      <c r="AD158" s="141"/>
    </row>
    <row r="159" spans="2:30" s="28" customFormat="1" ht="74.25" customHeight="1" x14ac:dyDescent="0.35">
      <c r="B159" s="170">
        <v>20250247</v>
      </c>
      <c r="C159" s="171" t="s">
        <v>209</v>
      </c>
      <c r="D159" s="172" t="s">
        <v>167</v>
      </c>
      <c r="E159" s="173" t="s">
        <v>552</v>
      </c>
      <c r="F159" s="172" t="s">
        <v>565</v>
      </c>
      <c r="G159" s="172" t="s">
        <v>155</v>
      </c>
      <c r="H159" s="174">
        <v>80111600</v>
      </c>
      <c r="I159" s="175">
        <v>1</v>
      </c>
      <c r="J159" s="191">
        <v>10</v>
      </c>
      <c r="K159" s="192">
        <v>0</v>
      </c>
      <c r="L159" s="188">
        <f>77000000-27000000</f>
        <v>50000000</v>
      </c>
      <c r="M159" s="172" t="s">
        <v>484</v>
      </c>
      <c r="N159" s="177" t="s">
        <v>557</v>
      </c>
      <c r="O159" s="173" t="s">
        <v>226</v>
      </c>
      <c r="P159" s="178" t="str">
        <f>IFERROR(VLOOKUP(C159,TD!$B$32:$F$36,2,0)," ")</f>
        <v>O230117</v>
      </c>
      <c r="Q159" s="178" t="str">
        <f>IFERROR(VLOOKUP(C159,TD!$B$32:$F$36,3,0)," ")</f>
        <v>4503</v>
      </c>
      <c r="R159" s="178">
        <f>IFERROR(VLOOKUP(C159,TD!$B$32:$F$36,4,0)," ")</f>
        <v>20240255</v>
      </c>
      <c r="S159" s="173" t="s">
        <v>179</v>
      </c>
      <c r="T159" s="178" t="str">
        <f>IFERROR(VLOOKUP(S159,TD!$J$33:$K$43,2,0)," ")</f>
        <v>Infraestructura Tecnológica   (Sistemas de Información y Tecnologia)</v>
      </c>
      <c r="U159" s="127" t="str">
        <f>CONCATENATE(S159,"-",T159)</f>
        <v>11-Infraestructura Tecnológica   (Sistemas de Información y Tecnologia)</v>
      </c>
      <c r="V159" s="173" t="s">
        <v>235</v>
      </c>
      <c r="W159" s="178" t="str">
        <f>IFERROR(VLOOKUP(V159,TD!$N$33:$O$45,2,0)," ")</f>
        <v>"Servicio de monitoreo y seguimiento para la gestión del riesgo"</v>
      </c>
      <c r="X159" s="127" t="str">
        <f>CONCATENATE(V159,"_",W159)</f>
        <v>018_"Servicio de monitoreo y seguimiento para la gestión del riesgo"</v>
      </c>
      <c r="Y159" s="127" t="str">
        <f>CONCATENATE(U159," ",X159)</f>
        <v>11-Infraestructura Tecnológica   (Sistemas de Información y Tecnologia) 018_"Servicio de monitoreo y seguimiento para la gestión del riesgo"</v>
      </c>
      <c r="Z159" s="178" t="str">
        <f>CONCATENATE(P159,Q159,R159,S159,V159)</f>
        <v>O23011745032024025511018</v>
      </c>
      <c r="AA159" s="178" t="str">
        <f>IFERROR(VLOOKUP(Y159,TD!$K$46:$L$64,2,0)," ")</f>
        <v>PM/0131/0111/45030180255</v>
      </c>
      <c r="AB159" s="177" t="s">
        <v>138</v>
      </c>
      <c r="AC159" s="179" t="s">
        <v>204</v>
      </c>
      <c r="AD159" s="141"/>
    </row>
    <row r="160" spans="2:30" s="28" customFormat="1" ht="74.25" customHeight="1" x14ac:dyDescent="0.35">
      <c r="B160" s="170">
        <v>20250248</v>
      </c>
      <c r="C160" s="171" t="s">
        <v>209</v>
      </c>
      <c r="D160" s="172" t="s">
        <v>167</v>
      </c>
      <c r="E160" s="173" t="s">
        <v>552</v>
      </c>
      <c r="F160" s="172" t="s">
        <v>565</v>
      </c>
      <c r="G160" s="172" t="s">
        <v>155</v>
      </c>
      <c r="H160" s="174">
        <v>80111600</v>
      </c>
      <c r="I160" s="175">
        <v>1</v>
      </c>
      <c r="J160" s="191">
        <v>10</v>
      </c>
      <c r="K160" s="192">
        <v>0</v>
      </c>
      <c r="L160" s="188">
        <f>77000000-27000000</f>
        <v>50000000</v>
      </c>
      <c r="M160" s="172" t="s">
        <v>484</v>
      </c>
      <c r="N160" s="177" t="s">
        <v>557</v>
      </c>
      <c r="O160" s="173" t="s">
        <v>226</v>
      </c>
      <c r="P160" s="178" t="str">
        <f>IFERROR(VLOOKUP(C160,TD!$B$32:$F$36,2,0)," ")</f>
        <v>O230117</v>
      </c>
      <c r="Q160" s="178" t="str">
        <f>IFERROR(VLOOKUP(C160,TD!$B$32:$F$36,3,0)," ")</f>
        <v>4503</v>
      </c>
      <c r="R160" s="178">
        <f>IFERROR(VLOOKUP(C160,TD!$B$32:$F$36,4,0)," ")</f>
        <v>20240255</v>
      </c>
      <c r="S160" s="173" t="s">
        <v>179</v>
      </c>
      <c r="T160" s="178" t="str">
        <f>IFERROR(VLOOKUP(S160,TD!$J$33:$K$43,2,0)," ")</f>
        <v>Infraestructura Tecnológica   (Sistemas de Información y Tecnologia)</v>
      </c>
      <c r="U160" s="127" t="str">
        <f>CONCATENATE(S160,"-",T160)</f>
        <v>11-Infraestructura Tecnológica   (Sistemas de Información y Tecnologia)</v>
      </c>
      <c r="V160" s="173" t="s">
        <v>235</v>
      </c>
      <c r="W160" s="178" t="str">
        <f>IFERROR(VLOOKUP(V160,TD!$N$33:$O$45,2,0)," ")</f>
        <v>"Servicio de monitoreo y seguimiento para la gestión del riesgo"</v>
      </c>
      <c r="X160" s="127" t="str">
        <f>CONCATENATE(V160,"_",W160)</f>
        <v>018_"Servicio de monitoreo y seguimiento para la gestión del riesgo"</v>
      </c>
      <c r="Y160" s="127" t="str">
        <f>CONCATENATE(U160," ",X160)</f>
        <v>11-Infraestructura Tecnológica   (Sistemas de Información y Tecnologia) 018_"Servicio de monitoreo y seguimiento para la gestión del riesgo"</v>
      </c>
      <c r="Z160" s="178" t="str">
        <f>CONCATENATE(P160,Q160,R160,S160,V160)</f>
        <v>O23011745032024025511018</v>
      </c>
      <c r="AA160" s="178" t="str">
        <f>IFERROR(VLOOKUP(Y160,TD!$K$46:$L$64,2,0)," ")</f>
        <v>PM/0131/0111/45030180255</v>
      </c>
      <c r="AB160" s="177" t="s">
        <v>138</v>
      </c>
      <c r="AC160" s="179" t="s">
        <v>204</v>
      </c>
      <c r="AD160" s="141"/>
    </row>
    <row r="161" spans="2:29" s="28" customFormat="1" ht="74.25" customHeight="1" x14ac:dyDescent="0.35">
      <c r="B161" s="170">
        <v>20250249</v>
      </c>
      <c r="C161" s="171" t="s">
        <v>209</v>
      </c>
      <c r="D161" s="172" t="s">
        <v>167</v>
      </c>
      <c r="E161" s="173" t="s">
        <v>552</v>
      </c>
      <c r="F161" s="172" t="s">
        <v>565</v>
      </c>
      <c r="G161" s="172" t="s">
        <v>155</v>
      </c>
      <c r="H161" s="174">
        <v>80111600</v>
      </c>
      <c r="I161" s="175">
        <v>1</v>
      </c>
      <c r="J161" s="191">
        <v>10</v>
      </c>
      <c r="K161" s="192">
        <v>0</v>
      </c>
      <c r="L161" s="188">
        <f>49500000+500000</f>
        <v>50000000</v>
      </c>
      <c r="M161" s="172" t="s">
        <v>484</v>
      </c>
      <c r="N161" s="177" t="s">
        <v>557</v>
      </c>
      <c r="O161" s="173" t="s">
        <v>226</v>
      </c>
      <c r="P161" s="178" t="str">
        <f>IFERROR(VLOOKUP(C161,TD!$B$32:$F$36,2,0)," ")</f>
        <v>O230117</v>
      </c>
      <c r="Q161" s="178" t="str">
        <f>IFERROR(VLOOKUP(C161,TD!$B$32:$F$36,3,0)," ")</f>
        <v>4503</v>
      </c>
      <c r="R161" s="178">
        <f>IFERROR(VLOOKUP(C161,TD!$B$32:$F$36,4,0)," ")</f>
        <v>20240255</v>
      </c>
      <c r="S161" s="173" t="s">
        <v>179</v>
      </c>
      <c r="T161" s="178" t="str">
        <f>IFERROR(VLOOKUP(S161,TD!$J$33:$K$43,2,0)," ")</f>
        <v>Infraestructura Tecnológica   (Sistemas de Información y Tecnologia)</v>
      </c>
      <c r="U161" s="127" t="str">
        <f>CONCATENATE(S161,"-",T161)</f>
        <v>11-Infraestructura Tecnológica   (Sistemas de Información y Tecnologia)</v>
      </c>
      <c r="V161" s="173" t="s">
        <v>235</v>
      </c>
      <c r="W161" s="178" t="str">
        <f>IFERROR(VLOOKUP(V161,TD!$N$33:$O$45,2,0)," ")</f>
        <v>"Servicio de monitoreo y seguimiento para la gestión del riesgo"</v>
      </c>
      <c r="X161" s="127" t="str">
        <f>CONCATENATE(V161,"_",W161)</f>
        <v>018_"Servicio de monitoreo y seguimiento para la gestión del riesgo"</v>
      </c>
      <c r="Y161" s="127" t="str">
        <f>CONCATENATE(U161," ",X161)</f>
        <v>11-Infraestructura Tecnológica   (Sistemas de Información y Tecnologia) 018_"Servicio de monitoreo y seguimiento para la gestión del riesgo"</v>
      </c>
      <c r="Z161" s="178" t="str">
        <f>CONCATENATE(P161,Q161,R161,S161,V161)</f>
        <v>O23011745032024025511018</v>
      </c>
      <c r="AA161" s="178" t="str">
        <f>IFERROR(VLOOKUP(Y161,TD!$K$46:$L$64,2,0)," ")</f>
        <v>PM/0131/0111/45030180255</v>
      </c>
      <c r="AB161" s="177" t="s">
        <v>138</v>
      </c>
      <c r="AC161" s="179" t="s">
        <v>204</v>
      </c>
    </row>
    <row r="162" spans="2:29" s="28" customFormat="1" ht="103" customHeight="1" x14ac:dyDescent="0.35">
      <c r="B162" s="170">
        <v>20250250</v>
      </c>
      <c r="C162" s="171" t="s">
        <v>209</v>
      </c>
      <c r="D162" s="172" t="s">
        <v>167</v>
      </c>
      <c r="E162" s="173" t="s">
        <v>552</v>
      </c>
      <c r="F162" s="172" t="s">
        <v>373</v>
      </c>
      <c r="G162" s="172" t="s">
        <v>156</v>
      </c>
      <c r="H162" s="174">
        <v>80111600</v>
      </c>
      <c r="I162" s="175">
        <v>1</v>
      </c>
      <c r="J162" s="191">
        <v>10</v>
      </c>
      <c r="K162" s="192">
        <v>0</v>
      </c>
      <c r="L162" s="188">
        <f>49500000-5500000</f>
        <v>44000000</v>
      </c>
      <c r="M162" s="172" t="s">
        <v>484</v>
      </c>
      <c r="N162" s="177" t="s">
        <v>557</v>
      </c>
      <c r="O162" s="173" t="s">
        <v>221</v>
      </c>
      <c r="P162" s="178" t="str">
        <f>IFERROR(VLOOKUP(C162,TD!$B$32:$F$36,2,0)," ")</f>
        <v>O230117</v>
      </c>
      <c r="Q162" s="178" t="str">
        <f>IFERROR(VLOOKUP(C162,TD!$B$32:$F$36,3,0)," ")</f>
        <v>4503</v>
      </c>
      <c r="R162" s="178">
        <f>IFERROR(VLOOKUP(C162,TD!$B$32:$F$36,4,0)," ")</f>
        <v>20240255</v>
      </c>
      <c r="S162" s="173" t="s">
        <v>181</v>
      </c>
      <c r="T162" s="178" t="str">
        <f>IFERROR(VLOOKUP(S162,TD!$J$33:$K$43,2,0)," ")</f>
        <v>Servicio de inspecciones técnicas realizadas</v>
      </c>
      <c r="U162" s="127" t="str">
        <f>CONCATENATE(S162,"-",T162)</f>
        <v>06-Servicio de inspecciones técnicas realizadas</v>
      </c>
      <c r="V162" s="173" t="s">
        <v>234</v>
      </c>
      <c r="W162" s="178" t="str">
        <f>IFERROR(VLOOKUP(V162,TD!$N$33:$O$45,2,0)," ")</f>
        <v>Servicio prevención y control de incendios</v>
      </c>
      <c r="X162" s="127" t="str">
        <f>CONCATENATE(V162,"_",W162)</f>
        <v>035_Servicio prevención y control de incendios</v>
      </c>
      <c r="Y162" s="127" t="str">
        <f>CONCATENATE(U162," ",X162)</f>
        <v>06-Servicio de inspecciones técnicas realizadas 035_Servicio prevención y control de incendios</v>
      </c>
      <c r="Z162" s="178" t="str">
        <f>CONCATENATE(P162,Q162,R162,S162,V162)</f>
        <v>O23011745032024025506035</v>
      </c>
      <c r="AA162" s="178" t="str">
        <f>IFERROR(VLOOKUP(Y162,TD!$K$46:$L$64,2,0)," ")</f>
        <v>PM/0131/0106/45030350255</v>
      </c>
      <c r="AB162" s="177" t="s">
        <v>138</v>
      </c>
      <c r="AC162" s="179" t="s">
        <v>204</v>
      </c>
    </row>
    <row r="163" spans="2:29" s="28" customFormat="1" ht="74.25" customHeight="1" x14ac:dyDescent="0.35">
      <c r="B163" s="170">
        <v>20250251</v>
      </c>
      <c r="C163" s="171" t="s">
        <v>209</v>
      </c>
      <c r="D163" s="172" t="s">
        <v>167</v>
      </c>
      <c r="E163" s="173" t="s">
        <v>552</v>
      </c>
      <c r="F163" s="172" t="s">
        <v>799</v>
      </c>
      <c r="G163" s="172" t="s">
        <v>155</v>
      </c>
      <c r="H163" s="174">
        <v>80111600</v>
      </c>
      <c r="I163" s="175">
        <v>1</v>
      </c>
      <c r="J163" s="191">
        <v>10</v>
      </c>
      <c r="K163" s="192">
        <v>0</v>
      </c>
      <c r="L163" s="188">
        <f>55000000+35000000</f>
        <v>90000000</v>
      </c>
      <c r="M163" s="172" t="s">
        <v>484</v>
      </c>
      <c r="N163" s="177" t="s">
        <v>557</v>
      </c>
      <c r="O163" s="173" t="s">
        <v>226</v>
      </c>
      <c r="P163" s="178" t="str">
        <f>IFERROR(VLOOKUP(C163,TD!$B$32:$F$36,2,0)," ")</f>
        <v>O230117</v>
      </c>
      <c r="Q163" s="178" t="str">
        <f>IFERROR(VLOOKUP(C163,TD!$B$32:$F$36,3,0)," ")</f>
        <v>4503</v>
      </c>
      <c r="R163" s="178">
        <f>IFERROR(VLOOKUP(C163,TD!$B$32:$F$36,4,0)," ")</f>
        <v>20240255</v>
      </c>
      <c r="S163" s="173" t="s">
        <v>179</v>
      </c>
      <c r="T163" s="178" t="str">
        <f>IFERROR(VLOOKUP(S163,TD!$J$33:$K$43,2,0)," ")</f>
        <v>Infraestructura Tecnológica   (Sistemas de Información y Tecnologia)</v>
      </c>
      <c r="U163" s="127" t="str">
        <f>CONCATENATE(S163,"-",T163)</f>
        <v>11-Infraestructura Tecnológica   (Sistemas de Información y Tecnologia)</v>
      </c>
      <c r="V163" s="173" t="s">
        <v>235</v>
      </c>
      <c r="W163" s="178" t="str">
        <f>IFERROR(VLOOKUP(V163,TD!$N$33:$O$45,2,0)," ")</f>
        <v>"Servicio de monitoreo y seguimiento para la gestión del riesgo"</v>
      </c>
      <c r="X163" s="127" t="str">
        <f>CONCATENATE(V163,"_",W163)</f>
        <v>018_"Servicio de monitoreo y seguimiento para la gestión del riesgo"</v>
      </c>
      <c r="Y163" s="127" t="str">
        <f>CONCATENATE(U163," ",X163)</f>
        <v>11-Infraestructura Tecnológica   (Sistemas de Información y Tecnologia) 018_"Servicio de monitoreo y seguimiento para la gestión del riesgo"</v>
      </c>
      <c r="Z163" s="178" t="str">
        <f>CONCATENATE(P163,Q163,R163,S163,V163)</f>
        <v>O23011745032024025511018</v>
      </c>
      <c r="AA163" s="178" t="str">
        <f>IFERROR(VLOOKUP(Y163,TD!$K$46:$L$64,2,0)," ")</f>
        <v>PM/0131/0111/45030180255</v>
      </c>
      <c r="AB163" s="177" t="s">
        <v>138</v>
      </c>
      <c r="AC163" s="179" t="s">
        <v>204</v>
      </c>
    </row>
    <row r="164" spans="2:29" s="28" customFormat="1" ht="74.25" customHeight="1" x14ac:dyDescent="0.35">
      <c r="B164" s="170">
        <v>20250252</v>
      </c>
      <c r="C164" s="171" t="s">
        <v>209</v>
      </c>
      <c r="D164" s="172" t="s">
        <v>167</v>
      </c>
      <c r="E164" s="173" t="s">
        <v>552</v>
      </c>
      <c r="F164" s="172" t="s">
        <v>566</v>
      </c>
      <c r="G164" s="172" t="s">
        <v>155</v>
      </c>
      <c r="H164" s="174">
        <v>80111600</v>
      </c>
      <c r="I164" s="175">
        <v>1</v>
      </c>
      <c r="J164" s="191">
        <v>10</v>
      </c>
      <c r="K164" s="192">
        <v>0</v>
      </c>
      <c r="L164" s="188">
        <f>30000000+20000000</f>
        <v>50000000</v>
      </c>
      <c r="M164" s="172" t="s">
        <v>484</v>
      </c>
      <c r="N164" s="177" t="s">
        <v>557</v>
      </c>
      <c r="O164" s="173" t="s">
        <v>226</v>
      </c>
      <c r="P164" s="178" t="str">
        <f>IFERROR(VLOOKUP(C164,TD!$B$32:$F$36,2,0)," ")</f>
        <v>O230117</v>
      </c>
      <c r="Q164" s="178" t="str">
        <f>IFERROR(VLOOKUP(C164,TD!$B$32:$F$36,3,0)," ")</f>
        <v>4503</v>
      </c>
      <c r="R164" s="178">
        <f>IFERROR(VLOOKUP(C164,TD!$B$32:$F$36,4,0)," ")</f>
        <v>20240255</v>
      </c>
      <c r="S164" s="173" t="s">
        <v>179</v>
      </c>
      <c r="T164" s="178" t="str">
        <f>IFERROR(VLOOKUP(S164,TD!$J$33:$K$43,2,0)," ")</f>
        <v>Infraestructura Tecnológica   (Sistemas de Información y Tecnologia)</v>
      </c>
      <c r="U164" s="127" t="str">
        <f>CONCATENATE(S164,"-",T164)</f>
        <v>11-Infraestructura Tecnológica   (Sistemas de Información y Tecnologia)</v>
      </c>
      <c r="V164" s="173" t="s">
        <v>235</v>
      </c>
      <c r="W164" s="178" t="str">
        <f>IFERROR(VLOOKUP(V164,TD!$N$33:$O$45,2,0)," ")</f>
        <v>"Servicio de monitoreo y seguimiento para la gestión del riesgo"</v>
      </c>
      <c r="X164" s="127" t="str">
        <f>CONCATENATE(V164,"_",W164)</f>
        <v>018_"Servicio de monitoreo y seguimiento para la gestión del riesgo"</v>
      </c>
      <c r="Y164" s="127" t="str">
        <f>CONCATENATE(U164," ",X164)</f>
        <v>11-Infraestructura Tecnológica   (Sistemas de Información y Tecnologia) 018_"Servicio de monitoreo y seguimiento para la gestión del riesgo"</v>
      </c>
      <c r="Z164" s="178" t="str">
        <f>CONCATENATE(P164,Q164,R164,S164,V164)</f>
        <v>O23011745032024025511018</v>
      </c>
      <c r="AA164" s="178" t="str">
        <f>IFERROR(VLOOKUP(Y164,TD!$K$46:$L$64,2,0)," ")</f>
        <v>PM/0131/0111/45030180255</v>
      </c>
      <c r="AB164" s="177" t="s">
        <v>138</v>
      </c>
      <c r="AC164" s="179" t="s">
        <v>204</v>
      </c>
    </row>
    <row r="165" spans="2:29" s="28" customFormat="1" ht="74.25" customHeight="1" x14ac:dyDescent="0.35">
      <c r="B165" s="170">
        <v>20250253</v>
      </c>
      <c r="C165" s="171" t="s">
        <v>209</v>
      </c>
      <c r="D165" s="172" t="s">
        <v>167</v>
      </c>
      <c r="E165" s="173" t="s">
        <v>552</v>
      </c>
      <c r="F165" s="172" t="s">
        <v>566</v>
      </c>
      <c r="G165" s="172" t="s">
        <v>155</v>
      </c>
      <c r="H165" s="174">
        <v>80111600</v>
      </c>
      <c r="I165" s="175">
        <v>1</v>
      </c>
      <c r="J165" s="191">
        <v>10</v>
      </c>
      <c r="K165" s="192">
        <v>0</v>
      </c>
      <c r="L165" s="188">
        <f>33000000+7000000</f>
        <v>40000000</v>
      </c>
      <c r="M165" s="172" t="s">
        <v>484</v>
      </c>
      <c r="N165" s="177" t="s">
        <v>557</v>
      </c>
      <c r="O165" s="173" t="s">
        <v>226</v>
      </c>
      <c r="P165" s="178" t="str">
        <f>IFERROR(VLOOKUP(C165,TD!$B$32:$F$36,2,0)," ")</f>
        <v>O230117</v>
      </c>
      <c r="Q165" s="178" t="str">
        <f>IFERROR(VLOOKUP(C165,TD!$B$32:$F$36,3,0)," ")</f>
        <v>4503</v>
      </c>
      <c r="R165" s="178">
        <f>IFERROR(VLOOKUP(C165,TD!$B$32:$F$36,4,0)," ")</f>
        <v>20240255</v>
      </c>
      <c r="S165" s="173" t="s">
        <v>179</v>
      </c>
      <c r="T165" s="178" t="str">
        <f>IFERROR(VLOOKUP(S165,TD!$J$33:$K$43,2,0)," ")</f>
        <v>Infraestructura Tecnológica   (Sistemas de Información y Tecnologia)</v>
      </c>
      <c r="U165" s="127" t="str">
        <f>CONCATENATE(S165,"-",T165)</f>
        <v>11-Infraestructura Tecnológica   (Sistemas de Información y Tecnologia)</v>
      </c>
      <c r="V165" s="173" t="s">
        <v>235</v>
      </c>
      <c r="W165" s="178" t="str">
        <f>IFERROR(VLOOKUP(V165,TD!$N$33:$O$45,2,0)," ")</f>
        <v>"Servicio de monitoreo y seguimiento para la gestión del riesgo"</v>
      </c>
      <c r="X165" s="127" t="str">
        <f>CONCATENATE(V165,"_",W165)</f>
        <v>018_"Servicio de monitoreo y seguimiento para la gestión del riesgo"</v>
      </c>
      <c r="Y165" s="127" t="str">
        <f>CONCATENATE(U165," ",X165)</f>
        <v>11-Infraestructura Tecnológica   (Sistemas de Información y Tecnologia) 018_"Servicio de monitoreo y seguimiento para la gestión del riesgo"</v>
      </c>
      <c r="Z165" s="178" t="str">
        <f>CONCATENATE(P165,Q165,R165,S165,V165)</f>
        <v>O23011745032024025511018</v>
      </c>
      <c r="AA165" s="178" t="str">
        <f>IFERROR(VLOOKUP(Y165,TD!$K$46:$L$64,2,0)," ")</f>
        <v>PM/0131/0111/45030180255</v>
      </c>
      <c r="AB165" s="177" t="s">
        <v>138</v>
      </c>
      <c r="AC165" s="179" t="s">
        <v>204</v>
      </c>
    </row>
    <row r="166" spans="2:29" s="28" customFormat="1" ht="74.25" customHeight="1" x14ac:dyDescent="0.35">
      <c r="B166" s="170">
        <v>20250254</v>
      </c>
      <c r="C166" s="171" t="s">
        <v>209</v>
      </c>
      <c r="D166" s="172" t="s">
        <v>167</v>
      </c>
      <c r="E166" s="173" t="s">
        <v>552</v>
      </c>
      <c r="F166" s="172" t="s">
        <v>566</v>
      </c>
      <c r="G166" s="172" t="s">
        <v>155</v>
      </c>
      <c r="H166" s="174">
        <v>80111600</v>
      </c>
      <c r="I166" s="175">
        <v>1</v>
      </c>
      <c r="J166" s="191">
        <v>10</v>
      </c>
      <c r="K166" s="192">
        <v>0</v>
      </c>
      <c r="L166" s="188">
        <f>33000000+7000000</f>
        <v>40000000</v>
      </c>
      <c r="M166" s="172" t="s">
        <v>484</v>
      </c>
      <c r="N166" s="177" t="s">
        <v>557</v>
      </c>
      <c r="O166" s="173" t="s">
        <v>226</v>
      </c>
      <c r="P166" s="178" t="str">
        <f>IFERROR(VLOOKUP(C166,TD!$B$32:$F$36,2,0)," ")</f>
        <v>O230117</v>
      </c>
      <c r="Q166" s="178" t="str">
        <f>IFERROR(VLOOKUP(C166,TD!$B$32:$F$36,3,0)," ")</f>
        <v>4503</v>
      </c>
      <c r="R166" s="178">
        <f>IFERROR(VLOOKUP(C166,TD!$B$32:$F$36,4,0)," ")</f>
        <v>20240255</v>
      </c>
      <c r="S166" s="173" t="s">
        <v>179</v>
      </c>
      <c r="T166" s="178" t="str">
        <f>IFERROR(VLOOKUP(S166,TD!$J$33:$K$43,2,0)," ")</f>
        <v>Infraestructura Tecnológica   (Sistemas de Información y Tecnologia)</v>
      </c>
      <c r="U166" s="127" t="str">
        <f>CONCATENATE(S166,"-",T166)</f>
        <v>11-Infraestructura Tecnológica   (Sistemas de Información y Tecnologia)</v>
      </c>
      <c r="V166" s="173" t="s">
        <v>235</v>
      </c>
      <c r="W166" s="178" t="str">
        <f>IFERROR(VLOOKUP(V166,TD!$N$33:$O$45,2,0)," ")</f>
        <v>"Servicio de monitoreo y seguimiento para la gestión del riesgo"</v>
      </c>
      <c r="X166" s="127" t="str">
        <f>CONCATENATE(V166,"_",W166)</f>
        <v>018_"Servicio de monitoreo y seguimiento para la gestión del riesgo"</v>
      </c>
      <c r="Y166" s="127" t="str">
        <f>CONCATENATE(U166," ",X166)</f>
        <v>11-Infraestructura Tecnológica   (Sistemas de Información y Tecnologia) 018_"Servicio de monitoreo y seguimiento para la gestión del riesgo"</v>
      </c>
      <c r="Z166" s="178" t="str">
        <f>CONCATENATE(P166,Q166,R166,S166,V166)</f>
        <v>O23011745032024025511018</v>
      </c>
      <c r="AA166" s="178" t="str">
        <f>IFERROR(VLOOKUP(Y166,TD!$K$46:$L$64,2,0)," ")</f>
        <v>PM/0131/0111/45030180255</v>
      </c>
      <c r="AB166" s="177" t="s">
        <v>138</v>
      </c>
      <c r="AC166" s="179" t="s">
        <v>204</v>
      </c>
    </row>
    <row r="167" spans="2:29" s="28" customFormat="1" ht="74.25" customHeight="1" x14ac:dyDescent="0.35">
      <c r="B167" s="170">
        <v>20250255</v>
      </c>
      <c r="C167" s="171" t="s">
        <v>209</v>
      </c>
      <c r="D167" s="172" t="s">
        <v>167</v>
      </c>
      <c r="E167" s="173" t="s">
        <v>552</v>
      </c>
      <c r="F167" s="172" t="s">
        <v>566</v>
      </c>
      <c r="G167" s="172" t="s">
        <v>155</v>
      </c>
      <c r="H167" s="174">
        <v>80111600</v>
      </c>
      <c r="I167" s="175">
        <v>1</v>
      </c>
      <c r="J167" s="191">
        <v>10</v>
      </c>
      <c r="K167" s="192">
        <v>0</v>
      </c>
      <c r="L167" s="188">
        <f>33000000+7000000</f>
        <v>40000000</v>
      </c>
      <c r="M167" s="172" t="s">
        <v>484</v>
      </c>
      <c r="N167" s="177" t="s">
        <v>557</v>
      </c>
      <c r="O167" s="173" t="s">
        <v>226</v>
      </c>
      <c r="P167" s="178" t="str">
        <f>IFERROR(VLOOKUP(C167,TD!$B$32:$F$36,2,0)," ")</f>
        <v>O230117</v>
      </c>
      <c r="Q167" s="178" t="str">
        <f>IFERROR(VLOOKUP(C167,TD!$B$32:$F$36,3,0)," ")</f>
        <v>4503</v>
      </c>
      <c r="R167" s="178">
        <f>IFERROR(VLOOKUP(C167,TD!$B$32:$F$36,4,0)," ")</f>
        <v>20240255</v>
      </c>
      <c r="S167" s="173" t="s">
        <v>179</v>
      </c>
      <c r="T167" s="178" t="str">
        <f>IFERROR(VLOOKUP(S167,TD!$J$33:$K$43,2,0)," ")</f>
        <v>Infraestructura Tecnológica   (Sistemas de Información y Tecnologia)</v>
      </c>
      <c r="U167" s="127" t="str">
        <f>CONCATENATE(S167,"-",T167)</f>
        <v>11-Infraestructura Tecnológica   (Sistemas de Información y Tecnologia)</v>
      </c>
      <c r="V167" s="173" t="s">
        <v>235</v>
      </c>
      <c r="W167" s="178" t="str">
        <f>IFERROR(VLOOKUP(V167,TD!$N$33:$O$45,2,0)," ")</f>
        <v>"Servicio de monitoreo y seguimiento para la gestión del riesgo"</v>
      </c>
      <c r="X167" s="127" t="str">
        <f>CONCATENATE(V167,"_",W167)</f>
        <v>018_"Servicio de monitoreo y seguimiento para la gestión del riesgo"</v>
      </c>
      <c r="Y167" s="127" t="str">
        <f>CONCATENATE(U167," ",X167)</f>
        <v>11-Infraestructura Tecnológica   (Sistemas de Información y Tecnologia) 018_"Servicio de monitoreo y seguimiento para la gestión del riesgo"</v>
      </c>
      <c r="Z167" s="178" t="str">
        <f>CONCATENATE(P167,Q167,R167,S167,V167)</f>
        <v>O23011745032024025511018</v>
      </c>
      <c r="AA167" s="178" t="str">
        <f>IFERROR(VLOOKUP(Y167,TD!$K$46:$L$64,2,0)," ")</f>
        <v>PM/0131/0111/45030180255</v>
      </c>
      <c r="AB167" s="177" t="s">
        <v>138</v>
      </c>
      <c r="AC167" s="179" t="s">
        <v>204</v>
      </c>
    </row>
    <row r="168" spans="2:29" s="28" customFormat="1" ht="74.25" customHeight="1" x14ac:dyDescent="0.35">
      <c r="B168" s="170">
        <v>20250256</v>
      </c>
      <c r="C168" s="171" t="s">
        <v>209</v>
      </c>
      <c r="D168" s="172" t="s">
        <v>167</v>
      </c>
      <c r="E168" s="173" t="s">
        <v>552</v>
      </c>
      <c r="F168" s="172" t="s">
        <v>566</v>
      </c>
      <c r="G168" s="172" t="s">
        <v>155</v>
      </c>
      <c r="H168" s="174">
        <v>80111600</v>
      </c>
      <c r="I168" s="175">
        <v>1</v>
      </c>
      <c r="J168" s="191">
        <v>10</v>
      </c>
      <c r="K168" s="192">
        <v>0</v>
      </c>
      <c r="L168" s="188">
        <f>33000000+7000000</f>
        <v>40000000</v>
      </c>
      <c r="M168" s="172" t="s">
        <v>484</v>
      </c>
      <c r="N168" s="177" t="s">
        <v>557</v>
      </c>
      <c r="O168" s="173" t="s">
        <v>226</v>
      </c>
      <c r="P168" s="178" t="str">
        <f>IFERROR(VLOOKUP(C168,TD!$B$32:$F$36,2,0)," ")</f>
        <v>O230117</v>
      </c>
      <c r="Q168" s="178" t="str">
        <f>IFERROR(VLOOKUP(C168,TD!$B$32:$F$36,3,0)," ")</f>
        <v>4503</v>
      </c>
      <c r="R168" s="178">
        <f>IFERROR(VLOOKUP(C168,TD!$B$32:$F$36,4,0)," ")</f>
        <v>20240255</v>
      </c>
      <c r="S168" s="173" t="s">
        <v>179</v>
      </c>
      <c r="T168" s="178" t="str">
        <f>IFERROR(VLOOKUP(S168,TD!$J$33:$K$43,2,0)," ")</f>
        <v>Infraestructura Tecnológica   (Sistemas de Información y Tecnologia)</v>
      </c>
      <c r="U168" s="127" t="str">
        <f>CONCATENATE(S168,"-",T168)</f>
        <v>11-Infraestructura Tecnológica   (Sistemas de Información y Tecnologia)</v>
      </c>
      <c r="V168" s="173" t="s">
        <v>235</v>
      </c>
      <c r="W168" s="178" t="str">
        <f>IFERROR(VLOOKUP(V168,TD!$N$33:$O$45,2,0)," ")</f>
        <v>"Servicio de monitoreo y seguimiento para la gestión del riesgo"</v>
      </c>
      <c r="X168" s="127" t="str">
        <f>CONCATENATE(V168,"_",W168)</f>
        <v>018_"Servicio de monitoreo y seguimiento para la gestión del riesgo"</v>
      </c>
      <c r="Y168" s="127" t="str">
        <f>CONCATENATE(U168," ",X168)</f>
        <v>11-Infraestructura Tecnológica   (Sistemas de Información y Tecnologia) 018_"Servicio de monitoreo y seguimiento para la gestión del riesgo"</v>
      </c>
      <c r="Z168" s="178" t="str">
        <f>CONCATENATE(P168,Q168,R168,S168,V168)</f>
        <v>O23011745032024025511018</v>
      </c>
      <c r="AA168" s="178" t="str">
        <f>IFERROR(VLOOKUP(Y168,TD!$K$46:$L$64,2,0)," ")</f>
        <v>PM/0131/0111/45030180255</v>
      </c>
      <c r="AB168" s="177" t="s">
        <v>138</v>
      </c>
      <c r="AC168" s="179" t="s">
        <v>204</v>
      </c>
    </row>
    <row r="169" spans="2:29" s="28" customFormat="1" ht="74.25" customHeight="1" x14ac:dyDescent="0.35">
      <c r="B169" s="170">
        <v>20250257</v>
      </c>
      <c r="C169" s="171" t="s">
        <v>209</v>
      </c>
      <c r="D169" s="172" t="s">
        <v>167</v>
      </c>
      <c r="E169" s="173" t="s">
        <v>552</v>
      </c>
      <c r="F169" s="172" t="s">
        <v>566</v>
      </c>
      <c r="G169" s="172" t="s">
        <v>155</v>
      </c>
      <c r="H169" s="174">
        <v>80111600</v>
      </c>
      <c r="I169" s="175">
        <v>1</v>
      </c>
      <c r="J169" s="191">
        <v>10</v>
      </c>
      <c r="K169" s="192">
        <v>0</v>
      </c>
      <c r="L169" s="188">
        <f>33000000+7000000</f>
        <v>40000000</v>
      </c>
      <c r="M169" s="172" t="s">
        <v>484</v>
      </c>
      <c r="N169" s="177" t="s">
        <v>557</v>
      </c>
      <c r="O169" s="173" t="s">
        <v>226</v>
      </c>
      <c r="P169" s="178" t="str">
        <f>IFERROR(VLOOKUP(C169,TD!$B$32:$F$36,2,0)," ")</f>
        <v>O230117</v>
      </c>
      <c r="Q169" s="178" t="str">
        <f>IFERROR(VLOOKUP(C169,TD!$B$32:$F$36,3,0)," ")</f>
        <v>4503</v>
      </c>
      <c r="R169" s="178">
        <f>IFERROR(VLOOKUP(C169,TD!$B$32:$F$36,4,0)," ")</f>
        <v>20240255</v>
      </c>
      <c r="S169" s="173" t="s">
        <v>179</v>
      </c>
      <c r="T169" s="178" t="str">
        <f>IFERROR(VLOOKUP(S169,TD!$J$33:$K$43,2,0)," ")</f>
        <v>Infraestructura Tecnológica   (Sistemas de Información y Tecnologia)</v>
      </c>
      <c r="U169" s="127" t="str">
        <f>CONCATENATE(S169,"-",T169)</f>
        <v>11-Infraestructura Tecnológica   (Sistemas de Información y Tecnologia)</v>
      </c>
      <c r="V169" s="173" t="s">
        <v>235</v>
      </c>
      <c r="W169" s="178" t="str">
        <f>IFERROR(VLOOKUP(V169,TD!$N$33:$O$45,2,0)," ")</f>
        <v>"Servicio de monitoreo y seguimiento para la gestión del riesgo"</v>
      </c>
      <c r="X169" s="127" t="str">
        <f>CONCATENATE(V169,"_",W169)</f>
        <v>018_"Servicio de monitoreo y seguimiento para la gestión del riesgo"</v>
      </c>
      <c r="Y169" s="127" t="str">
        <f>CONCATENATE(U169," ",X169)</f>
        <v>11-Infraestructura Tecnológica   (Sistemas de Información y Tecnologia) 018_"Servicio de monitoreo y seguimiento para la gestión del riesgo"</v>
      </c>
      <c r="Z169" s="178" t="str">
        <f>CONCATENATE(P169,Q169,R169,S169,V169)</f>
        <v>O23011745032024025511018</v>
      </c>
      <c r="AA169" s="178" t="str">
        <f>IFERROR(VLOOKUP(Y169,TD!$K$46:$L$64,2,0)," ")</f>
        <v>PM/0131/0111/45030180255</v>
      </c>
      <c r="AB169" s="177" t="s">
        <v>138</v>
      </c>
      <c r="AC169" s="179" t="s">
        <v>204</v>
      </c>
    </row>
    <row r="170" spans="2:29" s="28" customFormat="1" ht="74.25" customHeight="1" x14ac:dyDescent="0.35">
      <c r="B170" s="170">
        <v>20250258</v>
      </c>
      <c r="C170" s="171" t="s">
        <v>209</v>
      </c>
      <c r="D170" s="172" t="s">
        <v>167</v>
      </c>
      <c r="E170" s="173" t="s">
        <v>552</v>
      </c>
      <c r="F170" s="172" t="s">
        <v>566</v>
      </c>
      <c r="G170" s="172" t="s">
        <v>155</v>
      </c>
      <c r="H170" s="174">
        <v>80111600</v>
      </c>
      <c r="I170" s="175">
        <v>1</v>
      </c>
      <c r="J170" s="191">
        <v>10</v>
      </c>
      <c r="K170" s="192">
        <v>0</v>
      </c>
      <c r="L170" s="188">
        <f>33000000+7000000</f>
        <v>40000000</v>
      </c>
      <c r="M170" s="172" t="s">
        <v>484</v>
      </c>
      <c r="N170" s="177" t="s">
        <v>557</v>
      </c>
      <c r="O170" s="173" t="s">
        <v>226</v>
      </c>
      <c r="P170" s="178" t="str">
        <f>IFERROR(VLOOKUP(C170,TD!$B$32:$F$36,2,0)," ")</f>
        <v>O230117</v>
      </c>
      <c r="Q170" s="178" t="str">
        <f>IFERROR(VLOOKUP(C170,TD!$B$32:$F$36,3,0)," ")</f>
        <v>4503</v>
      </c>
      <c r="R170" s="178">
        <f>IFERROR(VLOOKUP(C170,TD!$B$32:$F$36,4,0)," ")</f>
        <v>20240255</v>
      </c>
      <c r="S170" s="173" t="s">
        <v>179</v>
      </c>
      <c r="T170" s="178" t="str">
        <f>IFERROR(VLOOKUP(S170,TD!$J$33:$K$43,2,0)," ")</f>
        <v>Infraestructura Tecnológica   (Sistemas de Información y Tecnologia)</v>
      </c>
      <c r="U170" s="127" t="str">
        <f>CONCATENATE(S170,"-",T170)</f>
        <v>11-Infraestructura Tecnológica   (Sistemas de Información y Tecnologia)</v>
      </c>
      <c r="V170" s="173" t="s">
        <v>235</v>
      </c>
      <c r="W170" s="178" t="str">
        <f>IFERROR(VLOOKUP(V170,TD!$N$33:$O$45,2,0)," ")</f>
        <v>"Servicio de monitoreo y seguimiento para la gestión del riesgo"</v>
      </c>
      <c r="X170" s="127" t="str">
        <f>CONCATENATE(V170,"_",W170)</f>
        <v>018_"Servicio de monitoreo y seguimiento para la gestión del riesgo"</v>
      </c>
      <c r="Y170" s="127" t="str">
        <f>CONCATENATE(U170," ",X170)</f>
        <v>11-Infraestructura Tecnológica   (Sistemas de Información y Tecnologia) 018_"Servicio de monitoreo y seguimiento para la gestión del riesgo"</v>
      </c>
      <c r="Z170" s="178" t="str">
        <f>CONCATENATE(P170,Q170,R170,S170,V170)</f>
        <v>O23011745032024025511018</v>
      </c>
      <c r="AA170" s="178" t="str">
        <f>IFERROR(VLOOKUP(Y170,TD!$K$46:$L$64,2,0)," ")</f>
        <v>PM/0131/0111/45030180255</v>
      </c>
      <c r="AB170" s="177" t="s">
        <v>138</v>
      </c>
      <c r="AC170" s="179" t="s">
        <v>204</v>
      </c>
    </row>
    <row r="171" spans="2:29" s="28" customFormat="1" ht="74.25" customHeight="1" x14ac:dyDescent="0.35">
      <c r="B171" s="170">
        <v>20250259</v>
      </c>
      <c r="C171" s="171" t="s">
        <v>209</v>
      </c>
      <c r="D171" s="172" t="s">
        <v>167</v>
      </c>
      <c r="E171" s="173" t="s">
        <v>552</v>
      </c>
      <c r="F171" s="172" t="s">
        <v>375</v>
      </c>
      <c r="G171" s="172" t="s">
        <v>156</v>
      </c>
      <c r="H171" s="174">
        <v>80111600</v>
      </c>
      <c r="I171" s="175">
        <v>1</v>
      </c>
      <c r="J171" s="191">
        <v>10</v>
      </c>
      <c r="K171" s="192">
        <v>0</v>
      </c>
      <c r="L171" s="188">
        <f>33000000+2000000</f>
        <v>35000000</v>
      </c>
      <c r="M171" s="172" t="s">
        <v>484</v>
      </c>
      <c r="N171" s="177" t="s">
        <v>557</v>
      </c>
      <c r="O171" s="173" t="s">
        <v>226</v>
      </c>
      <c r="P171" s="178" t="str">
        <f>IFERROR(VLOOKUP(C171,TD!$B$32:$F$36,2,0)," ")</f>
        <v>O230117</v>
      </c>
      <c r="Q171" s="178" t="str">
        <f>IFERROR(VLOOKUP(C171,TD!$B$32:$F$36,3,0)," ")</f>
        <v>4503</v>
      </c>
      <c r="R171" s="178">
        <f>IFERROR(VLOOKUP(C171,TD!$B$32:$F$36,4,0)," ")</f>
        <v>20240255</v>
      </c>
      <c r="S171" s="173" t="s">
        <v>179</v>
      </c>
      <c r="T171" s="178" t="str">
        <f>IFERROR(VLOOKUP(S171,TD!$J$33:$K$43,2,0)," ")</f>
        <v>Infraestructura Tecnológica   (Sistemas de Información y Tecnologia)</v>
      </c>
      <c r="U171" s="127" t="str">
        <f>CONCATENATE(S171,"-",T171)</f>
        <v>11-Infraestructura Tecnológica   (Sistemas de Información y Tecnologia)</v>
      </c>
      <c r="V171" s="173" t="s">
        <v>235</v>
      </c>
      <c r="W171" s="178" t="str">
        <f>IFERROR(VLOOKUP(V171,TD!$N$33:$O$45,2,0)," ")</f>
        <v>"Servicio de monitoreo y seguimiento para la gestión del riesgo"</v>
      </c>
      <c r="X171" s="127" t="str">
        <f>CONCATENATE(V171,"_",W171)</f>
        <v>018_"Servicio de monitoreo y seguimiento para la gestión del riesgo"</v>
      </c>
      <c r="Y171" s="127" t="str">
        <f>CONCATENATE(U171," ",X171)</f>
        <v>11-Infraestructura Tecnológica   (Sistemas de Información y Tecnologia) 018_"Servicio de monitoreo y seguimiento para la gestión del riesgo"</v>
      </c>
      <c r="Z171" s="178" t="str">
        <f>CONCATENATE(P171,Q171,R171,S171,V171)</f>
        <v>O23011745032024025511018</v>
      </c>
      <c r="AA171" s="178" t="str">
        <f>IFERROR(VLOOKUP(Y171,TD!$K$46:$L$64,2,0)," ")</f>
        <v>PM/0131/0111/45030180255</v>
      </c>
      <c r="AB171" s="177" t="s">
        <v>138</v>
      </c>
      <c r="AC171" s="179" t="s">
        <v>204</v>
      </c>
    </row>
    <row r="172" spans="2:29" s="28" customFormat="1" ht="74.25" customHeight="1" x14ac:dyDescent="0.35">
      <c r="B172" s="170">
        <v>20250260</v>
      </c>
      <c r="C172" s="171" t="s">
        <v>209</v>
      </c>
      <c r="D172" s="172" t="s">
        <v>167</v>
      </c>
      <c r="E172" s="173" t="s">
        <v>552</v>
      </c>
      <c r="F172" s="172" t="s">
        <v>800</v>
      </c>
      <c r="G172" s="172" t="s">
        <v>155</v>
      </c>
      <c r="H172" s="174">
        <v>80111600</v>
      </c>
      <c r="I172" s="175">
        <v>1</v>
      </c>
      <c r="J172" s="191">
        <v>11</v>
      </c>
      <c r="K172" s="192">
        <v>0</v>
      </c>
      <c r="L172" s="188">
        <f>77000000+11000000</f>
        <v>88000000</v>
      </c>
      <c r="M172" s="172" t="s">
        <v>484</v>
      </c>
      <c r="N172" s="177" t="s">
        <v>557</v>
      </c>
      <c r="O172" s="173" t="s">
        <v>221</v>
      </c>
      <c r="P172" s="178" t="str">
        <f>IFERROR(VLOOKUP(C172,TD!$B$32:$F$36,2,0)," ")</f>
        <v>O230117</v>
      </c>
      <c r="Q172" s="178" t="str">
        <f>IFERROR(VLOOKUP(C172,TD!$B$32:$F$36,3,0)," ")</f>
        <v>4503</v>
      </c>
      <c r="R172" s="178">
        <f>IFERROR(VLOOKUP(C172,TD!$B$32:$F$36,4,0)," ")</f>
        <v>20240255</v>
      </c>
      <c r="S172" s="173" t="s">
        <v>177</v>
      </c>
      <c r="T172" s="178" t="str">
        <f>IFERROR(VLOOKUP(S172,TD!$J$33:$K$43,2,0)," ")</f>
        <v>Servicio de capacitaciones en gestión del riesgo de incendios  a la ciudadania.</v>
      </c>
      <c r="U172" s="127" t="str">
        <f>CONCATENATE(S172,"-",T172)</f>
        <v>05-Servicio de capacitaciones en gestión del riesgo de incendios  a la ciudadania.</v>
      </c>
      <c r="V172" s="173" t="s">
        <v>234</v>
      </c>
      <c r="W172" s="178" t="str">
        <f>IFERROR(VLOOKUP(V172,TD!$N$33:$O$45,2,0)," ")</f>
        <v>Servicio prevención y control de incendios</v>
      </c>
      <c r="X172" s="127" t="str">
        <f>CONCATENATE(V172,"_",W172)</f>
        <v>035_Servicio prevención y control de incendios</v>
      </c>
      <c r="Y172" s="127" t="str">
        <f>CONCATENATE(U172," ",X172)</f>
        <v>05-Servicio de capacitaciones en gestión del riesgo de incendios  a la ciudadania. 035_Servicio prevención y control de incendios</v>
      </c>
      <c r="Z172" s="178" t="str">
        <f>CONCATENATE(P172,Q172,R172,S172,V172)</f>
        <v>O23011745032024025505035</v>
      </c>
      <c r="AA172" s="178" t="str">
        <f>IFERROR(VLOOKUP(Y172,TD!$K$46:$L$64,2,0)," ")</f>
        <v>PM/0131/0105/45030350255</v>
      </c>
      <c r="AB172" s="177" t="s">
        <v>138</v>
      </c>
      <c r="AC172" s="179" t="s">
        <v>204</v>
      </c>
    </row>
    <row r="173" spans="2:29" s="28" customFormat="1" ht="74.25" customHeight="1" x14ac:dyDescent="0.35">
      <c r="B173" s="170">
        <v>20250261</v>
      </c>
      <c r="C173" s="171" t="s">
        <v>209</v>
      </c>
      <c r="D173" s="172" t="s">
        <v>167</v>
      </c>
      <c r="E173" s="173" t="s">
        <v>552</v>
      </c>
      <c r="F173" s="172" t="s">
        <v>567</v>
      </c>
      <c r="G173" s="172" t="s">
        <v>155</v>
      </c>
      <c r="H173" s="174">
        <v>80111600</v>
      </c>
      <c r="I173" s="175">
        <v>1</v>
      </c>
      <c r="J173" s="191">
        <v>10</v>
      </c>
      <c r="K173" s="192">
        <v>0</v>
      </c>
      <c r="L173" s="188">
        <f>77000000-27000000</f>
        <v>50000000</v>
      </c>
      <c r="M173" s="172" t="s">
        <v>484</v>
      </c>
      <c r="N173" s="177" t="s">
        <v>557</v>
      </c>
      <c r="O173" s="173" t="s">
        <v>221</v>
      </c>
      <c r="P173" s="178" t="str">
        <f>IFERROR(VLOOKUP(C173,TD!$B$32:$F$36,2,0)," ")</f>
        <v>O230117</v>
      </c>
      <c r="Q173" s="178" t="str">
        <f>IFERROR(VLOOKUP(C173,TD!$B$32:$F$36,3,0)," ")</f>
        <v>4503</v>
      </c>
      <c r="R173" s="178">
        <f>IFERROR(VLOOKUP(C173,TD!$B$32:$F$36,4,0)," ")</f>
        <v>20240255</v>
      </c>
      <c r="S173" s="173" t="s">
        <v>177</v>
      </c>
      <c r="T173" s="178" t="str">
        <f>IFERROR(VLOOKUP(S173,TD!$J$33:$K$43,2,0)," ")</f>
        <v>Servicio de capacitaciones en gestión del riesgo de incendios  a la ciudadania.</v>
      </c>
      <c r="U173" s="127" t="str">
        <f>CONCATENATE(S173,"-",T173)</f>
        <v>05-Servicio de capacitaciones en gestión del riesgo de incendios  a la ciudadania.</v>
      </c>
      <c r="V173" s="173" t="s">
        <v>234</v>
      </c>
      <c r="W173" s="178" t="str">
        <f>IFERROR(VLOOKUP(V173,TD!$N$33:$O$45,2,0)," ")</f>
        <v>Servicio prevención y control de incendios</v>
      </c>
      <c r="X173" s="127" t="str">
        <f>CONCATENATE(V173,"_",W173)</f>
        <v>035_Servicio prevención y control de incendios</v>
      </c>
      <c r="Y173" s="127" t="str">
        <f>CONCATENATE(U173," ",X173)</f>
        <v>05-Servicio de capacitaciones en gestión del riesgo de incendios  a la ciudadania. 035_Servicio prevención y control de incendios</v>
      </c>
      <c r="Z173" s="178" t="str">
        <f>CONCATENATE(P173,Q173,R173,S173,V173)</f>
        <v>O23011745032024025505035</v>
      </c>
      <c r="AA173" s="178" t="str">
        <f>IFERROR(VLOOKUP(Y173,TD!$K$46:$L$64,2,0)," ")</f>
        <v>PM/0131/0105/45030350255</v>
      </c>
      <c r="AB173" s="177" t="s">
        <v>138</v>
      </c>
      <c r="AC173" s="179" t="s">
        <v>204</v>
      </c>
    </row>
    <row r="174" spans="2:29" s="28" customFormat="1" ht="74.25" customHeight="1" x14ac:dyDescent="0.35">
      <c r="B174" s="170">
        <v>20250262</v>
      </c>
      <c r="C174" s="171" t="s">
        <v>209</v>
      </c>
      <c r="D174" s="172" t="s">
        <v>167</v>
      </c>
      <c r="E174" s="173" t="s">
        <v>552</v>
      </c>
      <c r="F174" s="172" t="s">
        <v>567</v>
      </c>
      <c r="G174" s="172" t="s">
        <v>155</v>
      </c>
      <c r="H174" s="174">
        <v>80111600</v>
      </c>
      <c r="I174" s="175">
        <v>1</v>
      </c>
      <c r="J174" s="191">
        <v>10</v>
      </c>
      <c r="K174" s="192">
        <v>0</v>
      </c>
      <c r="L174" s="188">
        <f>55000000-5000000</f>
        <v>50000000</v>
      </c>
      <c r="M174" s="172" t="s">
        <v>484</v>
      </c>
      <c r="N174" s="177" t="s">
        <v>557</v>
      </c>
      <c r="O174" s="173" t="s">
        <v>221</v>
      </c>
      <c r="P174" s="178" t="str">
        <f>IFERROR(VLOOKUP(C174,TD!$B$32:$F$36,2,0)," ")</f>
        <v>O230117</v>
      </c>
      <c r="Q174" s="178" t="str">
        <f>IFERROR(VLOOKUP(C174,TD!$B$32:$F$36,3,0)," ")</f>
        <v>4503</v>
      </c>
      <c r="R174" s="178">
        <f>IFERROR(VLOOKUP(C174,TD!$B$32:$F$36,4,0)," ")</f>
        <v>20240255</v>
      </c>
      <c r="S174" s="173" t="s">
        <v>177</v>
      </c>
      <c r="T174" s="178" t="str">
        <f>IFERROR(VLOOKUP(S174,TD!$J$33:$K$43,2,0)," ")</f>
        <v>Servicio de capacitaciones en gestión del riesgo de incendios  a la ciudadania.</v>
      </c>
      <c r="U174" s="127" t="str">
        <f>CONCATENATE(S174,"-",T174)</f>
        <v>05-Servicio de capacitaciones en gestión del riesgo de incendios  a la ciudadania.</v>
      </c>
      <c r="V174" s="173" t="s">
        <v>234</v>
      </c>
      <c r="W174" s="178" t="str">
        <f>IFERROR(VLOOKUP(V174,TD!$N$33:$O$45,2,0)," ")</f>
        <v>Servicio prevención y control de incendios</v>
      </c>
      <c r="X174" s="127" t="str">
        <f>CONCATENATE(V174,"_",W174)</f>
        <v>035_Servicio prevención y control de incendios</v>
      </c>
      <c r="Y174" s="127" t="str">
        <f>CONCATENATE(U174," ",X174)</f>
        <v>05-Servicio de capacitaciones en gestión del riesgo de incendios  a la ciudadania. 035_Servicio prevención y control de incendios</v>
      </c>
      <c r="Z174" s="178" t="str">
        <f>CONCATENATE(P174,Q174,R174,S174,V174)</f>
        <v>O23011745032024025505035</v>
      </c>
      <c r="AA174" s="178" t="str">
        <f>IFERROR(VLOOKUP(Y174,TD!$K$46:$L$64,2,0)," ")</f>
        <v>PM/0131/0105/45030350255</v>
      </c>
      <c r="AB174" s="177" t="s">
        <v>138</v>
      </c>
      <c r="AC174" s="179" t="s">
        <v>204</v>
      </c>
    </row>
    <row r="175" spans="2:29" s="28" customFormat="1" ht="74.25" customHeight="1" x14ac:dyDescent="0.35">
      <c r="B175" s="170">
        <v>20250263</v>
      </c>
      <c r="C175" s="171" t="s">
        <v>209</v>
      </c>
      <c r="D175" s="172" t="s">
        <v>167</v>
      </c>
      <c r="E175" s="173" t="s">
        <v>552</v>
      </c>
      <c r="F175" s="172" t="s">
        <v>568</v>
      </c>
      <c r="G175" s="172" t="s">
        <v>156</v>
      </c>
      <c r="H175" s="174">
        <v>80111600</v>
      </c>
      <c r="I175" s="175">
        <v>1</v>
      </c>
      <c r="J175" s="191">
        <v>10</v>
      </c>
      <c r="K175" s="192">
        <v>0</v>
      </c>
      <c r="L175" s="188">
        <f>55000000-20000000</f>
        <v>35000000</v>
      </c>
      <c r="M175" s="172" t="s">
        <v>484</v>
      </c>
      <c r="N175" s="177" t="s">
        <v>557</v>
      </c>
      <c r="O175" s="173" t="s">
        <v>221</v>
      </c>
      <c r="P175" s="178" t="str">
        <f>IFERROR(VLOOKUP(C175,TD!$B$32:$F$36,2,0)," ")</f>
        <v>O230117</v>
      </c>
      <c r="Q175" s="178" t="str">
        <f>IFERROR(VLOOKUP(C175,TD!$B$32:$F$36,3,0)," ")</f>
        <v>4503</v>
      </c>
      <c r="R175" s="178">
        <f>IFERROR(VLOOKUP(C175,TD!$B$32:$F$36,4,0)," ")</f>
        <v>20240255</v>
      </c>
      <c r="S175" s="173" t="s">
        <v>177</v>
      </c>
      <c r="T175" s="178" t="str">
        <f>IFERROR(VLOOKUP(S175,TD!$J$33:$K$43,2,0)," ")</f>
        <v>Servicio de capacitaciones en gestión del riesgo de incendios  a la ciudadania.</v>
      </c>
      <c r="U175" s="127" t="str">
        <f>CONCATENATE(S175,"-",T175)</f>
        <v>05-Servicio de capacitaciones en gestión del riesgo de incendios  a la ciudadania.</v>
      </c>
      <c r="V175" s="173" t="s">
        <v>234</v>
      </c>
      <c r="W175" s="178" t="str">
        <f>IFERROR(VLOOKUP(V175,TD!$N$33:$O$45,2,0)," ")</f>
        <v>Servicio prevención y control de incendios</v>
      </c>
      <c r="X175" s="127" t="str">
        <f>CONCATENATE(V175,"_",W175)</f>
        <v>035_Servicio prevención y control de incendios</v>
      </c>
      <c r="Y175" s="127" t="str">
        <f>CONCATENATE(U175," ",X175)</f>
        <v>05-Servicio de capacitaciones en gestión del riesgo de incendios  a la ciudadania. 035_Servicio prevención y control de incendios</v>
      </c>
      <c r="Z175" s="178" t="str">
        <f>CONCATENATE(P175,Q175,R175,S175,V175)</f>
        <v>O23011745032024025505035</v>
      </c>
      <c r="AA175" s="178" t="str">
        <f>IFERROR(VLOOKUP(Y175,TD!$K$46:$L$64,2,0)," ")</f>
        <v>PM/0131/0105/45030350255</v>
      </c>
      <c r="AB175" s="177" t="s">
        <v>138</v>
      </c>
      <c r="AC175" s="179" t="s">
        <v>204</v>
      </c>
    </row>
    <row r="176" spans="2:29" s="28" customFormat="1" ht="74.25" customHeight="1" x14ac:dyDescent="0.35">
      <c r="B176" s="170">
        <v>20250264</v>
      </c>
      <c r="C176" s="171" t="s">
        <v>209</v>
      </c>
      <c r="D176" s="172" t="s">
        <v>167</v>
      </c>
      <c r="E176" s="173" t="s">
        <v>552</v>
      </c>
      <c r="F176" s="172" t="s">
        <v>568</v>
      </c>
      <c r="G176" s="172" t="s">
        <v>156</v>
      </c>
      <c r="H176" s="174">
        <v>80111600</v>
      </c>
      <c r="I176" s="175">
        <v>1</v>
      </c>
      <c r="J176" s="191">
        <v>10</v>
      </c>
      <c r="K176" s="192">
        <v>0</v>
      </c>
      <c r="L176" s="188">
        <f>44000000-9000000</f>
        <v>35000000</v>
      </c>
      <c r="M176" s="172" t="s">
        <v>484</v>
      </c>
      <c r="N176" s="177" t="s">
        <v>557</v>
      </c>
      <c r="O176" s="173" t="s">
        <v>221</v>
      </c>
      <c r="P176" s="178" t="str">
        <f>IFERROR(VLOOKUP(C176,TD!$B$32:$F$36,2,0)," ")</f>
        <v>O230117</v>
      </c>
      <c r="Q176" s="178" t="str">
        <f>IFERROR(VLOOKUP(C176,TD!$B$32:$F$36,3,0)," ")</f>
        <v>4503</v>
      </c>
      <c r="R176" s="178">
        <f>IFERROR(VLOOKUP(C176,TD!$B$32:$F$36,4,0)," ")</f>
        <v>20240255</v>
      </c>
      <c r="S176" s="173" t="s">
        <v>177</v>
      </c>
      <c r="T176" s="178" t="str">
        <f>IFERROR(VLOOKUP(S176,TD!$J$33:$K$43,2,0)," ")</f>
        <v>Servicio de capacitaciones en gestión del riesgo de incendios  a la ciudadania.</v>
      </c>
      <c r="U176" s="127" t="str">
        <f>CONCATENATE(S176,"-",T176)</f>
        <v>05-Servicio de capacitaciones en gestión del riesgo de incendios  a la ciudadania.</v>
      </c>
      <c r="V176" s="173" t="s">
        <v>234</v>
      </c>
      <c r="W176" s="178" t="str">
        <f>IFERROR(VLOOKUP(V176,TD!$N$33:$O$45,2,0)," ")</f>
        <v>Servicio prevención y control de incendios</v>
      </c>
      <c r="X176" s="127" t="str">
        <f>CONCATENATE(V176,"_",W176)</f>
        <v>035_Servicio prevención y control de incendios</v>
      </c>
      <c r="Y176" s="127" t="str">
        <f>CONCATENATE(U176," ",X176)</f>
        <v>05-Servicio de capacitaciones en gestión del riesgo de incendios  a la ciudadania. 035_Servicio prevención y control de incendios</v>
      </c>
      <c r="Z176" s="178" t="str">
        <f>CONCATENATE(P176,Q176,R176,S176,V176)</f>
        <v>O23011745032024025505035</v>
      </c>
      <c r="AA176" s="178" t="str">
        <f>IFERROR(VLOOKUP(Y176,TD!$K$46:$L$64,2,0)," ")</f>
        <v>PM/0131/0105/45030350255</v>
      </c>
      <c r="AB176" s="177" t="s">
        <v>138</v>
      </c>
      <c r="AC176" s="179" t="s">
        <v>204</v>
      </c>
    </row>
    <row r="177" spans="2:29" s="28" customFormat="1" ht="74.25" customHeight="1" x14ac:dyDescent="0.35">
      <c r="B177" s="170">
        <v>20250265</v>
      </c>
      <c r="C177" s="171" t="s">
        <v>209</v>
      </c>
      <c r="D177" s="172" t="s">
        <v>167</v>
      </c>
      <c r="E177" s="173" t="s">
        <v>552</v>
      </c>
      <c r="F177" s="172" t="s">
        <v>568</v>
      </c>
      <c r="G177" s="172" t="s">
        <v>156</v>
      </c>
      <c r="H177" s="174">
        <v>80111600</v>
      </c>
      <c r="I177" s="175">
        <v>1</v>
      </c>
      <c r="J177" s="191">
        <v>10</v>
      </c>
      <c r="K177" s="192">
        <v>0</v>
      </c>
      <c r="L177" s="188">
        <f>44000000-9000000</f>
        <v>35000000</v>
      </c>
      <c r="M177" s="172" t="s">
        <v>484</v>
      </c>
      <c r="N177" s="177" t="s">
        <v>557</v>
      </c>
      <c r="O177" s="173" t="s">
        <v>221</v>
      </c>
      <c r="P177" s="178" t="str">
        <f>IFERROR(VLOOKUP(C177,TD!$B$32:$F$36,2,0)," ")</f>
        <v>O230117</v>
      </c>
      <c r="Q177" s="178" t="str">
        <f>IFERROR(VLOOKUP(C177,TD!$B$32:$F$36,3,0)," ")</f>
        <v>4503</v>
      </c>
      <c r="R177" s="178">
        <f>IFERROR(VLOOKUP(C177,TD!$B$32:$F$36,4,0)," ")</f>
        <v>20240255</v>
      </c>
      <c r="S177" s="173" t="s">
        <v>177</v>
      </c>
      <c r="T177" s="178" t="str">
        <f>IFERROR(VLOOKUP(S177,TD!$J$33:$K$43,2,0)," ")</f>
        <v>Servicio de capacitaciones en gestión del riesgo de incendios  a la ciudadania.</v>
      </c>
      <c r="U177" s="127" t="str">
        <f>CONCATENATE(S177,"-",T177)</f>
        <v>05-Servicio de capacitaciones en gestión del riesgo de incendios  a la ciudadania.</v>
      </c>
      <c r="V177" s="173" t="s">
        <v>234</v>
      </c>
      <c r="W177" s="178" t="str">
        <f>IFERROR(VLOOKUP(V177,TD!$N$33:$O$45,2,0)," ")</f>
        <v>Servicio prevención y control de incendios</v>
      </c>
      <c r="X177" s="127" t="str">
        <f>CONCATENATE(V177,"_",W177)</f>
        <v>035_Servicio prevención y control de incendios</v>
      </c>
      <c r="Y177" s="127" t="str">
        <f>CONCATENATE(U177," ",X177)</f>
        <v>05-Servicio de capacitaciones en gestión del riesgo de incendios  a la ciudadania. 035_Servicio prevención y control de incendios</v>
      </c>
      <c r="Z177" s="178" t="str">
        <f>CONCATENATE(P177,Q177,R177,S177,V177)</f>
        <v>O23011745032024025505035</v>
      </c>
      <c r="AA177" s="178" t="str">
        <f>IFERROR(VLOOKUP(Y177,TD!$K$46:$L$64,2,0)," ")</f>
        <v>PM/0131/0105/45030350255</v>
      </c>
      <c r="AB177" s="177" t="s">
        <v>138</v>
      </c>
      <c r="AC177" s="179" t="s">
        <v>204</v>
      </c>
    </row>
    <row r="178" spans="2:29" s="28" customFormat="1" ht="74.25" customHeight="1" x14ac:dyDescent="0.35">
      <c r="B178" s="170">
        <v>20250266</v>
      </c>
      <c r="C178" s="171" t="s">
        <v>209</v>
      </c>
      <c r="D178" s="172" t="s">
        <v>167</v>
      </c>
      <c r="E178" s="173" t="s">
        <v>552</v>
      </c>
      <c r="F178" s="172" t="s">
        <v>369</v>
      </c>
      <c r="G178" s="172" t="s">
        <v>133</v>
      </c>
      <c r="H178" s="174" t="s">
        <v>376</v>
      </c>
      <c r="I178" s="175">
        <v>1</v>
      </c>
      <c r="J178" s="191">
        <v>10</v>
      </c>
      <c r="K178" s="192">
        <v>0</v>
      </c>
      <c r="L178" s="188">
        <f>500000000+356000000-210000000</f>
        <v>646000000</v>
      </c>
      <c r="M178" s="172" t="s">
        <v>484</v>
      </c>
      <c r="N178" s="177" t="s">
        <v>85</v>
      </c>
      <c r="O178" s="173" t="s">
        <v>221</v>
      </c>
      <c r="P178" s="178" t="str">
        <f>IFERROR(VLOOKUP(C178,TD!$B$32:$F$36,2,0)," ")</f>
        <v>O230117</v>
      </c>
      <c r="Q178" s="178" t="str">
        <f>IFERROR(VLOOKUP(C178,TD!$B$32:$F$36,3,0)," ")</f>
        <v>4503</v>
      </c>
      <c r="R178" s="178">
        <f>IFERROR(VLOOKUP(C178,TD!$B$32:$F$36,4,0)," ")</f>
        <v>20240255</v>
      </c>
      <c r="S178" s="173" t="s">
        <v>177</v>
      </c>
      <c r="T178" s="178" t="str">
        <f>IFERROR(VLOOKUP(S178,TD!$J$33:$K$43,2,0)," ")</f>
        <v>Servicio de capacitaciones en gestión del riesgo de incendios  a la ciudadania.</v>
      </c>
      <c r="U178" s="127" t="str">
        <f>CONCATENATE(S178,"-",T178)</f>
        <v>05-Servicio de capacitaciones en gestión del riesgo de incendios  a la ciudadania.</v>
      </c>
      <c r="V178" s="173" t="s">
        <v>233</v>
      </c>
      <c r="W178" s="178" t="str">
        <f>IFERROR(VLOOKUP(V178,TD!$N$33:$O$45,2,0)," ")</f>
        <v>Servicio de educación informal</v>
      </c>
      <c r="X178" s="127" t="str">
        <f>CONCATENATE(V178,"_",W178)</f>
        <v>002_Servicio de educación informal</v>
      </c>
      <c r="Y178" s="127" t="str">
        <f>CONCATENATE(U178," ",X178)</f>
        <v>05-Servicio de capacitaciones en gestión del riesgo de incendios  a la ciudadania. 002_Servicio de educación informal</v>
      </c>
      <c r="Z178" s="178" t="str">
        <f>CONCATENATE(P178,Q178,R178,S178,V178)</f>
        <v>O23011745032024025505002</v>
      </c>
      <c r="AA178" s="178" t="str">
        <f>IFERROR(VLOOKUP(Y178,TD!$K$46:$L$64,2,0)," ")</f>
        <v>PM/0131/0105/45030020255</v>
      </c>
      <c r="AB178" s="177" t="s">
        <v>138</v>
      </c>
      <c r="AC178" s="179" t="s">
        <v>204</v>
      </c>
    </row>
    <row r="179" spans="2:29" s="28" customFormat="1" ht="74.25" customHeight="1" x14ac:dyDescent="0.35">
      <c r="B179" s="170">
        <v>20250269</v>
      </c>
      <c r="C179" s="171" t="s">
        <v>209</v>
      </c>
      <c r="D179" s="172" t="s">
        <v>167</v>
      </c>
      <c r="E179" s="173" t="s">
        <v>552</v>
      </c>
      <c r="F179" s="172" t="s">
        <v>377</v>
      </c>
      <c r="G179" s="172" t="s">
        <v>155</v>
      </c>
      <c r="H179" s="174">
        <v>80111600</v>
      </c>
      <c r="I179" s="175">
        <v>1</v>
      </c>
      <c r="J179" s="191">
        <v>10</v>
      </c>
      <c r="K179" s="192">
        <v>0</v>
      </c>
      <c r="L179" s="188">
        <f>66000000+4000000</f>
        <v>70000000</v>
      </c>
      <c r="M179" s="172" t="s">
        <v>484</v>
      </c>
      <c r="N179" s="177" t="s">
        <v>557</v>
      </c>
      <c r="O179" s="173" t="s">
        <v>221</v>
      </c>
      <c r="P179" s="178" t="str">
        <f>IFERROR(VLOOKUP(C179,TD!$B$32:$F$36,2,0)," ")</f>
        <v>O230117</v>
      </c>
      <c r="Q179" s="178" t="str">
        <f>IFERROR(VLOOKUP(C179,TD!$B$32:$F$36,3,0)," ")</f>
        <v>4503</v>
      </c>
      <c r="R179" s="178">
        <f>IFERROR(VLOOKUP(C179,TD!$B$32:$F$36,4,0)," ")</f>
        <v>20240255</v>
      </c>
      <c r="S179" s="173" t="s">
        <v>177</v>
      </c>
      <c r="T179" s="178" t="str">
        <f>IFERROR(VLOOKUP(S179,TD!$J$33:$K$43,2,0)," ")</f>
        <v>Servicio de capacitaciones en gestión del riesgo de incendios  a la ciudadania.</v>
      </c>
      <c r="U179" s="127" t="str">
        <f>CONCATENATE(S179,"-",T179)</f>
        <v>05-Servicio de capacitaciones en gestión del riesgo de incendios  a la ciudadania.</v>
      </c>
      <c r="V179" s="173" t="s">
        <v>233</v>
      </c>
      <c r="W179" s="178" t="str">
        <f>IFERROR(VLOOKUP(V179,TD!$N$33:$O$45,2,0)," ")</f>
        <v>Servicio de educación informal</v>
      </c>
      <c r="X179" s="127" t="str">
        <f>CONCATENATE(V179,"_",W179)</f>
        <v>002_Servicio de educación informal</v>
      </c>
      <c r="Y179" s="127" t="str">
        <f>CONCATENATE(U179," ",X179)</f>
        <v>05-Servicio de capacitaciones en gestión del riesgo de incendios  a la ciudadania. 002_Servicio de educación informal</v>
      </c>
      <c r="Z179" s="178" t="str">
        <f>CONCATENATE(P179,Q179,R179,S179,V179)</f>
        <v>O23011745032024025505002</v>
      </c>
      <c r="AA179" s="178" t="str">
        <f>IFERROR(VLOOKUP(Y179,TD!$K$46:$L$64,2,0)," ")</f>
        <v>PM/0131/0105/45030020255</v>
      </c>
      <c r="AB179" s="177" t="s">
        <v>138</v>
      </c>
      <c r="AC179" s="179" t="s">
        <v>204</v>
      </c>
    </row>
    <row r="180" spans="2:29" s="28" customFormat="1" ht="74.25" customHeight="1" x14ac:dyDescent="0.35">
      <c r="B180" s="170">
        <v>20250270</v>
      </c>
      <c r="C180" s="171" t="s">
        <v>209</v>
      </c>
      <c r="D180" s="172" t="s">
        <v>167</v>
      </c>
      <c r="E180" s="173" t="s">
        <v>552</v>
      </c>
      <c r="F180" s="172" t="s">
        <v>374</v>
      </c>
      <c r="G180" s="172" t="s">
        <v>155</v>
      </c>
      <c r="H180" s="174">
        <v>80111600</v>
      </c>
      <c r="I180" s="175">
        <v>1</v>
      </c>
      <c r="J180" s="191">
        <v>10</v>
      </c>
      <c r="K180" s="192">
        <v>0</v>
      </c>
      <c r="L180" s="188">
        <f>77000000-27000000</f>
        <v>50000000</v>
      </c>
      <c r="M180" s="172" t="s">
        <v>484</v>
      </c>
      <c r="N180" s="177" t="s">
        <v>557</v>
      </c>
      <c r="O180" s="173" t="s">
        <v>221</v>
      </c>
      <c r="P180" s="178" t="str">
        <f>IFERROR(VLOOKUP(C180,TD!$B$32:$F$36,2,0)," ")</f>
        <v>O230117</v>
      </c>
      <c r="Q180" s="178" t="str">
        <f>IFERROR(VLOOKUP(C180,TD!$B$32:$F$36,3,0)," ")</f>
        <v>4503</v>
      </c>
      <c r="R180" s="178">
        <f>IFERROR(VLOOKUP(C180,TD!$B$32:$F$36,4,0)," ")</f>
        <v>20240255</v>
      </c>
      <c r="S180" s="173" t="s">
        <v>181</v>
      </c>
      <c r="T180" s="178" t="str">
        <f>IFERROR(VLOOKUP(S180,TD!$J$33:$K$43,2,0)," ")</f>
        <v>Servicio de inspecciones técnicas realizadas</v>
      </c>
      <c r="U180" s="127" t="str">
        <f>CONCATENATE(S180,"-",T180)</f>
        <v>06-Servicio de inspecciones técnicas realizadas</v>
      </c>
      <c r="V180" s="173" t="s">
        <v>234</v>
      </c>
      <c r="W180" s="178" t="str">
        <f>IFERROR(VLOOKUP(V180,TD!$N$33:$O$45,2,0)," ")</f>
        <v>Servicio prevención y control de incendios</v>
      </c>
      <c r="X180" s="127" t="str">
        <f>CONCATENATE(V180,"_",W180)</f>
        <v>035_Servicio prevención y control de incendios</v>
      </c>
      <c r="Y180" s="127" t="str">
        <f>CONCATENATE(U180," ",X180)</f>
        <v>06-Servicio de inspecciones técnicas realizadas 035_Servicio prevención y control de incendios</v>
      </c>
      <c r="Z180" s="178" t="str">
        <f>CONCATENATE(P180,Q180,R180,S180,V180)</f>
        <v>O23011745032024025506035</v>
      </c>
      <c r="AA180" s="178" t="str">
        <f>IFERROR(VLOOKUP(Y180,TD!$K$46:$L$64,2,0)," ")</f>
        <v>PM/0131/0106/45030350255</v>
      </c>
      <c r="AB180" s="177" t="s">
        <v>138</v>
      </c>
      <c r="AC180" s="179" t="s">
        <v>204</v>
      </c>
    </row>
    <row r="181" spans="2:29" s="28" customFormat="1" ht="74.25" customHeight="1" x14ac:dyDescent="0.35">
      <c r="B181" s="170">
        <v>20250271</v>
      </c>
      <c r="C181" s="171" t="s">
        <v>209</v>
      </c>
      <c r="D181" s="172" t="s">
        <v>167</v>
      </c>
      <c r="E181" s="173" t="s">
        <v>552</v>
      </c>
      <c r="F181" s="172" t="s">
        <v>860</v>
      </c>
      <c r="G181" s="172" t="s">
        <v>155</v>
      </c>
      <c r="H181" s="174">
        <v>80111600</v>
      </c>
      <c r="I181" s="175">
        <v>1</v>
      </c>
      <c r="J181" s="191">
        <v>10</v>
      </c>
      <c r="K181" s="192">
        <v>0</v>
      </c>
      <c r="L181" s="188">
        <f>77000000-27000000</f>
        <v>50000000</v>
      </c>
      <c r="M181" s="172" t="s">
        <v>484</v>
      </c>
      <c r="N181" s="177" t="s">
        <v>557</v>
      </c>
      <c r="O181" s="173" t="s">
        <v>221</v>
      </c>
      <c r="P181" s="178" t="str">
        <f>IFERROR(VLOOKUP(C181,TD!$B$32:$F$36,2,0)," ")</f>
        <v>O230117</v>
      </c>
      <c r="Q181" s="178" t="str">
        <f>IFERROR(VLOOKUP(C181,TD!$B$32:$F$36,3,0)," ")</f>
        <v>4503</v>
      </c>
      <c r="R181" s="178">
        <f>IFERROR(VLOOKUP(C181,TD!$B$32:$F$36,4,0)," ")</f>
        <v>20240255</v>
      </c>
      <c r="S181" s="173" t="s">
        <v>181</v>
      </c>
      <c r="T181" s="178" t="str">
        <f>IFERROR(VLOOKUP(S181,TD!$J$33:$K$43,2,0)," ")</f>
        <v>Servicio de inspecciones técnicas realizadas</v>
      </c>
      <c r="U181" s="127" t="str">
        <f>CONCATENATE(S181,"-",T181)</f>
        <v>06-Servicio de inspecciones técnicas realizadas</v>
      </c>
      <c r="V181" s="173" t="s">
        <v>234</v>
      </c>
      <c r="W181" s="178" t="str">
        <f>IFERROR(VLOOKUP(V181,TD!$N$33:$O$45,2,0)," ")</f>
        <v>Servicio prevención y control de incendios</v>
      </c>
      <c r="X181" s="127" t="str">
        <f>CONCATENATE(V181,"_",W181)</f>
        <v>035_Servicio prevención y control de incendios</v>
      </c>
      <c r="Y181" s="127" t="str">
        <f>CONCATENATE(U181," ",X181)</f>
        <v>06-Servicio de inspecciones técnicas realizadas 035_Servicio prevención y control de incendios</v>
      </c>
      <c r="Z181" s="178" t="str">
        <f>CONCATENATE(P181,Q181,R181,S181,V181)</f>
        <v>O23011745032024025506035</v>
      </c>
      <c r="AA181" s="178" t="str">
        <f>IFERROR(VLOOKUP(Y181,TD!$K$46:$L$64,2,0)," ")</f>
        <v>PM/0131/0106/45030350255</v>
      </c>
      <c r="AB181" s="177" t="s">
        <v>138</v>
      </c>
      <c r="AC181" s="179" t="s">
        <v>204</v>
      </c>
    </row>
    <row r="182" spans="2:29" s="28" customFormat="1" ht="74.25" customHeight="1" x14ac:dyDescent="0.35">
      <c r="B182" s="170">
        <v>20250272</v>
      </c>
      <c r="C182" s="171" t="s">
        <v>209</v>
      </c>
      <c r="D182" s="172" t="s">
        <v>167</v>
      </c>
      <c r="E182" s="173" t="s">
        <v>552</v>
      </c>
      <c r="F182" s="172" t="s">
        <v>374</v>
      </c>
      <c r="G182" s="172" t="s">
        <v>155</v>
      </c>
      <c r="H182" s="174">
        <v>80111600</v>
      </c>
      <c r="I182" s="175">
        <v>1</v>
      </c>
      <c r="J182" s="191">
        <v>10</v>
      </c>
      <c r="K182" s="192">
        <v>0</v>
      </c>
      <c r="L182" s="188">
        <f>77000000-7000000</f>
        <v>70000000</v>
      </c>
      <c r="M182" s="172" t="s">
        <v>484</v>
      </c>
      <c r="N182" s="177" t="s">
        <v>557</v>
      </c>
      <c r="O182" s="173" t="s">
        <v>221</v>
      </c>
      <c r="P182" s="178" t="str">
        <f>IFERROR(VLOOKUP(C182,TD!$B$32:$F$36,2,0)," ")</f>
        <v>O230117</v>
      </c>
      <c r="Q182" s="178" t="str">
        <f>IFERROR(VLOOKUP(C182,TD!$B$32:$F$36,3,0)," ")</f>
        <v>4503</v>
      </c>
      <c r="R182" s="178">
        <f>IFERROR(VLOOKUP(C182,TD!$B$32:$F$36,4,0)," ")</f>
        <v>20240255</v>
      </c>
      <c r="S182" s="173" t="s">
        <v>181</v>
      </c>
      <c r="T182" s="178" t="str">
        <f>IFERROR(VLOOKUP(S182,TD!$J$33:$K$43,2,0)," ")</f>
        <v>Servicio de inspecciones técnicas realizadas</v>
      </c>
      <c r="U182" s="127" t="str">
        <f>CONCATENATE(S182,"-",T182)</f>
        <v>06-Servicio de inspecciones técnicas realizadas</v>
      </c>
      <c r="V182" s="173" t="s">
        <v>234</v>
      </c>
      <c r="W182" s="178" t="str">
        <f>IFERROR(VLOOKUP(V182,TD!$N$33:$O$45,2,0)," ")</f>
        <v>Servicio prevención y control de incendios</v>
      </c>
      <c r="X182" s="127" t="str">
        <f>CONCATENATE(V182,"_",W182)</f>
        <v>035_Servicio prevención y control de incendios</v>
      </c>
      <c r="Y182" s="127" t="str">
        <f>CONCATENATE(U182," ",X182)</f>
        <v>06-Servicio de inspecciones técnicas realizadas 035_Servicio prevención y control de incendios</v>
      </c>
      <c r="Z182" s="178" t="str">
        <f>CONCATENATE(P182,Q182,R182,S182,V182)</f>
        <v>O23011745032024025506035</v>
      </c>
      <c r="AA182" s="178" t="str">
        <f>IFERROR(VLOOKUP(Y182,TD!$K$46:$L$64,2,0)," ")</f>
        <v>PM/0131/0106/45030350255</v>
      </c>
      <c r="AB182" s="177" t="s">
        <v>138</v>
      </c>
      <c r="AC182" s="179" t="s">
        <v>204</v>
      </c>
    </row>
    <row r="183" spans="2:29" s="28" customFormat="1" ht="74.25" customHeight="1" x14ac:dyDescent="0.35">
      <c r="B183" s="170">
        <v>20250273</v>
      </c>
      <c r="C183" s="171" t="s">
        <v>209</v>
      </c>
      <c r="D183" s="172" t="s">
        <v>167</v>
      </c>
      <c r="E183" s="173" t="s">
        <v>552</v>
      </c>
      <c r="F183" s="172" t="s">
        <v>374</v>
      </c>
      <c r="G183" s="172" t="s">
        <v>155</v>
      </c>
      <c r="H183" s="174">
        <v>80111600</v>
      </c>
      <c r="I183" s="175">
        <v>1</v>
      </c>
      <c r="J183" s="191">
        <v>10</v>
      </c>
      <c r="K183" s="192">
        <v>0</v>
      </c>
      <c r="L183" s="188">
        <f>77000000-17000000</f>
        <v>60000000</v>
      </c>
      <c r="M183" s="172" t="s">
        <v>484</v>
      </c>
      <c r="N183" s="177" t="s">
        <v>557</v>
      </c>
      <c r="O183" s="173" t="s">
        <v>221</v>
      </c>
      <c r="P183" s="178" t="str">
        <f>IFERROR(VLOOKUP(C183,TD!$B$32:$F$36,2,0)," ")</f>
        <v>O230117</v>
      </c>
      <c r="Q183" s="178" t="str">
        <f>IFERROR(VLOOKUP(C183,TD!$B$32:$F$36,3,0)," ")</f>
        <v>4503</v>
      </c>
      <c r="R183" s="178">
        <f>IFERROR(VLOOKUP(C183,TD!$B$32:$F$36,4,0)," ")</f>
        <v>20240255</v>
      </c>
      <c r="S183" s="173" t="s">
        <v>181</v>
      </c>
      <c r="T183" s="178" t="str">
        <f>IFERROR(VLOOKUP(S183,TD!$J$33:$K$43,2,0)," ")</f>
        <v>Servicio de inspecciones técnicas realizadas</v>
      </c>
      <c r="U183" s="127" t="str">
        <f>CONCATENATE(S183,"-",T183)</f>
        <v>06-Servicio de inspecciones técnicas realizadas</v>
      </c>
      <c r="V183" s="173" t="s">
        <v>234</v>
      </c>
      <c r="W183" s="178" t="str">
        <f>IFERROR(VLOOKUP(V183,TD!$N$33:$O$45,2,0)," ")</f>
        <v>Servicio prevención y control de incendios</v>
      </c>
      <c r="X183" s="127" t="str">
        <f>CONCATENATE(V183,"_",W183)</f>
        <v>035_Servicio prevención y control de incendios</v>
      </c>
      <c r="Y183" s="127" t="str">
        <f>CONCATENATE(U183," ",X183)</f>
        <v>06-Servicio de inspecciones técnicas realizadas 035_Servicio prevención y control de incendios</v>
      </c>
      <c r="Z183" s="178" t="str">
        <f>CONCATENATE(P183,Q183,R183,S183,V183)</f>
        <v>O23011745032024025506035</v>
      </c>
      <c r="AA183" s="178" t="str">
        <f>IFERROR(VLOOKUP(Y183,TD!$K$46:$L$64,2,0)," ")</f>
        <v>PM/0131/0106/45030350255</v>
      </c>
      <c r="AB183" s="177" t="s">
        <v>138</v>
      </c>
      <c r="AC183" s="179" t="s">
        <v>204</v>
      </c>
    </row>
    <row r="184" spans="2:29" s="28" customFormat="1" ht="74.25" customHeight="1" x14ac:dyDescent="0.35">
      <c r="B184" s="170">
        <v>20250274</v>
      </c>
      <c r="C184" s="171" t="s">
        <v>209</v>
      </c>
      <c r="D184" s="172" t="s">
        <v>167</v>
      </c>
      <c r="E184" s="173" t="s">
        <v>552</v>
      </c>
      <c r="F184" s="172" t="s">
        <v>374</v>
      </c>
      <c r="G184" s="172" t="s">
        <v>155</v>
      </c>
      <c r="H184" s="174">
        <v>80111600</v>
      </c>
      <c r="I184" s="175">
        <v>1</v>
      </c>
      <c r="J184" s="191">
        <v>10</v>
      </c>
      <c r="K184" s="192">
        <v>0</v>
      </c>
      <c r="L184" s="188">
        <f>77000000-17000000</f>
        <v>60000000</v>
      </c>
      <c r="M184" s="172" t="s">
        <v>484</v>
      </c>
      <c r="N184" s="177" t="s">
        <v>557</v>
      </c>
      <c r="O184" s="173" t="s">
        <v>221</v>
      </c>
      <c r="P184" s="178" t="str">
        <f>IFERROR(VLOOKUP(C184,TD!$B$32:$F$36,2,0)," ")</f>
        <v>O230117</v>
      </c>
      <c r="Q184" s="178" t="str">
        <f>IFERROR(VLOOKUP(C184,TD!$B$32:$F$36,3,0)," ")</f>
        <v>4503</v>
      </c>
      <c r="R184" s="178">
        <f>IFERROR(VLOOKUP(C184,TD!$B$32:$F$36,4,0)," ")</f>
        <v>20240255</v>
      </c>
      <c r="S184" s="173" t="s">
        <v>181</v>
      </c>
      <c r="T184" s="178" t="str">
        <f>IFERROR(VLOOKUP(S184,TD!$J$33:$K$43,2,0)," ")</f>
        <v>Servicio de inspecciones técnicas realizadas</v>
      </c>
      <c r="U184" s="127" t="str">
        <f>CONCATENATE(S184,"-",T184)</f>
        <v>06-Servicio de inspecciones técnicas realizadas</v>
      </c>
      <c r="V184" s="173" t="s">
        <v>234</v>
      </c>
      <c r="W184" s="178" t="str">
        <f>IFERROR(VLOOKUP(V184,TD!$N$33:$O$45,2,0)," ")</f>
        <v>Servicio prevención y control de incendios</v>
      </c>
      <c r="X184" s="127" t="str">
        <f>CONCATENATE(V184,"_",W184)</f>
        <v>035_Servicio prevención y control de incendios</v>
      </c>
      <c r="Y184" s="127" t="str">
        <f>CONCATENATE(U184," ",X184)</f>
        <v>06-Servicio de inspecciones técnicas realizadas 035_Servicio prevención y control de incendios</v>
      </c>
      <c r="Z184" s="178" t="str">
        <f>CONCATENATE(P184,Q184,R184,S184,V184)</f>
        <v>O23011745032024025506035</v>
      </c>
      <c r="AA184" s="178" t="str">
        <f>IFERROR(VLOOKUP(Y184,TD!$K$46:$L$64,2,0)," ")</f>
        <v>PM/0131/0106/45030350255</v>
      </c>
      <c r="AB184" s="177" t="s">
        <v>138</v>
      </c>
      <c r="AC184" s="179" t="s">
        <v>204</v>
      </c>
    </row>
    <row r="185" spans="2:29" s="28" customFormat="1" ht="84.5" customHeight="1" x14ac:dyDescent="0.35">
      <c r="B185" s="170">
        <v>20250275</v>
      </c>
      <c r="C185" s="171" t="s">
        <v>209</v>
      </c>
      <c r="D185" s="172" t="s">
        <v>167</v>
      </c>
      <c r="E185" s="173" t="s">
        <v>552</v>
      </c>
      <c r="F185" s="172" t="s">
        <v>373</v>
      </c>
      <c r="G185" s="172" t="s">
        <v>156</v>
      </c>
      <c r="H185" s="174">
        <v>80111600</v>
      </c>
      <c r="I185" s="175">
        <v>1</v>
      </c>
      <c r="J185" s="191">
        <v>10</v>
      </c>
      <c r="K185" s="192">
        <v>0</v>
      </c>
      <c r="L185" s="188">
        <f>44000000-4000000</f>
        <v>40000000</v>
      </c>
      <c r="M185" s="172" t="s">
        <v>484</v>
      </c>
      <c r="N185" s="177" t="s">
        <v>557</v>
      </c>
      <c r="O185" s="173" t="s">
        <v>221</v>
      </c>
      <c r="P185" s="178" t="str">
        <f>IFERROR(VLOOKUP(C185,TD!$B$32:$F$36,2,0)," ")</f>
        <v>O230117</v>
      </c>
      <c r="Q185" s="178" t="str">
        <f>IFERROR(VLOOKUP(C185,TD!$B$32:$F$36,3,0)," ")</f>
        <v>4503</v>
      </c>
      <c r="R185" s="178">
        <f>IFERROR(VLOOKUP(C185,TD!$B$32:$F$36,4,0)," ")</f>
        <v>20240255</v>
      </c>
      <c r="S185" s="173" t="s">
        <v>181</v>
      </c>
      <c r="T185" s="178" t="str">
        <f>IFERROR(VLOOKUP(S185,TD!$J$33:$K$43,2,0)," ")</f>
        <v>Servicio de inspecciones técnicas realizadas</v>
      </c>
      <c r="U185" s="127" t="str">
        <f>CONCATENATE(S185,"-",T185)</f>
        <v>06-Servicio de inspecciones técnicas realizadas</v>
      </c>
      <c r="V185" s="173" t="s">
        <v>234</v>
      </c>
      <c r="W185" s="178" t="str">
        <f>IFERROR(VLOOKUP(V185,TD!$N$33:$O$45,2,0)," ")</f>
        <v>Servicio prevención y control de incendios</v>
      </c>
      <c r="X185" s="127" t="str">
        <f>CONCATENATE(V185,"_",W185)</f>
        <v>035_Servicio prevención y control de incendios</v>
      </c>
      <c r="Y185" s="127" t="str">
        <f>CONCATENATE(U185," ",X185)</f>
        <v>06-Servicio de inspecciones técnicas realizadas 035_Servicio prevención y control de incendios</v>
      </c>
      <c r="Z185" s="178" t="str">
        <f>CONCATENATE(P185,Q185,R185,S185,V185)</f>
        <v>O23011745032024025506035</v>
      </c>
      <c r="AA185" s="178" t="str">
        <f>IFERROR(VLOOKUP(Y185,TD!$K$46:$L$64,2,0)," ")</f>
        <v>PM/0131/0106/45030350255</v>
      </c>
      <c r="AB185" s="177" t="s">
        <v>138</v>
      </c>
      <c r="AC185" s="179" t="s">
        <v>204</v>
      </c>
    </row>
    <row r="186" spans="2:29" s="28" customFormat="1" ht="74.25" customHeight="1" x14ac:dyDescent="0.35">
      <c r="B186" s="170">
        <v>20250276</v>
      </c>
      <c r="C186" s="171" t="s">
        <v>209</v>
      </c>
      <c r="D186" s="172" t="s">
        <v>167</v>
      </c>
      <c r="E186" s="173" t="s">
        <v>552</v>
      </c>
      <c r="F186" s="172" t="s">
        <v>373</v>
      </c>
      <c r="G186" s="172" t="s">
        <v>156</v>
      </c>
      <c r="H186" s="174">
        <v>80111600</v>
      </c>
      <c r="I186" s="175">
        <v>1</v>
      </c>
      <c r="J186" s="191">
        <v>10</v>
      </c>
      <c r="K186" s="192">
        <v>0</v>
      </c>
      <c r="L186" s="188">
        <f>44000000-4000000</f>
        <v>40000000</v>
      </c>
      <c r="M186" s="172" t="s">
        <v>484</v>
      </c>
      <c r="N186" s="177" t="s">
        <v>557</v>
      </c>
      <c r="O186" s="173" t="s">
        <v>221</v>
      </c>
      <c r="P186" s="178" t="str">
        <f>IFERROR(VLOOKUP(C186,TD!$B$32:$F$36,2,0)," ")</f>
        <v>O230117</v>
      </c>
      <c r="Q186" s="178" t="str">
        <f>IFERROR(VLOOKUP(C186,TD!$B$32:$F$36,3,0)," ")</f>
        <v>4503</v>
      </c>
      <c r="R186" s="178">
        <f>IFERROR(VLOOKUP(C186,TD!$B$32:$F$36,4,0)," ")</f>
        <v>20240255</v>
      </c>
      <c r="S186" s="173" t="s">
        <v>181</v>
      </c>
      <c r="T186" s="178" t="str">
        <f>IFERROR(VLOOKUP(S186,TD!$J$33:$K$43,2,0)," ")</f>
        <v>Servicio de inspecciones técnicas realizadas</v>
      </c>
      <c r="U186" s="127" t="str">
        <f>CONCATENATE(S186,"-",T186)</f>
        <v>06-Servicio de inspecciones técnicas realizadas</v>
      </c>
      <c r="V186" s="173" t="s">
        <v>234</v>
      </c>
      <c r="W186" s="178" t="str">
        <f>IFERROR(VLOOKUP(V186,TD!$N$33:$O$45,2,0)," ")</f>
        <v>Servicio prevención y control de incendios</v>
      </c>
      <c r="X186" s="127" t="str">
        <f>CONCATENATE(V186,"_",W186)</f>
        <v>035_Servicio prevención y control de incendios</v>
      </c>
      <c r="Y186" s="127" t="str">
        <f>CONCATENATE(U186," ",X186)</f>
        <v>06-Servicio de inspecciones técnicas realizadas 035_Servicio prevención y control de incendios</v>
      </c>
      <c r="Z186" s="178" t="str">
        <f>CONCATENATE(P186,Q186,R186,S186,V186)</f>
        <v>O23011745032024025506035</v>
      </c>
      <c r="AA186" s="178" t="str">
        <f>IFERROR(VLOOKUP(Y186,TD!$K$46:$L$64,2,0)," ")</f>
        <v>PM/0131/0106/45030350255</v>
      </c>
      <c r="AB186" s="177" t="s">
        <v>138</v>
      </c>
      <c r="AC186" s="179" t="s">
        <v>204</v>
      </c>
    </row>
    <row r="187" spans="2:29" s="28" customFormat="1" ht="74.25" customHeight="1" x14ac:dyDescent="0.35">
      <c r="B187" s="170">
        <v>20250277</v>
      </c>
      <c r="C187" s="171" t="s">
        <v>209</v>
      </c>
      <c r="D187" s="172" t="s">
        <v>167</v>
      </c>
      <c r="E187" s="173" t="s">
        <v>552</v>
      </c>
      <c r="F187" s="172" t="s">
        <v>373</v>
      </c>
      <c r="G187" s="172" t="s">
        <v>156</v>
      </c>
      <c r="H187" s="174">
        <v>80111600</v>
      </c>
      <c r="I187" s="175">
        <v>1</v>
      </c>
      <c r="J187" s="191">
        <v>10</v>
      </c>
      <c r="K187" s="192">
        <v>0</v>
      </c>
      <c r="L187" s="188">
        <f>44000000-4000000</f>
        <v>40000000</v>
      </c>
      <c r="M187" s="172" t="s">
        <v>484</v>
      </c>
      <c r="N187" s="177" t="s">
        <v>557</v>
      </c>
      <c r="O187" s="173" t="s">
        <v>221</v>
      </c>
      <c r="P187" s="178" t="str">
        <f>IFERROR(VLOOKUP(C187,TD!$B$32:$F$36,2,0)," ")</f>
        <v>O230117</v>
      </c>
      <c r="Q187" s="178" t="str">
        <f>IFERROR(VLOOKUP(C187,TD!$B$32:$F$36,3,0)," ")</f>
        <v>4503</v>
      </c>
      <c r="R187" s="178">
        <f>IFERROR(VLOOKUP(C187,TD!$B$32:$F$36,4,0)," ")</f>
        <v>20240255</v>
      </c>
      <c r="S187" s="173" t="s">
        <v>181</v>
      </c>
      <c r="T187" s="178" t="str">
        <f>IFERROR(VLOOKUP(S187,TD!$J$33:$K$43,2,0)," ")</f>
        <v>Servicio de inspecciones técnicas realizadas</v>
      </c>
      <c r="U187" s="127" t="str">
        <f>CONCATENATE(S187,"-",T187)</f>
        <v>06-Servicio de inspecciones técnicas realizadas</v>
      </c>
      <c r="V187" s="173" t="s">
        <v>234</v>
      </c>
      <c r="W187" s="178" t="str">
        <f>IFERROR(VLOOKUP(V187,TD!$N$33:$O$45,2,0)," ")</f>
        <v>Servicio prevención y control de incendios</v>
      </c>
      <c r="X187" s="127" t="str">
        <f>CONCATENATE(V187,"_",W187)</f>
        <v>035_Servicio prevención y control de incendios</v>
      </c>
      <c r="Y187" s="127" t="str">
        <f>CONCATENATE(U187," ",X187)</f>
        <v>06-Servicio de inspecciones técnicas realizadas 035_Servicio prevención y control de incendios</v>
      </c>
      <c r="Z187" s="178" t="str">
        <f>CONCATENATE(P187,Q187,R187,S187,V187)</f>
        <v>O23011745032024025506035</v>
      </c>
      <c r="AA187" s="178" t="str">
        <f>IFERROR(VLOOKUP(Y187,TD!$K$46:$L$64,2,0)," ")</f>
        <v>PM/0131/0106/45030350255</v>
      </c>
      <c r="AB187" s="177" t="s">
        <v>138</v>
      </c>
      <c r="AC187" s="179" t="s">
        <v>204</v>
      </c>
    </row>
    <row r="188" spans="2:29" s="28" customFormat="1" ht="74.25" customHeight="1" x14ac:dyDescent="0.35">
      <c r="B188" s="170">
        <v>20250278</v>
      </c>
      <c r="C188" s="171" t="s">
        <v>209</v>
      </c>
      <c r="D188" s="172" t="s">
        <v>167</v>
      </c>
      <c r="E188" s="173" t="s">
        <v>552</v>
      </c>
      <c r="F188" s="172" t="s">
        <v>373</v>
      </c>
      <c r="G188" s="172" t="s">
        <v>156</v>
      </c>
      <c r="H188" s="174">
        <v>80111600</v>
      </c>
      <c r="I188" s="175">
        <v>1</v>
      </c>
      <c r="J188" s="191">
        <v>10</v>
      </c>
      <c r="K188" s="192">
        <v>0</v>
      </c>
      <c r="L188" s="188">
        <f>44000000-4000000</f>
        <v>40000000</v>
      </c>
      <c r="M188" s="172" t="s">
        <v>484</v>
      </c>
      <c r="N188" s="177" t="s">
        <v>557</v>
      </c>
      <c r="O188" s="173" t="s">
        <v>221</v>
      </c>
      <c r="P188" s="178" t="str">
        <f>IFERROR(VLOOKUP(C188,TD!$B$32:$F$36,2,0)," ")</f>
        <v>O230117</v>
      </c>
      <c r="Q188" s="178" t="str">
        <f>IFERROR(VLOOKUP(C188,TD!$B$32:$F$36,3,0)," ")</f>
        <v>4503</v>
      </c>
      <c r="R188" s="178">
        <f>IFERROR(VLOOKUP(C188,TD!$B$32:$F$36,4,0)," ")</f>
        <v>20240255</v>
      </c>
      <c r="S188" s="173" t="s">
        <v>181</v>
      </c>
      <c r="T188" s="178" t="str">
        <f>IFERROR(VLOOKUP(S188,TD!$J$33:$K$43,2,0)," ")</f>
        <v>Servicio de inspecciones técnicas realizadas</v>
      </c>
      <c r="U188" s="127" t="str">
        <f>CONCATENATE(S188,"-",T188)</f>
        <v>06-Servicio de inspecciones técnicas realizadas</v>
      </c>
      <c r="V188" s="173" t="s">
        <v>234</v>
      </c>
      <c r="W188" s="178" t="str">
        <f>IFERROR(VLOOKUP(V188,TD!$N$33:$O$45,2,0)," ")</f>
        <v>Servicio prevención y control de incendios</v>
      </c>
      <c r="X188" s="127" t="str">
        <f>CONCATENATE(V188,"_",W188)</f>
        <v>035_Servicio prevención y control de incendios</v>
      </c>
      <c r="Y188" s="127" t="str">
        <f>CONCATENATE(U188," ",X188)</f>
        <v>06-Servicio de inspecciones técnicas realizadas 035_Servicio prevención y control de incendios</v>
      </c>
      <c r="Z188" s="178" t="str">
        <f>CONCATENATE(P188,Q188,R188,S188,V188)</f>
        <v>O23011745032024025506035</v>
      </c>
      <c r="AA188" s="178" t="str">
        <f>IFERROR(VLOOKUP(Y188,TD!$K$46:$L$64,2,0)," ")</f>
        <v>PM/0131/0106/45030350255</v>
      </c>
      <c r="AB188" s="177" t="s">
        <v>138</v>
      </c>
      <c r="AC188" s="179" t="s">
        <v>204</v>
      </c>
    </row>
    <row r="189" spans="2:29" s="28" customFormat="1" ht="74.25" customHeight="1" x14ac:dyDescent="0.35">
      <c r="B189" s="170">
        <v>20250279</v>
      </c>
      <c r="C189" s="171" t="s">
        <v>209</v>
      </c>
      <c r="D189" s="172" t="s">
        <v>167</v>
      </c>
      <c r="E189" s="173" t="s">
        <v>552</v>
      </c>
      <c r="F189" s="172" t="s">
        <v>373</v>
      </c>
      <c r="G189" s="172" t="s">
        <v>156</v>
      </c>
      <c r="H189" s="174">
        <v>80111600</v>
      </c>
      <c r="I189" s="175">
        <v>1</v>
      </c>
      <c r="J189" s="191">
        <v>10</v>
      </c>
      <c r="K189" s="192">
        <v>0</v>
      </c>
      <c r="L189" s="188">
        <f>44000000-4000000</f>
        <v>40000000</v>
      </c>
      <c r="M189" s="172" t="s">
        <v>484</v>
      </c>
      <c r="N189" s="177" t="s">
        <v>557</v>
      </c>
      <c r="O189" s="173" t="s">
        <v>221</v>
      </c>
      <c r="P189" s="178" t="str">
        <f>IFERROR(VLOOKUP(C189,TD!$B$32:$F$36,2,0)," ")</f>
        <v>O230117</v>
      </c>
      <c r="Q189" s="178" t="str">
        <f>IFERROR(VLOOKUP(C189,TD!$B$32:$F$36,3,0)," ")</f>
        <v>4503</v>
      </c>
      <c r="R189" s="178">
        <f>IFERROR(VLOOKUP(C189,TD!$B$32:$F$36,4,0)," ")</f>
        <v>20240255</v>
      </c>
      <c r="S189" s="173" t="s">
        <v>181</v>
      </c>
      <c r="T189" s="178" t="str">
        <f>IFERROR(VLOOKUP(S189,TD!$J$33:$K$43,2,0)," ")</f>
        <v>Servicio de inspecciones técnicas realizadas</v>
      </c>
      <c r="U189" s="127" t="str">
        <f>CONCATENATE(S189,"-",T189)</f>
        <v>06-Servicio de inspecciones técnicas realizadas</v>
      </c>
      <c r="V189" s="173" t="s">
        <v>234</v>
      </c>
      <c r="W189" s="178" t="str">
        <f>IFERROR(VLOOKUP(V189,TD!$N$33:$O$45,2,0)," ")</f>
        <v>Servicio prevención y control de incendios</v>
      </c>
      <c r="X189" s="127" t="str">
        <f>CONCATENATE(V189,"_",W189)</f>
        <v>035_Servicio prevención y control de incendios</v>
      </c>
      <c r="Y189" s="127" t="str">
        <f>CONCATENATE(U189," ",X189)</f>
        <v>06-Servicio de inspecciones técnicas realizadas 035_Servicio prevención y control de incendios</v>
      </c>
      <c r="Z189" s="178" t="str">
        <f>CONCATENATE(P189,Q189,R189,S189,V189)</f>
        <v>O23011745032024025506035</v>
      </c>
      <c r="AA189" s="178" t="str">
        <f>IFERROR(VLOOKUP(Y189,TD!$K$46:$L$64,2,0)," ")</f>
        <v>PM/0131/0106/45030350255</v>
      </c>
      <c r="AB189" s="177" t="s">
        <v>138</v>
      </c>
      <c r="AC189" s="179" t="s">
        <v>204</v>
      </c>
    </row>
    <row r="190" spans="2:29" s="28" customFormat="1" ht="74.25" customHeight="1" x14ac:dyDescent="0.35">
      <c r="B190" s="170">
        <v>20250280</v>
      </c>
      <c r="C190" s="171" t="s">
        <v>209</v>
      </c>
      <c r="D190" s="172" t="s">
        <v>167</v>
      </c>
      <c r="E190" s="173" t="s">
        <v>552</v>
      </c>
      <c r="F190" s="172" t="s">
        <v>373</v>
      </c>
      <c r="G190" s="172" t="s">
        <v>156</v>
      </c>
      <c r="H190" s="174">
        <v>80111600</v>
      </c>
      <c r="I190" s="175">
        <v>1</v>
      </c>
      <c r="J190" s="191">
        <v>10</v>
      </c>
      <c r="K190" s="192">
        <v>0</v>
      </c>
      <c r="L190" s="188">
        <f>44000000-4000000</f>
        <v>40000000</v>
      </c>
      <c r="M190" s="172" t="s">
        <v>484</v>
      </c>
      <c r="N190" s="177" t="s">
        <v>557</v>
      </c>
      <c r="O190" s="173" t="s">
        <v>221</v>
      </c>
      <c r="P190" s="178" t="str">
        <f>IFERROR(VLOOKUP(C190,TD!$B$32:$F$36,2,0)," ")</f>
        <v>O230117</v>
      </c>
      <c r="Q190" s="178" t="str">
        <f>IFERROR(VLOOKUP(C190,TD!$B$32:$F$36,3,0)," ")</f>
        <v>4503</v>
      </c>
      <c r="R190" s="178">
        <f>IFERROR(VLOOKUP(C190,TD!$B$32:$F$36,4,0)," ")</f>
        <v>20240255</v>
      </c>
      <c r="S190" s="173" t="s">
        <v>181</v>
      </c>
      <c r="T190" s="178" t="str">
        <f>IFERROR(VLOOKUP(S190,TD!$J$33:$K$43,2,0)," ")</f>
        <v>Servicio de inspecciones técnicas realizadas</v>
      </c>
      <c r="U190" s="127" t="str">
        <f>CONCATENATE(S190,"-",T190)</f>
        <v>06-Servicio de inspecciones técnicas realizadas</v>
      </c>
      <c r="V190" s="173" t="s">
        <v>234</v>
      </c>
      <c r="W190" s="178" t="str">
        <f>IFERROR(VLOOKUP(V190,TD!$N$33:$O$45,2,0)," ")</f>
        <v>Servicio prevención y control de incendios</v>
      </c>
      <c r="X190" s="127" t="str">
        <f>CONCATENATE(V190,"_",W190)</f>
        <v>035_Servicio prevención y control de incendios</v>
      </c>
      <c r="Y190" s="127" t="str">
        <f>CONCATENATE(U190," ",X190)</f>
        <v>06-Servicio de inspecciones técnicas realizadas 035_Servicio prevención y control de incendios</v>
      </c>
      <c r="Z190" s="178" t="str">
        <f>CONCATENATE(P190,Q190,R190,S190,V190)</f>
        <v>O23011745032024025506035</v>
      </c>
      <c r="AA190" s="178" t="str">
        <f>IFERROR(VLOOKUP(Y190,TD!$K$46:$L$64,2,0)," ")</f>
        <v>PM/0131/0106/45030350255</v>
      </c>
      <c r="AB190" s="177" t="s">
        <v>138</v>
      </c>
      <c r="AC190" s="179" t="s">
        <v>204</v>
      </c>
    </row>
    <row r="191" spans="2:29" s="28" customFormat="1" ht="74.25" customHeight="1" x14ac:dyDescent="0.35">
      <c r="B191" s="170">
        <v>20250281</v>
      </c>
      <c r="C191" s="171" t="s">
        <v>209</v>
      </c>
      <c r="D191" s="172" t="s">
        <v>167</v>
      </c>
      <c r="E191" s="173" t="s">
        <v>552</v>
      </c>
      <c r="F191" s="172" t="s">
        <v>373</v>
      </c>
      <c r="G191" s="172" t="s">
        <v>156</v>
      </c>
      <c r="H191" s="174">
        <v>80111600</v>
      </c>
      <c r="I191" s="175">
        <v>1</v>
      </c>
      <c r="J191" s="191">
        <v>10</v>
      </c>
      <c r="K191" s="192">
        <v>0</v>
      </c>
      <c r="L191" s="188">
        <f>44000000-4000000</f>
        <v>40000000</v>
      </c>
      <c r="M191" s="172" t="s">
        <v>484</v>
      </c>
      <c r="N191" s="177" t="s">
        <v>557</v>
      </c>
      <c r="O191" s="173" t="s">
        <v>221</v>
      </c>
      <c r="P191" s="178" t="str">
        <f>IFERROR(VLOOKUP(C191,TD!$B$32:$F$36,2,0)," ")</f>
        <v>O230117</v>
      </c>
      <c r="Q191" s="178" t="str">
        <f>IFERROR(VLOOKUP(C191,TD!$B$32:$F$36,3,0)," ")</f>
        <v>4503</v>
      </c>
      <c r="R191" s="178">
        <f>IFERROR(VLOOKUP(C191,TD!$B$32:$F$36,4,0)," ")</f>
        <v>20240255</v>
      </c>
      <c r="S191" s="173" t="s">
        <v>181</v>
      </c>
      <c r="T191" s="178" t="str">
        <f>IFERROR(VLOOKUP(S191,TD!$J$33:$K$43,2,0)," ")</f>
        <v>Servicio de inspecciones técnicas realizadas</v>
      </c>
      <c r="U191" s="127" t="str">
        <f>CONCATENATE(S191,"-",T191)</f>
        <v>06-Servicio de inspecciones técnicas realizadas</v>
      </c>
      <c r="V191" s="173" t="s">
        <v>234</v>
      </c>
      <c r="W191" s="178" t="str">
        <f>IFERROR(VLOOKUP(V191,TD!$N$33:$O$45,2,0)," ")</f>
        <v>Servicio prevención y control de incendios</v>
      </c>
      <c r="X191" s="127" t="str">
        <f>CONCATENATE(V191,"_",W191)</f>
        <v>035_Servicio prevención y control de incendios</v>
      </c>
      <c r="Y191" s="127" t="str">
        <f>CONCATENATE(U191," ",X191)</f>
        <v>06-Servicio de inspecciones técnicas realizadas 035_Servicio prevención y control de incendios</v>
      </c>
      <c r="Z191" s="178" t="str">
        <f>CONCATENATE(P191,Q191,R191,S191,V191)</f>
        <v>O23011745032024025506035</v>
      </c>
      <c r="AA191" s="178" t="str">
        <f>IFERROR(VLOOKUP(Y191,TD!$K$46:$L$64,2,0)," ")</f>
        <v>PM/0131/0106/45030350255</v>
      </c>
      <c r="AB191" s="177" t="s">
        <v>138</v>
      </c>
      <c r="AC191" s="179" t="s">
        <v>204</v>
      </c>
    </row>
    <row r="192" spans="2:29" s="28" customFormat="1" ht="74.25" customHeight="1" x14ac:dyDescent="0.35">
      <c r="B192" s="170">
        <v>20250282</v>
      </c>
      <c r="C192" s="171" t="s">
        <v>209</v>
      </c>
      <c r="D192" s="172" t="s">
        <v>167</v>
      </c>
      <c r="E192" s="173" t="s">
        <v>552</v>
      </c>
      <c r="F192" s="172" t="s">
        <v>373</v>
      </c>
      <c r="G192" s="172" t="s">
        <v>156</v>
      </c>
      <c r="H192" s="174">
        <v>80111600</v>
      </c>
      <c r="I192" s="175">
        <v>1</v>
      </c>
      <c r="J192" s="191">
        <v>10</v>
      </c>
      <c r="K192" s="192">
        <v>0</v>
      </c>
      <c r="L192" s="188">
        <f>44000000-4000000</f>
        <v>40000000</v>
      </c>
      <c r="M192" s="172" t="s">
        <v>484</v>
      </c>
      <c r="N192" s="177" t="s">
        <v>557</v>
      </c>
      <c r="O192" s="173" t="s">
        <v>221</v>
      </c>
      <c r="P192" s="178" t="str">
        <f>IFERROR(VLOOKUP(C192,TD!$B$32:$F$36,2,0)," ")</f>
        <v>O230117</v>
      </c>
      <c r="Q192" s="178" t="str">
        <f>IFERROR(VLOOKUP(C192,TD!$B$32:$F$36,3,0)," ")</f>
        <v>4503</v>
      </c>
      <c r="R192" s="178">
        <f>IFERROR(VLOOKUP(C192,TD!$B$32:$F$36,4,0)," ")</f>
        <v>20240255</v>
      </c>
      <c r="S192" s="173" t="s">
        <v>181</v>
      </c>
      <c r="T192" s="178" t="str">
        <f>IFERROR(VLOOKUP(S192,TD!$J$33:$K$43,2,0)," ")</f>
        <v>Servicio de inspecciones técnicas realizadas</v>
      </c>
      <c r="U192" s="127" t="str">
        <f>CONCATENATE(S192,"-",T192)</f>
        <v>06-Servicio de inspecciones técnicas realizadas</v>
      </c>
      <c r="V192" s="173" t="s">
        <v>234</v>
      </c>
      <c r="W192" s="178" t="str">
        <f>IFERROR(VLOOKUP(V192,TD!$N$33:$O$45,2,0)," ")</f>
        <v>Servicio prevención y control de incendios</v>
      </c>
      <c r="X192" s="127" t="str">
        <f>CONCATENATE(V192,"_",W192)</f>
        <v>035_Servicio prevención y control de incendios</v>
      </c>
      <c r="Y192" s="127" t="str">
        <f>CONCATENATE(U192," ",X192)</f>
        <v>06-Servicio de inspecciones técnicas realizadas 035_Servicio prevención y control de incendios</v>
      </c>
      <c r="Z192" s="178" t="str">
        <f>CONCATENATE(P192,Q192,R192,S192,V192)</f>
        <v>O23011745032024025506035</v>
      </c>
      <c r="AA192" s="178" t="str">
        <f>IFERROR(VLOOKUP(Y192,TD!$K$46:$L$64,2,0)," ")</f>
        <v>PM/0131/0106/45030350255</v>
      </c>
      <c r="AB192" s="177" t="s">
        <v>138</v>
      </c>
      <c r="AC192" s="179" t="s">
        <v>204</v>
      </c>
    </row>
    <row r="193" spans="2:29" s="28" customFormat="1" ht="74.25" customHeight="1" x14ac:dyDescent="0.35">
      <c r="B193" s="170">
        <v>20250283</v>
      </c>
      <c r="C193" s="171" t="s">
        <v>209</v>
      </c>
      <c r="D193" s="172" t="s">
        <v>167</v>
      </c>
      <c r="E193" s="173" t="s">
        <v>552</v>
      </c>
      <c r="F193" s="172" t="s">
        <v>373</v>
      </c>
      <c r="G193" s="172" t="s">
        <v>156</v>
      </c>
      <c r="H193" s="174">
        <v>80111600</v>
      </c>
      <c r="I193" s="175">
        <v>1</v>
      </c>
      <c r="J193" s="191">
        <v>10</v>
      </c>
      <c r="K193" s="192">
        <v>0</v>
      </c>
      <c r="L193" s="188">
        <f>44000000-4000000</f>
        <v>40000000</v>
      </c>
      <c r="M193" s="172" t="s">
        <v>484</v>
      </c>
      <c r="N193" s="177" t="s">
        <v>557</v>
      </c>
      <c r="O193" s="173" t="s">
        <v>221</v>
      </c>
      <c r="P193" s="178" t="str">
        <f>IFERROR(VLOOKUP(C193,TD!$B$32:$F$36,2,0)," ")</f>
        <v>O230117</v>
      </c>
      <c r="Q193" s="178" t="str">
        <f>IFERROR(VLOOKUP(C193,TD!$B$32:$F$36,3,0)," ")</f>
        <v>4503</v>
      </c>
      <c r="R193" s="178">
        <f>IFERROR(VLOOKUP(C193,TD!$B$32:$F$36,4,0)," ")</f>
        <v>20240255</v>
      </c>
      <c r="S193" s="173" t="s">
        <v>181</v>
      </c>
      <c r="T193" s="178" t="str">
        <f>IFERROR(VLOOKUP(S193,TD!$J$33:$K$43,2,0)," ")</f>
        <v>Servicio de inspecciones técnicas realizadas</v>
      </c>
      <c r="U193" s="127" t="str">
        <f>CONCATENATE(S193,"-",T193)</f>
        <v>06-Servicio de inspecciones técnicas realizadas</v>
      </c>
      <c r="V193" s="173" t="s">
        <v>234</v>
      </c>
      <c r="W193" s="178" t="str">
        <f>IFERROR(VLOOKUP(V193,TD!$N$33:$O$45,2,0)," ")</f>
        <v>Servicio prevención y control de incendios</v>
      </c>
      <c r="X193" s="127" t="str">
        <f>CONCATENATE(V193,"_",W193)</f>
        <v>035_Servicio prevención y control de incendios</v>
      </c>
      <c r="Y193" s="127" t="str">
        <f>CONCATENATE(U193," ",X193)</f>
        <v>06-Servicio de inspecciones técnicas realizadas 035_Servicio prevención y control de incendios</v>
      </c>
      <c r="Z193" s="178" t="str">
        <f>CONCATENATE(P193,Q193,R193,S193,V193)</f>
        <v>O23011745032024025506035</v>
      </c>
      <c r="AA193" s="178" t="str">
        <f>IFERROR(VLOOKUP(Y193,TD!$K$46:$L$64,2,0)," ")</f>
        <v>PM/0131/0106/45030350255</v>
      </c>
      <c r="AB193" s="177" t="s">
        <v>138</v>
      </c>
      <c r="AC193" s="179" t="s">
        <v>204</v>
      </c>
    </row>
    <row r="194" spans="2:29" s="28" customFormat="1" ht="74.25" customHeight="1" x14ac:dyDescent="0.35">
      <c r="B194" s="170">
        <v>20250284</v>
      </c>
      <c r="C194" s="171" t="s">
        <v>209</v>
      </c>
      <c r="D194" s="172" t="s">
        <v>167</v>
      </c>
      <c r="E194" s="173" t="s">
        <v>552</v>
      </c>
      <c r="F194" s="172" t="s">
        <v>373</v>
      </c>
      <c r="G194" s="172" t="s">
        <v>156</v>
      </c>
      <c r="H194" s="174">
        <v>80111600</v>
      </c>
      <c r="I194" s="175">
        <v>1</v>
      </c>
      <c r="J194" s="191">
        <v>10</v>
      </c>
      <c r="K194" s="192">
        <v>0</v>
      </c>
      <c r="L194" s="188">
        <f>44000000-4000000</f>
        <v>40000000</v>
      </c>
      <c r="M194" s="172" t="s">
        <v>484</v>
      </c>
      <c r="N194" s="177" t="s">
        <v>557</v>
      </c>
      <c r="O194" s="173" t="s">
        <v>221</v>
      </c>
      <c r="P194" s="178" t="str">
        <f>IFERROR(VLOOKUP(C194,TD!$B$32:$F$36,2,0)," ")</f>
        <v>O230117</v>
      </c>
      <c r="Q194" s="178" t="str">
        <f>IFERROR(VLOOKUP(C194,TD!$B$32:$F$36,3,0)," ")</f>
        <v>4503</v>
      </c>
      <c r="R194" s="178">
        <f>IFERROR(VLOOKUP(C194,TD!$B$32:$F$36,4,0)," ")</f>
        <v>20240255</v>
      </c>
      <c r="S194" s="173" t="s">
        <v>181</v>
      </c>
      <c r="T194" s="178" t="str">
        <f>IFERROR(VLOOKUP(S194,TD!$J$33:$K$43,2,0)," ")</f>
        <v>Servicio de inspecciones técnicas realizadas</v>
      </c>
      <c r="U194" s="127" t="str">
        <f>CONCATENATE(S194,"-",T194)</f>
        <v>06-Servicio de inspecciones técnicas realizadas</v>
      </c>
      <c r="V194" s="173" t="s">
        <v>234</v>
      </c>
      <c r="W194" s="178" t="str">
        <f>IFERROR(VLOOKUP(V194,TD!$N$33:$O$45,2,0)," ")</f>
        <v>Servicio prevención y control de incendios</v>
      </c>
      <c r="X194" s="127" t="str">
        <f>CONCATENATE(V194,"_",W194)</f>
        <v>035_Servicio prevención y control de incendios</v>
      </c>
      <c r="Y194" s="127" t="str">
        <f>CONCATENATE(U194," ",X194)</f>
        <v>06-Servicio de inspecciones técnicas realizadas 035_Servicio prevención y control de incendios</v>
      </c>
      <c r="Z194" s="178" t="str">
        <f>CONCATENATE(P194,Q194,R194,S194,V194)</f>
        <v>O23011745032024025506035</v>
      </c>
      <c r="AA194" s="178" t="str">
        <f>IFERROR(VLOOKUP(Y194,TD!$K$46:$L$64,2,0)," ")</f>
        <v>PM/0131/0106/45030350255</v>
      </c>
      <c r="AB194" s="177" t="s">
        <v>138</v>
      </c>
      <c r="AC194" s="179" t="s">
        <v>204</v>
      </c>
    </row>
    <row r="195" spans="2:29" s="28" customFormat="1" ht="74.25" customHeight="1" x14ac:dyDescent="0.35">
      <c r="B195" s="170">
        <v>20250285</v>
      </c>
      <c r="C195" s="171" t="s">
        <v>209</v>
      </c>
      <c r="D195" s="172" t="s">
        <v>167</v>
      </c>
      <c r="E195" s="173" t="s">
        <v>552</v>
      </c>
      <c r="F195" s="172" t="s">
        <v>373</v>
      </c>
      <c r="G195" s="172" t="s">
        <v>156</v>
      </c>
      <c r="H195" s="174">
        <v>80111600</v>
      </c>
      <c r="I195" s="175">
        <v>1</v>
      </c>
      <c r="J195" s="191">
        <v>10</v>
      </c>
      <c r="K195" s="192">
        <v>0</v>
      </c>
      <c r="L195" s="188">
        <f>44000000-4000000</f>
        <v>40000000</v>
      </c>
      <c r="M195" s="172" t="s">
        <v>484</v>
      </c>
      <c r="N195" s="177" t="s">
        <v>557</v>
      </c>
      <c r="O195" s="173" t="s">
        <v>221</v>
      </c>
      <c r="P195" s="178" t="str">
        <f>IFERROR(VLOOKUP(C195,TD!$B$32:$F$36,2,0)," ")</f>
        <v>O230117</v>
      </c>
      <c r="Q195" s="178" t="str">
        <f>IFERROR(VLOOKUP(C195,TD!$B$32:$F$36,3,0)," ")</f>
        <v>4503</v>
      </c>
      <c r="R195" s="178">
        <f>IFERROR(VLOOKUP(C195,TD!$B$32:$F$36,4,0)," ")</f>
        <v>20240255</v>
      </c>
      <c r="S195" s="173" t="s">
        <v>181</v>
      </c>
      <c r="T195" s="178" t="str">
        <f>IFERROR(VLOOKUP(S195,TD!$J$33:$K$43,2,0)," ")</f>
        <v>Servicio de inspecciones técnicas realizadas</v>
      </c>
      <c r="U195" s="127" t="str">
        <f>CONCATENATE(S195,"-",T195)</f>
        <v>06-Servicio de inspecciones técnicas realizadas</v>
      </c>
      <c r="V195" s="173" t="s">
        <v>234</v>
      </c>
      <c r="W195" s="178" t="str">
        <f>IFERROR(VLOOKUP(V195,TD!$N$33:$O$45,2,0)," ")</f>
        <v>Servicio prevención y control de incendios</v>
      </c>
      <c r="X195" s="127" t="str">
        <f>CONCATENATE(V195,"_",W195)</f>
        <v>035_Servicio prevención y control de incendios</v>
      </c>
      <c r="Y195" s="127" t="str">
        <f>CONCATENATE(U195," ",X195)</f>
        <v>06-Servicio de inspecciones técnicas realizadas 035_Servicio prevención y control de incendios</v>
      </c>
      <c r="Z195" s="178" t="str">
        <f>CONCATENATE(P195,Q195,R195,S195,V195)</f>
        <v>O23011745032024025506035</v>
      </c>
      <c r="AA195" s="178" t="str">
        <f>IFERROR(VLOOKUP(Y195,TD!$K$46:$L$64,2,0)," ")</f>
        <v>PM/0131/0106/45030350255</v>
      </c>
      <c r="AB195" s="177" t="s">
        <v>138</v>
      </c>
      <c r="AC195" s="179" t="s">
        <v>204</v>
      </c>
    </row>
    <row r="196" spans="2:29" s="28" customFormat="1" ht="74.25" customHeight="1" x14ac:dyDescent="0.35">
      <c r="B196" s="170">
        <v>20250286</v>
      </c>
      <c r="C196" s="171" t="s">
        <v>209</v>
      </c>
      <c r="D196" s="172" t="s">
        <v>167</v>
      </c>
      <c r="E196" s="173" t="s">
        <v>552</v>
      </c>
      <c r="F196" s="172" t="s">
        <v>373</v>
      </c>
      <c r="G196" s="172" t="s">
        <v>156</v>
      </c>
      <c r="H196" s="174">
        <v>80111600</v>
      </c>
      <c r="I196" s="175">
        <v>1</v>
      </c>
      <c r="J196" s="191">
        <v>10</v>
      </c>
      <c r="K196" s="192">
        <v>0</v>
      </c>
      <c r="L196" s="188">
        <f>44000000-4000000</f>
        <v>40000000</v>
      </c>
      <c r="M196" s="172" t="s">
        <v>484</v>
      </c>
      <c r="N196" s="177" t="s">
        <v>557</v>
      </c>
      <c r="O196" s="173" t="s">
        <v>221</v>
      </c>
      <c r="P196" s="178" t="str">
        <f>IFERROR(VLOOKUP(C196,TD!$B$32:$F$36,2,0)," ")</f>
        <v>O230117</v>
      </c>
      <c r="Q196" s="178" t="str">
        <f>IFERROR(VLOOKUP(C196,TD!$B$32:$F$36,3,0)," ")</f>
        <v>4503</v>
      </c>
      <c r="R196" s="178">
        <f>IFERROR(VLOOKUP(C196,TD!$B$32:$F$36,4,0)," ")</f>
        <v>20240255</v>
      </c>
      <c r="S196" s="173" t="s">
        <v>181</v>
      </c>
      <c r="T196" s="178" t="str">
        <f>IFERROR(VLOOKUP(S196,TD!$J$33:$K$43,2,0)," ")</f>
        <v>Servicio de inspecciones técnicas realizadas</v>
      </c>
      <c r="U196" s="127" t="str">
        <f>CONCATENATE(S196,"-",T196)</f>
        <v>06-Servicio de inspecciones técnicas realizadas</v>
      </c>
      <c r="V196" s="173" t="s">
        <v>234</v>
      </c>
      <c r="W196" s="178" t="str">
        <f>IFERROR(VLOOKUP(V196,TD!$N$33:$O$45,2,0)," ")</f>
        <v>Servicio prevención y control de incendios</v>
      </c>
      <c r="X196" s="127" t="str">
        <f>CONCATENATE(V196,"_",W196)</f>
        <v>035_Servicio prevención y control de incendios</v>
      </c>
      <c r="Y196" s="127" t="str">
        <f>CONCATENATE(U196," ",X196)</f>
        <v>06-Servicio de inspecciones técnicas realizadas 035_Servicio prevención y control de incendios</v>
      </c>
      <c r="Z196" s="178" t="str">
        <f>CONCATENATE(P196,Q196,R196,S196,V196)</f>
        <v>O23011745032024025506035</v>
      </c>
      <c r="AA196" s="178" t="str">
        <f>IFERROR(VLOOKUP(Y196,TD!$K$46:$L$64,2,0)," ")</f>
        <v>PM/0131/0106/45030350255</v>
      </c>
      <c r="AB196" s="177" t="s">
        <v>138</v>
      </c>
      <c r="AC196" s="179" t="s">
        <v>204</v>
      </c>
    </row>
    <row r="197" spans="2:29" s="28" customFormat="1" ht="89.5" customHeight="1" x14ac:dyDescent="0.35">
      <c r="B197" s="170">
        <v>20250287</v>
      </c>
      <c r="C197" s="171" t="s">
        <v>209</v>
      </c>
      <c r="D197" s="172" t="s">
        <v>167</v>
      </c>
      <c r="E197" s="173" t="s">
        <v>552</v>
      </c>
      <c r="F197" s="172" t="s">
        <v>572</v>
      </c>
      <c r="G197" s="172" t="s">
        <v>155</v>
      </c>
      <c r="H197" s="174">
        <v>80111600</v>
      </c>
      <c r="I197" s="175">
        <v>1</v>
      </c>
      <c r="J197" s="191">
        <v>10</v>
      </c>
      <c r="K197" s="192">
        <v>0</v>
      </c>
      <c r="L197" s="188">
        <f>77000000-27000000</f>
        <v>50000000</v>
      </c>
      <c r="M197" s="172" t="s">
        <v>484</v>
      </c>
      <c r="N197" s="177" t="s">
        <v>557</v>
      </c>
      <c r="O197" s="173" t="s">
        <v>221</v>
      </c>
      <c r="P197" s="178" t="str">
        <f>IFERROR(VLOOKUP(C197,TD!$B$32:$F$36,2,0)," ")</f>
        <v>O230117</v>
      </c>
      <c r="Q197" s="178" t="str">
        <f>IFERROR(VLOOKUP(C197,TD!$B$32:$F$36,3,0)," ")</f>
        <v>4503</v>
      </c>
      <c r="R197" s="178">
        <f>IFERROR(VLOOKUP(C197,TD!$B$32:$F$36,4,0)," ")</f>
        <v>20240255</v>
      </c>
      <c r="S197" s="173" t="s">
        <v>177</v>
      </c>
      <c r="T197" s="178" t="str">
        <f>IFERROR(VLOOKUP(S197,TD!$J$33:$K$43,2,0)," ")</f>
        <v>Servicio de capacitaciones en gestión del riesgo de incendios  a la ciudadania.</v>
      </c>
      <c r="U197" s="127" t="str">
        <f>CONCATENATE(S197,"-",T197)</f>
        <v>05-Servicio de capacitaciones en gestión del riesgo de incendios  a la ciudadania.</v>
      </c>
      <c r="V197" s="173" t="s">
        <v>234</v>
      </c>
      <c r="W197" s="178" t="str">
        <f>IFERROR(VLOOKUP(V197,TD!$N$33:$O$45,2,0)," ")</f>
        <v>Servicio prevención y control de incendios</v>
      </c>
      <c r="X197" s="127" t="str">
        <f>CONCATENATE(V197,"_",W197)</f>
        <v>035_Servicio prevención y control de incendios</v>
      </c>
      <c r="Y197" s="127" t="str">
        <f>CONCATENATE(U197," ",X197)</f>
        <v>05-Servicio de capacitaciones en gestión del riesgo de incendios  a la ciudadania. 035_Servicio prevención y control de incendios</v>
      </c>
      <c r="Z197" s="178" t="str">
        <f>CONCATENATE(P197,Q197,R197,S197,V197)</f>
        <v>O23011745032024025505035</v>
      </c>
      <c r="AA197" s="178" t="str">
        <f>IFERROR(VLOOKUP(Y197,TD!$K$46:$L$64,2,0)," ")</f>
        <v>PM/0131/0105/45030350255</v>
      </c>
      <c r="AB197" s="177" t="s">
        <v>138</v>
      </c>
      <c r="AC197" s="179" t="s">
        <v>204</v>
      </c>
    </row>
    <row r="198" spans="2:29" s="28" customFormat="1" ht="74.25" customHeight="1" x14ac:dyDescent="0.35">
      <c r="B198" s="170">
        <v>20250289</v>
      </c>
      <c r="C198" s="171" t="s">
        <v>209</v>
      </c>
      <c r="D198" s="172" t="s">
        <v>167</v>
      </c>
      <c r="E198" s="173" t="s">
        <v>552</v>
      </c>
      <c r="F198" s="172" t="s">
        <v>370</v>
      </c>
      <c r="G198" s="172" t="s">
        <v>155</v>
      </c>
      <c r="H198" s="174">
        <v>80111600</v>
      </c>
      <c r="I198" s="175">
        <v>1</v>
      </c>
      <c r="J198" s="191">
        <v>10</v>
      </c>
      <c r="K198" s="192">
        <v>0</v>
      </c>
      <c r="L198" s="188">
        <f>44000000+6000000</f>
        <v>50000000</v>
      </c>
      <c r="M198" s="172" t="s">
        <v>484</v>
      </c>
      <c r="N198" s="177" t="s">
        <v>557</v>
      </c>
      <c r="O198" s="173" t="s">
        <v>221</v>
      </c>
      <c r="P198" s="178" t="str">
        <f>IFERROR(VLOOKUP(C198,TD!$B$32:$F$36,2,0)," ")</f>
        <v>O230117</v>
      </c>
      <c r="Q198" s="178" t="str">
        <f>IFERROR(VLOOKUP(C198,TD!$B$32:$F$36,3,0)," ")</f>
        <v>4503</v>
      </c>
      <c r="R198" s="178">
        <f>IFERROR(VLOOKUP(C198,TD!$B$32:$F$36,4,0)," ")</f>
        <v>20240255</v>
      </c>
      <c r="S198" s="173" t="s">
        <v>177</v>
      </c>
      <c r="T198" s="178" t="str">
        <f>IFERROR(VLOOKUP(S198,TD!$J$33:$K$43,2,0)," ")</f>
        <v>Servicio de capacitaciones en gestión del riesgo de incendios  a la ciudadania.</v>
      </c>
      <c r="U198" s="127" t="str">
        <f>CONCATENATE(S198,"-",T198)</f>
        <v>05-Servicio de capacitaciones en gestión del riesgo de incendios  a la ciudadania.</v>
      </c>
      <c r="V198" s="173" t="s">
        <v>234</v>
      </c>
      <c r="W198" s="178" t="str">
        <f>IFERROR(VLOOKUP(V198,TD!$N$33:$O$45,2,0)," ")</f>
        <v>Servicio prevención y control de incendios</v>
      </c>
      <c r="X198" s="127" t="str">
        <f>CONCATENATE(V198,"_",W198)</f>
        <v>035_Servicio prevención y control de incendios</v>
      </c>
      <c r="Y198" s="127" t="str">
        <f>CONCATENATE(U198," ",X198)</f>
        <v>05-Servicio de capacitaciones en gestión del riesgo de incendios  a la ciudadania. 035_Servicio prevención y control de incendios</v>
      </c>
      <c r="Z198" s="178" t="str">
        <f>CONCATENATE(P198,Q198,R198,S198,V198)</f>
        <v>O23011745032024025505035</v>
      </c>
      <c r="AA198" s="178" t="str">
        <f>IFERROR(VLOOKUP(Y198,TD!$K$46:$L$64,2,0)," ")</f>
        <v>PM/0131/0105/45030350255</v>
      </c>
      <c r="AB198" s="177" t="s">
        <v>138</v>
      </c>
      <c r="AC198" s="179" t="s">
        <v>204</v>
      </c>
    </row>
    <row r="199" spans="2:29" s="28" customFormat="1" ht="74.25" customHeight="1" x14ac:dyDescent="0.35">
      <c r="B199" s="170">
        <v>20250290</v>
      </c>
      <c r="C199" s="171" t="s">
        <v>209</v>
      </c>
      <c r="D199" s="172" t="s">
        <v>167</v>
      </c>
      <c r="E199" s="173" t="s">
        <v>552</v>
      </c>
      <c r="F199" s="172" t="s">
        <v>370</v>
      </c>
      <c r="G199" s="172" t="s">
        <v>155</v>
      </c>
      <c r="H199" s="174">
        <v>80111600</v>
      </c>
      <c r="I199" s="175">
        <v>1</v>
      </c>
      <c r="J199" s="191">
        <v>10</v>
      </c>
      <c r="K199" s="192">
        <v>0</v>
      </c>
      <c r="L199" s="188">
        <f>77000000-7000000</f>
        <v>70000000</v>
      </c>
      <c r="M199" s="172" t="s">
        <v>484</v>
      </c>
      <c r="N199" s="177" t="s">
        <v>557</v>
      </c>
      <c r="O199" s="173" t="s">
        <v>221</v>
      </c>
      <c r="P199" s="178" t="str">
        <f>IFERROR(VLOOKUP(C199,TD!$B$32:$F$36,2,0)," ")</f>
        <v>O230117</v>
      </c>
      <c r="Q199" s="178" t="str">
        <f>IFERROR(VLOOKUP(C199,TD!$B$32:$F$36,3,0)," ")</f>
        <v>4503</v>
      </c>
      <c r="R199" s="178">
        <f>IFERROR(VLOOKUP(C199,TD!$B$32:$F$36,4,0)," ")</f>
        <v>20240255</v>
      </c>
      <c r="S199" s="173" t="s">
        <v>177</v>
      </c>
      <c r="T199" s="178" t="str">
        <f>IFERROR(VLOOKUP(S199,TD!$J$33:$K$43,2,0)," ")</f>
        <v>Servicio de capacitaciones en gestión del riesgo de incendios  a la ciudadania.</v>
      </c>
      <c r="U199" s="127" t="str">
        <f>CONCATENATE(S199,"-",T199)</f>
        <v>05-Servicio de capacitaciones en gestión del riesgo de incendios  a la ciudadania.</v>
      </c>
      <c r="V199" s="173" t="s">
        <v>234</v>
      </c>
      <c r="W199" s="178" t="str">
        <f>IFERROR(VLOOKUP(V199,TD!$N$33:$O$45,2,0)," ")</f>
        <v>Servicio prevención y control de incendios</v>
      </c>
      <c r="X199" s="127" t="str">
        <f>CONCATENATE(V199,"_",W199)</f>
        <v>035_Servicio prevención y control de incendios</v>
      </c>
      <c r="Y199" s="127" t="str">
        <f>CONCATENATE(U199," ",X199)</f>
        <v>05-Servicio de capacitaciones en gestión del riesgo de incendios  a la ciudadania. 035_Servicio prevención y control de incendios</v>
      </c>
      <c r="Z199" s="178" t="str">
        <f>CONCATENATE(P199,Q199,R199,S199,V199)</f>
        <v>O23011745032024025505035</v>
      </c>
      <c r="AA199" s="178" t="str">
        <f>IFERROR(VLOOKUP(Y199,TD!$K$46:$L$64,2,0)," ")</f>
        <v>PM/0131/0105/45030350255</v>
      </c>
      <c r="AB199" s="177" t="s">
        <v>138</v>
      </c>
      <c r="AC199" s="179" t="s">
        <v>204</v>
      </c>
    </row>
    <row r="200" spans="2:29" s="28" customFormat="1" ht="74.25" customHeight="1" x14ac:dyDescent="0.35">
      <c r="B200" s="170">
        <v>20250291</v>
      </c>
      <c r="C200" s="171" t="s">
        <v>209</v>
      </c>
      <c r="D200" s="172" t="s">
        <v>167</v>
      </c>
      <c r="E200" s="173" t="s">
        <v>552</v>
      </c>
      <c r="F200" s="172" t="s">
        <v>370</v>
      </c>
      <c r="G200" s="172" t="s">
        <v>155</v>
      </c>
      <c r="H200" s="174">
        <v>80111600</v>
      </c>
      <c r="I200" s="175">
        <v>1</v>
      </c>
      <c r="J200" s="191">
        <v>10</v>
      </c>
      <c r="K200" s="192">
        <v>0</v>
      </c>
      <c r="L200" s="188">
        <f>70000000-20000000</f>
        <v>50000000</v>
      </c>
      <c r="M200" s="172" t="s">
        <v>484</v>
      </c>
      <c r="N200" s="177" t="s">
        <v>557</v>
      </c>
      <c r="O200" s="173" t="s">
        <v>221</v>
      </c>
      <c r="P200" s="178" t="str">
        <f>IFERROR(VLOOKUP(C200,TD!$B$32:$F$36,2,0)," ")</f>
        <v>O230117</v>
      </c>
      <c r="Q200" s="178" t="str">
        <f>IFERROR(VLOOKUP(C200,TD!$B$32:$F$36,3,0)," ")</f>
        <v>4503</v>
      </c>
      <c r="R200" s="178">
        <f>IFERROR(VLOOKUP(C200,TD!$B$32:$F$36,4,0)," ")</f>
        <v>20240255</v>
      </c>
      <c r="S200" s="173" t="s">
        <v>177</v>
      </c>
      <c r="T200" s="178" t="str">
        <f>IFERROR(VLOOKUP(S200,TD!$J$33:$K$43,2,0)," ")</f>
        <v>Servicio de capacitaciones en gestión del riesgo de incendios  a la ciudadania.</v>
      </c>
      <c r="U200" s="127" t="str">
        <f>CONCATENATE(S200,"-",T200)</f>
        <v>05-Servicio de capacitaciones en gestión del riesgo de incendios  a la ciudadania.</v>
      </c>
      <c r="V200" s="173" t="s">
        <v>234</v>
      </c>
      <c r="W200" s="178" t="str">
        <f>IFERROR(VLOOKUP(V200,TD!$N$33:$O$45,2,0)," ")</f>
        <v>Servicio prevención y control de incendios</v>
      </c>
      <c r="X200" s="127" t="str">
        <f>CONCATENATE(V200,"_",W200)</f>
        <v>035_Servicio prevención y control de incendios</v>
      </c>
      <c r="Y200" s="127" t="str">
        <f>CONCATENATE(U200," ",X200)</f>
        <v>05-Servicio de capacitaciones en gestión del riesgo de incendios  a la ciudadania. 035_Servicio prevención y control de incendios</v>
      </c>
      <c r="Z200" s="178" t="str">
        <f>CONCATENATE(P200,Q200,R200,S200,V200)</f>
        <v>O23011745032024025505035</v>
      </c>
      <c r="AA200" s="178" t="str">
        <f>IFERROR(VLOOKUP(Y200,TD!$K$46:$L$64,2,0)," ")</f>
        <v>PM/0131/0105/45030350255</v>
      </c>
      <c r="AB200" s="177" t="s">
        <v>138</v>
      </c>
      <c r="AC200" s="179" t="s">
        <v>204</v>
      </c>
    </row>
    <row r="201" spans="2:29" s="28" customFormat="1" ht="74.25" customHeight="1" x14ac:dyDescent="0.35">
      <c r="B201" s="170">
        <v>20250292</v>
      </c>
      <c r="C201" s="171" t="s">
        <v>209</v>
      </c>
      <c r="D201" s="172" t="s">
        <v>167</v>
      </c>
      <c r="E201" s="173" t="s">
        <v>552</v>
      </c>
      <c r="F201" s="172" t="s">
        <v>370</v>
      </c>
      <c r="G201" s="172" t="s">
        <v>155</v>
      </c>
      <c r="H201" s="174">
        <v>80111600</v>
      </c>
      <c r="I201" s="175">
        <v>1</v>
      </c>
      <c r="J201" s="191">
        <v>10</v>
      </c>
      <c r="K201" s="192">
        <v>0</v>
      </c>
      <c r="L201" s="188">
        <f>44000000+6000000</f>
        <v>50000000</v>
      </c>
      <c r="M201" s="172" t="s">
        <v>484</v>
      </c>
      <c r="N201" s="177" t="s">
        <v>557</v>
      </c>
      <c r="O201" s="173" t="s">
        <v>221</v>
      </c>
      <c r="P201" s="178" t="str">
        <f>IFERROR(VLOOKUP(C201,TD!$B$32:$F$36,2,0)," ")</f>
        <v>O230117</v>
      </c>
      <c r="Q201" s="178" t="str">
        <f>IFERROR(VLOOKUP(C201,TD!$B$32:$F$36,3,0)," ")</f>
        <v>4503</v>
      </c>
      <c r="R201" s="178">
        <f>IFERROR(VLOOKUP(C201,TD!$B$32:$F$36,4,0)," ")</f>
        <v>20240255</v>
      </c>
      <c r="S201" s="173" t="s">
        <v>177</v>
      </c>
      <c r="T201" s="178" t="str">
        <f>IFERROR(VLOOKUP(S201,TD!$J$33:$K$43,2,0)," ")</f>
        <v>Servicio de capacitaciones en gestión del riesgo de incendios  a la ciudadania.</v>
      </c>
      <c r="U201" s="127" t="str">
        <f>CONCATENATE(S201,"-",T201)</f>
        <v>05-Servicio de capacitaciones en gestión del riesgo de incendios  a la ciudadania.</v>
      </c>
      <c r="V201" s="173" t="s">
        <v>234</v>
      </c>
      <c r="W201" s="178" t="str">
        <f>IFERROR(VLOOKUP(V201,TD!$N$33:$O$45,2,0)," ")</f>
        <v>Servicio prevención y control de incendios</v>
      </c>
      <c r="X201" s="127" t="str">
        <f>CONCATENATE(V201,"_",W201)</f>
        <v>035_Servicio prevención y control de incendios</v>
      </c>
      <c r="Y201" s="127" t="str">
        <f>CONCATENATE(U201," ",X201)</f>
        <v>05-Servicio de capacitaciones en gestión del riesgo de incendios  a la ciudadania. 035_Servicio prevención y control de incendios</v>
      </c>
      <c r="Z201" s="178" t="str">
        <f>CONCATENATE(P201,Q201,R201,S201,V201)</f>
        <v>O23011745032024025505035</v>
      </c>
      <c r="AA201" s="178" t="str">
        <f>IFERROR(VLOOKUP(Y201,TD!$K$46:$L$64,2,0)," ")</f>
        <v>PM/0131/0105/45030350255</v>
      </c>
      <c r="AB201" s="177" t="s">
        <v>138</v>
      </c>
      <c r="AC201" s="179" t="s">
        <v>204</v>
      </c>
    </row>
    <row r="202" spans="2:29" s="28" customFormat="1" ht="74.25" customHeight="1" x14ac:dyDescent="0.35">
      <c r="B202" s="170">
        <v>20250300</v>
      </c>
      <c r="C202" s="171" t="s">
        <v>209</v>
      </c>
      <c r="D202" s="172" t="s">
        <v>169</v>
      </c>
      <c r="E202" s="173" t="s">
        <v>573</v>
      </c>
      <c r="F202" s="172" t="s">
        <v>575</v>
      </c>
      <c r="G202" s="172" t="s">
        <v>156</v>
      </c>
      <c r="H202" s="174">
        <v>80111600</v>
      </c>
      <c r="I202" s="175">
        <v>2</v>
      </c>
      <c r="J202" s="175">
        <v>6</v>
      </c>
      <c r="K202" s="176">
        <v>0</v>
      </c>
      <c r="L202" s="177">
        <v>15000000</v>
      </c>
      <c r="M202" s="172" t="s">
        <v>484</v>
      </c>
      <c r="N202" s="177" t="s">
        <v>113</v>
      </c>
      <c r="O202" s="173" t="s">
        <v>222</v>
      </c>
      <c r="P202" s="178" t="str">
        <f>IFERROR(VLOOKUP(C202,TD!$B$32:$F$36,2,0)," ")</f>
        <v>O230117</v>
      </c>
      <c r="Q202" s="178" t="str">
        <f>IFERROR(VLOOKUP(C202,TD!$B$32:$F$36,3,0)," ")</f>
        <v>4503</v>
      </c>
      <c r="R202" s="178">
        <f>IFERROR(VLOOKUP(C202,TD!$B$32:$F$36,4,0)," ")</f>
        <v>20240255</v>
      </c>
      <c r="S202" s="173" t="s">
        <v>175</v>
      </c>
      <c r="T202" s="178" t="str">
        <f>IFERROR(VLOOKUP(S202,TD!$J$33:$K$43,2,0)," ")</f>
        <v>Servicio de atención a incidentes y emergencias.</v>
      </c>
      <c r="U202" s="127" t="str">
        <f>CONCATENATE(S202,"-",T202)</f>
        <v>04-Servicio de atención a incidentes y emergencias.</v>
      </c>
      <c r="V202" s="173" t="s">
        <v>232</v>
      </c>
      <c r="W202" s="178" t="str">
        <f>IFERROR(VLOOKUP(V202,TD!$N$33:$O$45,2,0)," ")</f>
        <v>Servicio de atención a emergencias y desastres</v>
      </c>
      <c r="X202" s="127" t="str">
        <f>CONCATENATE(V202,"_",W202)</f>
        <v>004_Servicio de atención a emergencias y desastres</v>
      </c>
      <c r="Y202" s="127" t="str">
        <f>CONCATENATE(U202," ",X202)</f>
        <v>04-Servicio de atención a incidentes y emergencias. 004_Servicio de atención a emergencias y desastres</v>
      </c>
      <c r="Z202" s="178" t="str">
        <f>CONCATENATE(P202,Q202,R202,S202,V202)</f>
        <v>O23011745032024025504004</v>
      </c>
      <c r="AA202" s="178" t="str">
        <f>IFERROR(VLOOKUP(Y202,TD!$K$46:$L$64,2,0)," ")</f>
        <v>PM/0131/0104/45030040255</v>
      </c>
      <c r="AB202" s="177" t="s">
        <v>138</v>
      </c>
      <c r="AC202" s="179" t="s">
        <v>204</v>
      </c>
    </row>
    <row r="203" spans="2:29" s="28" customFormat="1" ht="74.25" customHeight="1" x14ac:dyDescent="0.35">
      <c r="B203" s="170">
        <v>20250301</v>
      </c>
      <c r="C203" s="171" t="s">
        <v>209</v>
      </c>
      <c r="D203" s="172" t="s">
        <v>169</v>
      </c>
      <c r="E203" s="173" t="s">
        <v>573</v>
      </c>
      <c r="F203" s="172" t="s">
        <v>575</v>
      </c>
      <c r="G203" s="172" t="s">
        <v>156</v>
      </c>
      <c r="H203" s="174">
        <v>80111600</v>
      </c>
      <c r="I203" s="175">
        <v>2</v>
      </c>
      <c r="J203" s="175">
        <v>6</v>
      </c>
      <c r="K203" s="176">
        <v>0</v>
      </c>
      <c r="L203" s="177">
        <v>15000000</v>
      </c>
      <c r="M203" s="172" t="s">
        <v>484</v>
      </c>
      <c r="N203" s="177" t="s">
        <v>113</v>
      </c>
      <c r="O203" s="173" t="s">
        <v>222</v>
      </c>
      <c r="P203" s="178" t="str">
        <f>IFERROR(VLOOKUP(C203,TD!$B$32:$F$36,2,0)," ")</f>
        <v>O230117</v>
      </c>
      <c r="Q203" s="178" t="str">
        <f>IFERROR(VLOOKUP(C203,TD!$B$32:$F$36,3,0)," ")</f>
        <v>4503</v>
      </c>
      <c r="R203" s="178">
        <f>IFERROR(VLOOKUP(C203,TD!$B$32:$F$36,4,0)," ")</f>
        <v>20240255</v>
      </c>
      <c r="S203" s="173" t="s">
        <v>175</v>
      </c>
      <c r="T203" s="178" t="str">
        <f>IFERROR(VLOOKUP(S203,TD!$J$33:$K$43,2,0)," ")</f>
        <v>Servicio de atención a incidentes y emergencias.</v>
      </c>
      <c r="U203" s="127" t="str">
        <f>CONCATENATE(S203,"-",T203)</f>
        <v>04-Servicio de atención a incidentes y emergencias.</v>
      </c>
      <c r="V203" s="173" t="s">
        <v>232</v>
      </c>
      <c r="W203" s="178" t="str">
        <f>IFERROR(VLOOKUP(V203,TD!$N$33:$O$45,2,0)," ")</f>
        <v>Servicio de atención a emergencias y desastres</v>
      </c>
      <c r="X203" s="127" t="str">
        <f>CONCATENATE(V203,"_",W203)</f>
        <v>004_Servicio de atención a emergencias y desastres</v>
      </c>
      <c r="Y203" s="127" t="str">
        <f>CONCATENATE(U203," ",X203)</f>
        <v>04-Servicio de atención a incidentes y emergencias. 004_Servicio de atención a emergencias y desastres</v>
      </c>
      <c r="Z203" s="178" t="str">
        <f>CONCATENATE(P203,Q203,R203,S203,V203)</f>
        <v>O23011745032024025504004</v>
      </c>
      <c r="AA203" s="178" t="str">
        <f>IFERROR(VLOOKUP(Y203,TD!$K$46:$L$64,2,0)," ")</f>
        <v>PM/0131/0104/45030040255</v>
      </c>
      <c r="AB203" s="177" t="s">
        <v>138</v>
      </c>
      <c r="AC203" s="179" t="s">
        <v>204</v>
      </c>
    </row>
    <row r="204" spans="2:29" s="28" customFormat="1" ht="74.25" customHeight="1" x14ac:dyDescent="0.35">
      <c r="B204" s="170">
        <v>20250302</v>
      </c>
      <c r="C204" s="171" t="s">
        <v>209</v>
      </c>
      <c r="D204" s="172" t="s">
        <v>169</v>
      </c>
      <c r="E204" s="173" t="s">
        <v>573</v>
      </c>
      <c r="F204" s="172" t="s">
        <v>575</v>
      </c>
      <c r="G204" s="172" t="s">
        <v>156</v>
      </c>
      <c r="H204" s="174">
        <v>80111600</v>
      </c>
      <c r="I204" s="175">
        <v>2</v>
      </c>
      <c r="J204" s="175">
        <v>6</v>
      </c>
      <c r="K204" s="176">
        <v>0</v>
      </c>
      <c r="L204" s="177">
        <v>15000000</v>
      </c>
      <c r="M204" s="172" t="s">
        <v>484</v>
      </c>
      <c r="N204" s="177" t="s">
        <v>113</v>
      </c>
      <c r="O204" s="173" t="s">
        <v>222</v>
      </c>
      <c r="P204" s="178" t="str">
        <f>IFERROR(VLOOKUP(C204,TD!$B$32:$F$36,2,0)," ")</f>
        <v>O230117</v>
      </c>
      <c r="Q204" s="178" t="str">
        <f>IFERROR(VLOOKUP(C204,TD!$B$32:$F$36,3,0)," ")</f>
        <v>4503</v>
      </c>
      <c r="R204" s="178">
        <f>IFERROR(VLOOKUP(C204,TD!$B$32:$F$36,4,0)," ")</f>
        <v>20240255</v>
      </c>
      <c r="S204" s="173" t="s">
        <v>175</v>
      </c>
      <c r="T204" s="178" t="str">
        <f>IFERROR(VLOOKUP(S204,TD!$J$33:$K$43,2,0)," ")</f>
        <v>Servicio de atención a incidentes y emergencias.</v>
      </c>
      <c r="U204" s="127" t="str">
        <f>CONCATENATE(S204,"-",T204)</f>
        <v>04-Servicio de atención a incidentes y emergencias.</v>
      </c>
      <c r="V204" s="173" t="s">
        <v>232</v>
      </c>
      <c r="W204" s="178" t="str">
        <f>IFERROR(VLOOKUP(V204,TD!$N$33:$O$45,2,0)," ")</f>
        <v>Servicio de atención a emergencias y desastres</v>
      </c>
      <c r="X204" s="127" t="str">
        <f>CONCATENATE(V204,"_",W204)</f>
        <v>004_Servicio de atención a emergencias y desastres</v>
      </c>
      <c r="Y204" s="127" t="str">
        <f>CONCATENATE(U204," ",X204)</f>
        <v>04-Servicio de atención a incidentes y emergencias. 004_Servicio de atención a emergencias y desastres</v>
      </c>
      <c r="Z204" s="178" t="str">
        <f>CONCATENATE(P204,Q204,R204,S204,V204)</f>
        <v>O23011745032024025504004</v>
      </c>
      <c r="AA204" s="178" t="str">
        <f>IFERROR(VLOOKUP(Y204,TD!$K$46:$L$64,2,0)," ")</f>
        <v>PM/0131/0104/45030040255</v>
      </c>
      <c r="AB204" s="177" t="s">
        <v>138</v>
      </c>
      <c r="AC204" s="179" t="s">
        <v>204</v>
      </c>
    </row>
    <row r="205" spans="2:29" s="28" customFormat="1" ht="74.25" customHeight="1" x14ac:dyDescent="0.35">
      <c r="B205" s="170">
        <v>20250303</v>
      </c>
      <c r="C205" s="171" t="s">
        <v>209</v>
      </c>
      <c r="D205" s="172" t="s">
        <v>169</v>
      </c>
      <c r="E205" s="173" t="s">
        <v>573</v>
      </c>
      <c r="F205" s="172" t="s">
        <v>575</v>
      </c>
      <c r="G205" s="172" t="s">
        <v>156</v>
      </c>
      <c r="H205" s="174">
        <v>80111600</v>
      </c>
      <c r="I205" s="175">
        <v>2</v>
      </c>
      <c r="J205" s="175">
        <v>6</v>
      </c>
      <c r="K205" s="176">
        <v>0</v>
      </c>
      <c r="L205" s="177">
        <v>15000000</v>
      </c>
      <c r="M205" s="172" t="s">
        <v>484</v>
      </c>
      <c r="N205" s="177" t="s">
        <v>113</v>
      </c>
      <c r="O205" s="173" t="s">
        <v>222</v>
      </c>
      <c r="P205" s="178" t="str">
        <f>IFERROR(VLOOKUP(C205,TD!$B$32:$F$36,2,0)," ")</f>
        <v>O230117</v>
      </c>
      <c r="Q205" s="178" t="str">
        <f>IFERROR(VLOOKUP(C205,TD!$B$32:$F$36,3,0)," ")</f>
        <v>4503</v>
      </c>
      <c r="R205" s="178">
        <f>IFERROR(VLOOKUP(C205,TD!$B$32:$F$36,4,0)," ")</f>
        <v>20240255</v>
      </c>
      <c r="S205" s="173" t="s">
        <v>175</v>
      </c>
      <c r="T205" s="178" t="str">
        <f>IFERROR(VLOOKUP(S205,TD!$J$33:$K$43,2,0)," ")</f>
        <v>Servicio de atención a incidentes y emergencias.</v>
      </c>
      <c r="U205" s="127" t="str">
        <f>CONCATENATE(S205,"-",T205)</f>
        <v>04-Servicio de atención a incidentes y emergencias.</v>
      </c>
      <c r="V205" s="173" t="s">
        <v>232</v>
      </c>
      <c r="W205" s="178" t="str">
        <f>IFERROR(VLOOKUP(V205,TD!$N$33:$O$45,2,0)," ")</f>
        <v>Servicio de atención a emergencias y desastres</v>
      </c>
      <c r="X205" s="127" t="str">
        <f>CONCATENATE(V205,"_",W205)</f>
        <v>004_Servicio de atención a emergencias y desastres</v>
      </c>
      <c r="Y205" s="127" t="str">
        <f>CONCATENATE(U205," ",X205)</f>
        <v>04-Servicio de atención a incidentes y emergencias. 004_Servicio de atención a emergencias y desastres</v>
      </c>
      <c r="Z205" s="178" t="str">
        <f>CONCATENATE(P205,Q205,R205,S205,V205)</f>
        <v>O23011745032024025504004</v>
      </c>
      <c r="AA205" s="178" t="str">
        <f>IFERROR(VLOOKUP(Y205,TD!$K$46:$L$64,2,0)," ")</f>
        <v>PM/0131/0104/45030040255</v>
      </c>
      <c r="AB205" s="177" t="s">
        <v>138</v>
      </c>
      <c r="AC205" s="179" t="s">
        <v>204</v>
      </c>
    </row>
    <row r="206" spans="2:29" s="28" customFormat="1" ht="74.25" customHeight="1" x14ac:dyDescent="0.35">
      <c r="B206" s="170">
        <v>20250304</v>
      </c>
      <c r="C206" s="171" t="s">
        <v>209</v>
      </c>
      <c r="D206" s="172" t="s">
        <v>169</v>
      </c>
      <c r="E206" s="173" t="s">
        <v>573</v>
      </c>
      <c r="F206" s="172" t="s">
        <v>575</v>
      </c>
      <c r="G206" s="172" t="s">
        <v>156</v>
      </c>
      <c r="H206" s="174">
        <v>80111600</v>
      </c>
      <c r="I206" s="175">
        <v>2</v>
      </c>
      <c r="J206" s="175">
        <v>6</v>
      </c>
      <c r="K206" s="176">
        <v>0</v>
      </c>
      <c r="L206" s="177">
        <v>15000000</v>
      </c>
      <c r="M206" s="172" t="s">
        <v>484</v>
      </c>
      <c r="N206" s="177" t="s">
        <v>113</v>
      </c>
      <c r="O206" s="173" t="s">
        <v>222</v>
      </c>
      <c r="P206" s="178" t="str">
        <f>IFERROR(VLOOKUP(C206,TD!$B$32:$F$36,2,0)," ")</f>
        <v>O230117</v>
      </c>
      <c r="Q206" s="178" t="str">
        <f>IFERROR(VLOOKUP(C206,TD!$B$32:$F$36,3,0)," ")</f>
        <v>4503</v>
      </c>
      <c r="R206" s="178">
        <f>IFERROR(VLOOKUP(C206,TD!$B$32:$F$36,4,0)," ")</f>
        <v>20240255</v>
      </c>
      <c r="S206" s="173" t="s">
        <v>175</v>
      </c>
      <c r="T206" s="178" t="str">
        <f>IFERROR(VLOOKUP(S206,TD!$J$33:$K$43,2,0)," ")</f>
        <v>Servicio de atención a incidentes y emergencias.</v>
      </c>
      <c r="U206" s="127" t="str">
        <f>CONCATENATE(S206,"-",T206)</f>
        <v>04-Servicio de atención a incidentes y emergencias.</v>
      </c>
      <c r="V206" s="173" t="s">
        <v>232</v>
      </c>
      <c r="W206" s="178" t="str">
        <f>IFERROR(VLOOKUP(V206,TD!$N$33:$O$45,2,0)," ")</f>
        <v>Servicio de atención a emergencias y desastres</v>
      </c>
      <c r="X206" s="127" t="str">
        <f>CONCATENATE(V206,"_",W206)</f>
        <v>004_Servicio de atención a emergencias y desastres</v>
      </c>
      <c r="Y206" s="127" t="str">
        <f>CONCATENATE(U206," ",X206)</f>
        <v>04-Servicio de atención a incidentes y emergencias. 004_Servicio de atención a emergencias y desastres</v>
      </c>
      <c r="Z206" s="178" t="str">
        <f>CONCATENATE(P206,Q206,R206,S206,V206)</f>
        <v>O23011745032024025504004</v>
      </c>
      <c r="AA206" s="178" t="str">
        <f>IFERROR(VLOOKUP(Y206,TD!$K$46:$L$64,2,0)," ")</f>
        <v>PM/0131/0104/45030040255</v>
      </c>
      <c r="AB206" s="177" t="s">
        <v>138</v>
      </c>
      <c r="AC206" s="179" t="s">
        <v>204</v>
      </c>
    </row>
    <row r="207" spans="2:29" s="28" customFormat="1" ht="74.25" customHeight="1" x14ac:dyDescent="0.35">
      <c r="B207" s="170">
        <v>20250305</v>
      </c>
      <c r="C207" s="171" t="s">
        <v>209</v>
      </c>
      <c r="D207" s="172" t="s">
        <v>169</v>
      </c>
      <c r="E207" s="173" t="s">
        <v>573</v>
      </c>
      <c r="F207" s="172" t="s">
        <v>575</v>
      </c>
      <c r="G207" s="172" t="s">
        <v>156</v>
      </c>
      <c r="H207" s="174">
        <v>80111600</v>
      </c>
      <c r="I207" s="175">
        <v>2</v>
      </c>
      <c r="J207" s="175">
        <v>6</v>
      </c>
      <c r="K207" s="176">
        <v>0</v>
      </c>
      <c r="L207" s="177">
        <v>15000000</v>
      </c>
      <c r="M207" s="172" t="s">
        <v>484</v>
      </c>
      <c r="N207" s="177" t="s">
        <v>113</v>
      </c>
      <c r="O207" s="173" t="s">
        <v>222</v>
      </c>
      <c r="P207" s="178" t="str">
        <f>IFERROR(VLOOKUP(C207,TD!$B$32:$F$36,2,0)," ")</f>
        <v>O230117</v>
      </c>
      <c r="Q207" s="178" t="str">
        <f>IFERROR(VLOOKUP(C207,TD!$B$32:$F$36,3,0)," ")</f>
        <v>4503</v>
      </c>
      <c r="R207" s="178">
        <f>IFERROR(VLOOKUP(C207,TD!$B$32:$F$36,4,0)," ")</f>
        <v>20240255</v>
      </c>
      <c r="S207" s="173" t="s">
        <v>175</v>
      </c>
      <c r="T207" s="178" t="str">
        <f>IFERROR(VLOOKUP(S207,TD!$J$33:$K$43,2,0)," ")</f>
        <v>Servicio de atención a incidentes y emergencias.</v>
      </c>
      <c r="U207" s="127" t="str">
        <f>CONCATENATE(S207,"-",T207)</f>
        <v>04-Servicio de atención a incidentes y emergencias.</v>
      </c>
      <c r="V207" s="173" t="s">
        <v>232</v>
      </c>
      <c r="W207" s="178" t="str">
        <f>IFERROR(VLOOKUP(V207,TD!$N$33:$O$45,2,0)," ")</f>
        <v>Servicio de atención a emergencias y desastres</v>
      </c>
      <c r="X207" s="127" t="str">
        <f>CONCATENATE(V207,"_",W207)</f>
        <v>004_Servicio de atención a emergencias y desastres</v>
      </c>
      <c r="Y207" s="127" t="str">
        <f>CONCATENATE(U207," ",X207)</f>
        <v>04-Servicio de atención a incidentes y emergencias. 004_Servicio de atención a emergencias y desastres</v>
      </c>
      <c r="Z207" s="178" t="str">
        <f>CONCATENATE(P207,Q207,R207,S207,V207)</f>
        <v>O23011745032024025504004</v>
      </c>
      <c r="AA207" s="178" t="str">
        <f>IFERROR(VLOOKUP(Y207,TD!$K$46:$L$64,2,0)," ")</f>
        <v>PM/0131/0104/45030040255</v>
      </c>
      <c r="AB207" s="177" t="s">
        <v>138</v>
      </c>
      <c r="AC207" s="179" t="s">
        <v>204</v>
      </c>
    </row>
    <row r="208" spans="2:29" s="28" customFormat="1" ht="74.25" customHeight="1" x14ac:dyDescent="0.35">
      <c r="B208" s="170">
        <v>20250306</v>
      </c>
      <c r="C208" s="171" t="s">
        <v>209</v>
      </c>
      <c r="D208" s="172" t="s">
        <v>169</v>
      </c>
      <c r="E208" s="173" t="s">
        <v>573</v>
      </c>
      <c r="F208" s="172" t="s">
        <v>575</v>
      </c>
      <c r="G208" s="172" t="s">
        <v>156</v>
      </c>
      <c r="H208" s="174">
        <v>80111600</v>
      </c>
      <c r="I208" s="175">
        <v>2</v>
      </c>
      <c r="J208" s="175">
        <v>6</v>
      </c>
      <c r="K208" s="176">
        <v>8</v>
      </c>
      <c r="L208" s="177">
        <v>15000000</v>
      </c>
      <c r="M208" s="172" t="s">
        <v>484</v>
      </c>
      <c r="N208" s="177" t="s">
        <v>113</v>
      </c>
      <c r="O208" s="173" t="s">
        <v>222</v>
      </c>
      <c r="P208" s="178" t="str">
        <f>IFERROR(VLOOKUP(C208,TD!$B$32:$F$36,2,0)," ")</f>
        <v>O230117</v>
      </c>
      <c r="Q208" s="178" t="str">
        <f>IFERROR(VLOOKUP(C208,TD!$B$32:$F$36,3,0)," ")</f>
        <v>4503</v>
      </c>
      <c r="R208" s="178">
        <f>IFERROR(VLOOKUP(C208,TD!$B$32:$F$36,4,0)," ")</f>
        <v>20240255</v>
      </c>
      <c r="S208" s="173" t="s">
        <v>175</v>
      </c>
      <c r="T208" s="178" t="str">
        <f>IFERROR(VLOOKUP(S208,TD!$J$33:$K$43,2,0)," ")</f>
        <v>Servicio de atención a incidentes y emergencias.</v>
      </c>
      <c r="U208" s="127" t="str">
        <f>CONCATENATE(S208,"-",T208)</f>
        <v>04-Servicio de atención a incidentes y emergencias.</v>
      </c>
      <c r="V208" s="173" t="s">
        <v>232</v>
      </c>
      <c r="W208" s="178" t="str">
        <f>IFERROR(VLOOKUP(V208,TD!$N$33:$O$45,2,0)," ")</f>
        <v>Servicio de atención a emergencias y desastres</v>
      </c>
      <c r="X208" s="127" t="str">
        <f>CONCATENATE(V208,"_",W208)</f>
        <v>004_Servicio de atención a emergencias y desastres</v>
      </c>
      <c r="Y208" s="127" t="str">
        <f>CONCATENATE(U208," ",X208)</f>
        <v>04-Servicio de atención a incidentes y emergencias. 004_Servicio de atención a emergencias y desastres</v>
      </c>
      <c r="Z208" s="178" t="str">
        <f>CONCATENATE(P208,Q208,R208,S208,V208)</f>
        <v>O23011745032024025504004</v>
      </c>
      <c r="AA208" s="178" t="str">
        <f>IFERROR(VLOOKUP(Y208,TD!$K$46:$L$64,2,0)," ")</f>
        <v>PM/0131/0104/45030040255</v>
      </c>
      <c r="AB208" s="177" t="s">
        <v>138</v>
      </c>
      <c r="AC208" s="179" t="s">
        <v>204</v>
      </c>
    </row>
    <row r="209" spans="2:29" s="28" customFormat="1" ht="74.25" customHeight="1" x14ac:dyDescent="0.35">
      <c r="B209" s="170">
        <v>20250307</v>
      </c>
      <c r="C209" s="171" t="s">
        <v>209</v>
      </c>
      <c r="D209" s="172" t="s">
        <v>169</v>
      </c>
      <c r="E209" s="173" t="s">
        <v>573</v>
      </c>
      <c r="F209" s="172" t="s">
        <v>575</v>
      </c>
      <c r="G209" s="172" t="s">
        <v>156</v>
      </c>
      <c r="H209" s="174">
        <v>80111600</v>
      </c>
      <c r="I209" s="175">
        <v>2</v>
      </c>
      <c r="J209" s="175">
        <v>6</v>
      </c>
      <c r="K209" s="176">
        <v>0</v>
      </c>
      <c r="L209" s="177">
        <v>21288667</v>
      </c>
      <c r="M209" s="172" t="s">
        <v>484</v>
      </c>
      <c r="N209" s="177" t="s">
        <v>113</v>
      </c>
      <c r="O209" s="173" t="s">
        <v>222</v>
      </c>
      <c r="P209" s="178" t="str">
        <f>IFERROR(VLOOKUP(C209,TD!$B$32:$F$36,2,0)," ")</f>
        <v>O230117</v>
      </c>
      <c r="Q209" s="178" t="str">
        <f>IFERROR(VLOOKUP(C209,TD!$B$32:$F$36,3,0)," ")</f>
        <v>4503</v>
      </c>
      <c r="R209" s="178">
        <f>IFERROR(VLOOKUP(C209,TD!$B$32:$F$36,4,0)," ")</f>
        <v>20240255</v>
      </c>
      <c r="S209" s="173" t="s">
        <v>175</v>
      </c>
      <c r="T209" s="178" t="str">
        <f>IFERROR(VLOOKUP(S209,TD!$J$33:$K$43,2,0)," ")</f>
        <v>Servicio de atención a incidentes y emergencias.</v>
      </c>
      <c r="U209" s="127" t="str">
        <f>CONCATENATE(S209,"-",T209)</f>
        <v>04-Servicio de atención a incidentes y emergencias.</v>
      </c>
      <c r="V209" s="173" t="s">
        <v>232</v>
      </c>
      <c r="W209" s="178" t="str">
        <f>IFERROR(VLOOKUP(V209,TD!$N$33:$O$45,2,0)," ")</f>
        <v>Servicio de atención a emergencias y desastres</v>
      </c>
      <c r="X209" s="127" t="str">
        <f>CONCATENATE(V209,"_",W209)</f>
        <v>004_Servicio de atención a emergencias y desastres</v>
      </c>
      <c r="Y209" s="127" t="str">
        <f>CONCATENATE(U209," ",X209)</f>
        <v>04-Servicio de atención a incidentes y emergencias. 004_Servicio de atención a emergencias y desastres</v>
      </c>
      <c r="Z209" s="178" t="str">
        <f>CONCATENATE(P209,Q209,R209,S209,V209)</f>
        <v>O23011745032024025504004</v>
      </c>
      <c r="AA209" s="178" t="str">
        <f>IFERROR(VLOOKUP(Y209,TD!$K$46:$L$64,2,0)," ")</f>
        <v>PM/0131/0104/45030040255</v>
      </c>
      <c r="AB209" s="177" t="s">
        <v>138</v>
      </c>
      <c r="AC209" s="179" t="s">
        <v>204</v>
      </c>
    </row>
    <row r="210" spans="2:29" s="28" customFormat="1" ht="88.5" customHeight="1" x14ac:dyDescent="0.35">
      <c r="B210" s="170">
        <v>20250310</v>
      </c>
      <c r="C210" s="171" t="s">
        <v>209</v>
      </c>
      <c r="D210" s="172" t="s">
        <v>169</v>
      </c>
      <c r="E210" s="173" t="s">
        <v>573</v>
      </c>
      <c r="F210" s="172" t="s">
        <v>947</v>
      </c>
      <c r="G210" s="172" t="s">
        <v>156</v>
      </c>
      <c r="H210" s="174">
        <v>80111600</v>
      </c>
      <c r="I210" s="175">
        <v>2</v>
      </c>
      <c r="J210" s="175">
        <v>6</v>
      </c>
      <c r="K210" s="176">
        <v>0</v>
      </c>
      <c r="L210" s="177">
        <v>25357500</v>
      </c>
      <c r="M210" s="172" t="s">
        <v>484</v>
      </c>
      <c r="N210" s="177" t="s">
        <v>113</v>
      </c>
      <c r="O210" s="173" t="s">
        <v>222</v>
      </c>
      <c r="P210" s="178" t="str">
        <f>IFERROR(VLOOKUP(C210,TD!$B$32:$F$36,2,0)," ")</f>
        <v>O230117</v>
      </c>
      <c r="Q210" s="178" t="str">
        <f>IFERROR(VLOOKUP(C210,TD!$B$32:$F$36,3,0)," ")</f>
        <v>4503</v>
      </c>
      <c r="R210" s="178">
        <f>IFERROR(VLOOKUP(C210,TD!$B$32:$F$36,4,0)," ")</f>
        <v>20240255</v>
      </c>
      <c r="S210" s="173" t="s">
        <v>175</v>
      </c>
      <c r="T210" s="178" t="str">
        <f>IFERROR(VLOOKUP(S210,TD!$J$33:$K$43,2,0)," ")</f>
        <v>Servicio de atención a incidentes y emergencias.</v>
      </c>
      <c r="U210" s="127" t="str">
        <f>CONCATENATE(S210,"-",T210)</f>
        <v>04-Servicio de atención a incidentes y emergencias.</v>
      </c>
      <c r="V210" s="173" t="s">
        <v>232</v>
      </c>
      <c r="W210" s="178" t="str">
        <f>IFERROR(VLOOKUP(V210,TD!$N$33:$O$45,2,0)," ")</f>
        <v>Servicio de atención a emergencias y desastres</v>
      </c>
      <c r="X210" s="127" t="str">
        <f>CONCATENATE(V210,"_",W210)</f>
        <v>004_Servicio de atención a emergencias y desastres</v>
      </c>
      <c r="Y210" s="127" t="str">
        <f>CONCATENATE(U210," ",X210)</f>
        <v>04-Servicio de atención a incidentes y emergencias. 004_Servicio de atención a emergencias y desastres</v>
      </c>
      <c r="Z210" s="178" t="str">
        <f>CONCATENATE(P210,Q210,R210,S210,V210)</f>
        <v>O23011745032024025504004</v>
      </c>
      <c r="AA210" s="178" t="str">
        <f>IFERROR(VLOOKUP(Y210,TD!$K$46:$L$64,2,0)," ")</f>
        <v>PM/0131/0104/45030040255</v>
      </c>
      <c r="AB210" s="177" t="s">
        <v>138</v>
      </c>
      <c r="AC210" s="179" t="s">
        <v>204</v>
      </c>
    </row>
    <row r="211" spans="2:29" s="28" customFormat="1" ht="89.5" customHeight="1" x14ac:dyDescent="0.35">
      <c r="B211" s="170">
        <v>20250318</v>
      </c>
      <c r="C211" s="171" t="s">
        <v>209</v>
      </c>
      <c r="D211" s="172" t="s">
        <v>169</v>
      </c>
      <c r="E211" s="173" t="s">
        <v>573</v>
      </c>
      <c r="F211" s="172" t="s">
        <v>577</v>
      </c>
      <c r="G211" s="172" t="s">
        <v>156</v>
      </c>
      <c r="H211" s="174">
        <v>80111600</v>
      </c>
      <c r="I211" s="175">
        <v>2</v>
      </c>
      <c r="J211" s="175">
        <v>10</v>
      </c>
      <c r="K211" s="176">
        <v>0</v>
      </c>
      <c r="L211" s="177">
        <v>35000000</v>
      </c>
      <c r="M211" s="172" t="s">
        <v>484</v>
      </c>
      <c r="N211" s="177" t="s">
        <v>113</v>
      </c>
      <c r="O211" s="173" t="s">
        <v>222</v>
      </c>
      <c r="P211" s="178" t="str">
        <f>IFERROR(VLOOKUP(C211,TD!$B$32:$F$36,2,0)," ")</f>
        <v>O230117</v>
      </c>
      <c r="Q211" s="178" t="str">
        <f>IFERROR(VLOOKUP(C211,TD!$B$32:$F$36,3,0)," ")</f>
        <v>4503</v>
      </c>
      <c r="R211" s="178">
        <f>IFERROR(VLOOKUP(C211,TD!$B$32:$F$36,4,0)," ")</f>
        <v>20240255</v>
      </c>
      <c r="S211" s="173" t="s">
        <v>175</v>
      </c>
      <c r="T211" s="178" t="str">
        <f>IFERROR(VLOOKUP(S211,TD!$J$33:$K$43,2,0)," ")</f>
        <v>Servicio de atención a incidentes y emergencias.</v>
      </c>
      <c r="U211" s="127" t="str">
        <f>CONCATENATE(S211,"-",T211)</f>
        <v>04-Servicio de atención a incidentes y emergencias.</v>
      </c>
      <c r="V211" s="173" t="s">
        <v>232</v>
      </c>
      <c r="W211" s="178" t="str">
        <f>IFERROR(VLOOKUP(V211,TD!$N$33:$O$45,2,0)," ")</f>
        <v>Servicio de atención a emergencias y desastres</v>
      </c>
      <c r="X211" s="127" t="str">
        <f>CONCATENATE(V211,"_",W211)</f>
        <v>004_Servicio de atención a emergencias y desastres</v>
      </c>
      <c r="Y211" s="127" t="str">
        <f>CONCATENATE(U211," ",X211)</f>
        <v>04-Servicio de atención a incidentes y emergencias. 004_Servicio de atención a emergencias y desastres</v>
      </c>
      <c r="Z211" s="178" t="str">
        <f>CONCATENATE(P211,Q211,R211,S211,V211)</f>
        <v>O23011745032024025504004</v>
      </c>
      <c r="AA211" s="178" t="str">
        <f>IFERROR(VLOOKUP(Y211,TD!$K$46:$L$64,2,0)," ")</f>
        <v>PM/0131/0104/45030040255</v>
      </c>
      <c r="AB211" s="177" t="s">
        <v>138</v>
      </c>
      <c r="AC211" s="179" t="s">
        <v>204</v>
      </c>
    </row>
    <row r="212" spans="2:29" s="28" customFormat="1" ht="74.25" customHeight="1" x14ac:dyDescent="0.35">
      <c r="B212" s="170">
        <v>20250322</v>
      </c>
      <c r="C212" s="171" t="s">
        <v>209</v>
      </c>
      <c r="D212" s="172" t="s">
        <v>169</v>
      </c>
      <c r="E212" s="173" t="s">
        <v>573</v>
      </c>
      <c r="F212" s="172" t="s">
        <v>580</v>
      </c>
      <c r="G212" s="172" t="s">
        <v>155</v>
      </c>
      <c r="H212" s="174">
        <v>80111600</v>
      </c>
      <c r="I212" s="175">
        <v>2</v>
      </c>
      <c r="J212" s="175">
        <v>11</v>
      </c>
      <c r="K212" s="176">
        <v>0</v>
      </c>
      <c r="L212" s="177">
        <v>104500000</v>
      </c>
      <c r="M212" s="172" t="s">
        <v>484</v>
      </c>
      <c r="N212" s="177" t="s">
        <v>113</v>
      </c>
      <c r="O212" s="173" t="s">
        <v>222</v>
      </c>
      <c r="P212" s="178" t="str">
        <f>IFERROR(VLOOKUP(C212,TD!$B$32:$F$36,2,0)," ")</f>
        <v>O230117</v>
      </c>
      <c r="Q212" s="178" t="str">
        <f>IFERROR(VLOOKUP(C212,TD!$B$32:$F$36,3,0)," ")</f>
        <v>4503</v>
      </c>
      <c r="R212" s="178">
        <f>IFERROR(VLOOKUP(C212,TD!$B$32:$F$36,4,0)," ")</f>
        <v>20240255</v>
      </c>
      <c r="S212" s="173" t="s">
        <v>175</v>
      </c>
      <c r="T212" s="178" t="str">
        <f>IFERROR(VLOOKUP(S212,TD!$J$33:$K$43,2,0)," ")</f>
        <v>Servicio de atención a incidentes y emergencias.</v>
      </c>
      <c r="U212" s="127" t="str">
        <f>CONCATENATE(S212,"-",T212)</f>
        <v>04-Servicio de atención a incidentes y emergencias.</v>
      </c>
      <c r="V212" s="173" t="s">
        <v>232</v>
      </c>
      <c r="W212" s="178" t="str">
        <f>IFERROR(VLOOKUP(V212,TD!$N$33:$O$45,2,0)," ")</f>
        <v>Servicio de atención a emergencias y desastres</v>
      </c>
      <c r="X212" s="127" t="str">
        <f>CONCATENATE(V212,"_",W212)</f>
        <v>004_Servicio de atención a emergencias y desastres</v>
      </c>
      <c r="Y212" s="127" t="str">
        <f>CONCATENATE(U212," ",X212)</f>
        <v>04-Servicio de atención a incidentes y emergencias. 004_Servicio de atención a emergencias y desastres</v>
      </c>
      <c r="Z212" s="178" t="str">
        <f>CONCATENATE(P212,Q212,R212,S212,V212)</f>
        <v>O23011745032024025504004</v>
      </c>
      <c r="AA212" s="178" t="str">
        <f>IFERROR(VLOOKUP(Y212,TD!$K$46:$L$64,2,0)," ")</f>
        <v>PM/0131/0104/45030040255</v>
      </c>
      <c r="AB212" s="177" t="s">
        <v>138</v>
      </c>
      <c r="AC212" s="179" t="s">
        <v>204</v>
      </c>
    </row>
    <row r="213" spans="2:29" s="28" customFormat="1" ht="74.25" customHeight="1" x14ac:dyDescent="0.35">
      <c r="B213" s="170">
        <v>20250324</v>
      </c>
      <c r="C213" s="171" t="s">
        <v>209</v>
      </c>
      <c r="D213" s="172" t="s">
        <v>169</v>
      </c>
      <c r="E213" s="173" t="s">
        <v>573</v>
      </c>
      <c r="F213" s="172" t="s">
        <v>582</v>
      </c>
      <c r="G213" s="172" t="s">
        <v>155</v>
      </c>
      <c r="H213" s="174">
        <v>80111600</v>
      </c>
      <c r="I213" s="175">
        <v>2</v>
      </c>
      <c r="J213" s="175">
        <v>10</v>
      </c>
      <c r="K213" s="176">
        <v>0</v>
      </c>
      <c r="L213" s="177">
        <v>70000000</v>
      </c>
      <c r="M213" s="172" t="s">
        <v>484</v>
      </c>
      <c r="N213" s="177" t="s">
        <v>113</v>
      </c>
      <c r="O213" s="173" t="s">
        <v>222</v>
      </c>
      <c r="P213" s="178" t="str">
        <f>IFERROR(VLOOKUP(C213,TD!$B$32:$F$36,2,0)," ")</f>
        <v>O230117</v>
      </c>
      <c r="Q213" s="178" t="str">
        <f>IFERROR(VLOOKUP(C213,TD!$B$32:$F$36,3,0)," ")</f>
        <v>4503</v>
      </c>
      <c r="R213" s="178">
        <f>IFERROR(VLOOKUP(C213,TD!$B$32:$F$36,4,0)," ")</f>
        <v>20240255</v>
      </c>
      <c r="S213" s="173" t="s">
        <v>175</v>
      </c>
      <c r="T213" s="178" t="str">
        <f>IFERROR(VLOOKUP(S213,TD!$J$33:$K$43,2,0)," ")</f>
        <v>Servicio de atención a incidentes y emergencias.</v>
      </c>
      <c r="U213" s="127" t="str">
        <f>CONCATENATE(S213,"-",T213)</f>
        <v>04-Servicio de atención a incidentes y emergencias.</v>
      </c>
      <c r="V213" s="173" t="s">
        <v>232</v>
      </c>
      <c r="W213" s="178" t="str">
        <f>IFERROR(VLOOKUP(V213,TD!$N$33:$O$45,2,0)," ")</f>
        <v>Servicio de atención a emergencias y desastres</v>
      </c>
      <c r="X213" s="127" t="str">
        <f>CONCATENATE(V213,"_",W213)</f>
        <v>004_Servicio de atención a emergencias y desastres</v>
      </c>
      <c r="Y213" s="127" t="str">
        <f>CONCATENATE(U213," ",X213)</f>
        <v>04-Servicio de atención a incidentes y emergencias. 004_Servicio de atención a emergencias y desastres</v>
      </c>
      <c r="Z213" s="178" t="str">
        <f>CONCATENATE(P213,Q213,R213,S213,V213)</f>
        <v>O23011745032024025504004</v>
      </c>
      <c r="AA213" s="178" t="str">
        <f>IFERROR(VLOOKUP(Y213,TD!$K$46:$L$64,2,0)," ")</f>
        <v>PM/0131/0104/45030040255</v>
      </c>
      <c r="AB213" s="177" t="s">
        <v>138</v>
      </c>
      <c r="AC213" s="179" t="s">
        <v>204</v>
      </c>
    </row>
    <row r="214" spans="2:29" s="28" customFormat="1" ht="74.25" customHeight="1" x14ac:dyDescent="0.35">
      <c r="B214" s="170">
        <v>20250326</v>
      </c>
      <c r="C214" s="171" t="s">
        <v>209</v>
      </c>
      <c r="D214" s="172" t="s">
        <v>169</v>
      </c>
      <c r="E214" s="173" t="s">
        <v>573</v>
      </c>
      <c r="F214" s="172" t="s">
        <v>584</v>
      </c>
      <c r="G214" s="172" t="s">
        <v>155</v>
      </c>
      <c r="H214" s="174">
        <v>80111600</v>
      </c>
      <c r="I214" s="175">
        <v>3</v>
      </c>
      <c r="J214" s="175">
        <v>10</v>
      </c>
      <c r="K214" s="176">
        <v>0</v>
      </c>
      <c r="L214" s="177">
        <v>95000000</v>
      </c>
      <c r="M214" s="172" t="s">
        <v>484</v>
      </c>
      <c r="N214" s="177" t="s">
        <v>113</v>
      </c>
      <c r="O214" s="173" t="s">
        <v>222</v>
      </c>
      <c r="P214" s="178" t="str">
        <f>IFERROR(VLOOKUP(C214,TD!$B$32:$F$36,2,0)," ")</f>
        <v>O230117</v>
      </c>
      <c r="Q214" s="178" t="str">
        <f>IFERROR(VLOOKUP(C214,TD!$B$32:$F$36,3,0)," ")</f>
        <v>4503</v>
      </c>
      <c r="R214" s="178">
        <f>IFERROR(VLOOKUP(C214,TD!$B$32:$F$36,4,0)," ")</f>
        <v>20240255</v>
      </c>
      <c r="S214" s="173" t="s">
        <v>175</v>
      </c>
      <c r="T214" s="178" t="str">
        <f>IFERROR(VLOOKUP(S214,TD!$J$33:$K$43,2,0)," ")</f>
        <v>Servicio de atención a incidentes y emergencias.</v>
      </c>
      <c r="U214" s="127" t="str">
        <f>CONCATENATE(S214,"-",T214)</f>
        <v>04-Servicio de atención a incidentes y emergencias.</v>
      </c>
      <c r="V214" s="173" t="s">
        <v>232</v>
      </c>
      <c r="W214" s="178" t="str">
        <f>IFERROR(VLOOKUP(V214,TD!$N$33:$O$45,2,0)," ")</f>
        <v>Servicio de atención a emergencias y desastres</v>
      </c>
      <c r="X214" s="127" t="str">
        <f>CONCATENATE(V214,"_",W214)</f>
        <v>004_Servicio de atención a emergencias y desastres</v>
      </c>
      <c r="Y214" s="127" t="str">
        <f>CONCATENATE(U214," ",X214)</f>
        <v>04-Servicio de atención a incidentes y emergencias. 004_Servicio de atención a emergencias y desastres</v>
      </c>
      <c r="Z214" s="178" t="str">
        <f>CONCATENATE(P214,Q214,R214,S214,V214)</f>
        <v>O23011745032024025504004</v>
      </c>
      <c r="AA214" s="178" t="str">
        <f>IFERROR(VLOOKUP(Y214,TD!$K$46:$L$64,2,0)," ")</f>
        <v>PM/0131/0104/45030040255</v>
      </c>
      <c r="AB214" s="177" t="s">
        <v>138</v>
      </c>
      <c r="AC214" s="179" t="s">
        <v>204</v>
      </c>
    </row>
    <row r="215" spans="2:29" s="28" customFormat="1" ht="74.25" customHeight="1" x14ac:dyDescent="0.35">
      <c r="B215" s="170">
        <v>20250327</v>
      </c>
      <c r="C215" s="171" t="s">
        <v>209</v>
      </c>
      <c r="D215" s="172" t="s">
        <v>169</v>
      </c>
      <c r="E215" s="173" t="s">
        <v>573</v>
      </c>
      <c r="F215" s="172" t="s">
        <v>585</v>
      </c>
      <c r="G215" s="172" t="s">
        <v>155</v>
      </c>
      <c r="H215" s="174">
        <v>80111600</v>
      </c>
      <c r="I215" s="175">
        <v>2</v>
      </c>
      <c r="J215" s="175">
        <v>10</v>
      </c>
      <c r="K215" s="176">
        <v>15</v>
      </c>
      <c r="L215" s="177">
        <v>47250000</v>
      </c>
      <c r="M215" s="172" t="s">
        <v>484</v>
      </c>
      <c r="N215" s="177" t="s">
        <v>113</v>
      </c>
      <c r="O215" s="173" t="s">
        <v>222</v>
      </c>
      <c r="P215" s="178" t="str">
        <f>IFERROR(VLOOKUP(C215,TD!$B$32:$F$36,2,0)," ")</f>
        <v>O230117</v>
      </c>
      <c r="Q215" s="178" t="str">
        <f>IFERROR(VLOOKUP(C215,TD!$B$32:$F$36,3,0)," ")</f>
        <v>4503</v>
      </c>
      <c r="R215" s="178">
        <f>IFERROR(VLOOKUP(C215,TD!$B$32:$F$36,4,0)," ")</f>
        <v>20240255</v>
      </c>
      <c r="S215" s="173" t="s">
        <v>175</v>
      </c>
      <c r="T215" s="178" t="str">
        <f>IFERROR(VLOOKUP(S215,TD!$J$33:$K$43,2,0)," ")</f>
        <v>Servicio de atención a incidentes y emergencias.</v>
      </c>
      <c r="U215" s="127" t="str">
        <f>CONCATENATE(S215,"-",T215)</f>
        <v>04-Servicio de atención a incidentes y emergencias.</v>
      </c>
      <c r="V215" s="173" t="s">
        <v>232</v>
      </c>
      <c r="W215" s="178" t="str">
        <f>IFERROR(VLOOKUP(V215,TD!$N$33:$O$45,2,0)," ")</f>
        <v>Servicio de atención a emergencias y desastres</v>
      </c>
      <c r="X215" s="127" t="str">
        <f>CONCATENATE(V215,"_",W215)</f>
        <v>004_Servicio de atención a emergencias y desastres</v>
      </c>
      <c r="Y215" s="127" t="str">
        <f>CONCATENATE(U215," ",X215)</f>
        <v>04-Servicio de atención a incidentes y emergencias. 004_Servicio de atención a emergencias y desastres</v>
      </c>
      <c r="Z215" s="178" t="str">
        <f>CONCATENATE(P215,Q215,R215,S215,V215)</f>
        <v>O23011745032024025504004</v>
      </c>
      <c r="AA215" s="178" t="str">
        <f>IFERROR(VLOOKUP(Y215,TD!$K$46:$L$64,2,0)," ")</f>
        <v>PM/0131/0104/45030040255</v>
      </c>
      <c r="AB215" s="177" t="s">
        <v>138</v>
      </c>
      <c r="AC215" s="179" t="s">
        <v>204</v>
      </c>
    </row>
    <row r="216" spans="2:29" s="28" customFormat="1" ht="74.25" customHeight="1" x14ac:dyDescent="0.35">
      <c r="B216" s="170">
        <v>20250329</v>
      </c>
      <c r="C216" s="171" t="s">
        <v>209</v>
      </c>
      <c r="D216" s="172" t="s">
        <v>169</v>
      </c>
      <c r="E216" s="173" t="s">
        <v>573</v>
      </c>
      <c r="F216" s="172" t="s">
        <v>587</v>
      </c>
      <c r="G216" s="172" t="s">
        <v>155</v>
      </c>
      <c r="H216" s="174">
        <v>80111600</v>
      </c>
      <c r="I216" s="175">
        <v>2</v>
      </c>
      <c r="J216" s="175">
        <v>10</v>
      </c>
      <c r="K216" s="176">
        <v>0</v>
      </c>
      <c r="L216" s="177">
        <v>65000000</v>
      </c>
      <c r="M216" s="172" t="s">
        <v>484</v>
      </c>
      <c r="N216" s="177" t="s">
        <v>113</v>
      </c>
      <c r="O216" s="173" t="s">
        <v>222</v>
      </c>
      <c r="P216" s="178" t="str">
        <f>IFERROR(VLOOKUP(C216,TD!$B$32:$F$36,2,0)," ")</f>
        <v>O230117</v>
      </c>
      <c r="Q216" s="178" t="str">
        <f>IFERROR(VLOOKUP(C216,TD!$B$32:$F$36,3,0)," ")</f>
        <v>4503</v>
      </c>
      <c r="R216" s="178">
        <f>IFERROR(VLOOKUP(C216,TD!$B$32:$F$36,4,0)," ")</f>
        <v>20240255</v>
      </c>
      <c r="S216" s="173" t="s">
        <v>175</v>
      </c>
      <c r="T216" s="178" t="str">
        <f>IFERROR(VLOOKUP(S216,TD!$J$33:$K$43,2,0)," ")</f>
        <v>Servicio de atención a incidentes y emergencias.</v>
      </c>
      <c r="U216" s="127" t="str">
        <f>CONCATENATE(S216,"-",T216)</f>
        <v>04-Servicio de atención a incidentes y emergencias.</v>
      </c>
      <c r="V216" s="173" t="s">
        <v>232</v>
      </c>
      <c r="W216" s="178" t="str">
        <f>IFERROR(VLOOKUP(V216,TD!$N$33:$O$45,2,0)," ")</f>
        <v>Servicio de atención a emergencias y desastres</v>
      </c>
      <c r="X216" s="127" t="str">
        <f>CONCATENATE(V216,"_",W216)</f>
        <v>004_Servicio de atención a emergencias y desastres</v>
      </c>
      <c r="Y216" s="127" t="str">
        <f>CONCATENATE(U216," ",X216)</f>
        <v>04-Servicio de atención a incidentes y emergencias. 004_Servicio de atención a emergencias y desastres</v>
      </c>
      <c r="Z216" s="178" t="str">
        <f>CONCATENATE(P216,Q216,R216,S216,V216)</f>
        <v>O23011745032024025504004</v>
      </c>
      <c r="AA216" s="178" t="str">
        <f>IFERROR(VLOOKUP(Y216,TD!$K$46:$L$64,2,0)," ")</f>
        <v>PM/0131/0104/45030040255</v>
      </c>
      <c r="AB216" s="177" t="s">
        <v>138</v>
      </c>
      <c r="AC216" s="179" t="s">
        <v>204</v>
      </c>
    </row>
    <row r="217" spans="2:29" s="28" customFormat="1" ht="74.25" customHeight="1" x14ac:dyDescent="0.35">
      <c r="B217" s="170">
        <v>20250330</v>
      </c>
      <c r="C217" s="171" t="s">
        <v>209</v>
      </c>
      <c r="D217" s="172" t="s">
        <v>169</v>
      </c>
      <c r="E217" s="173" t="s">
        <v>573</v>
      </c>
      <c r="F217" s="172" t="s">
        <v>588</v>
      </c>
      <c r="G217" s="172" t="s">
        <v>155</v>
      </c>
      <c r="H217" s="174">
        <v>80111600</v>
      </c>
      <c r="I217" s="175">
        <v>3</v>
      </c>
      <c r="J217" s="175">
        <v>9</v>
      </c>
      <c r="K217" s="176">
        <v>0</v>
      </c>
      <c r="L217" s="177">
        <v>63000000</v>
      </c>
      <c r="M217" s="172" t="s">
        <v>484</v>
      </c>
      <c r="N217" s="177" t="s">
        <v>113</v>
      </c>
      <c r="O217" s="173" t="s">
        <v>222</v>
      </c>
      <c r="P217" s="178" t="str">
        <f>IFERROR(VLOOKUP(C217,TD!$B$32:$F$36,2,0)," ")</f>
        <v>O230117</v>
      </c>
      <c r="Q217" s="178" t="str">
        <f>IFERROR(VLOOKUP(C217,TD!$B$32:$F$36,3,0)," ")</f>
        <v>4503</v>
      </c>
      <c r="R217" s="178">
        <f>IFERROR(VLOOKUP(C217,TD!$B$32:$F$36,4,0)," ")</f>
        <v>20240255</v>
      </c>
      <c r="S217" s="173" t="s">
        <v>175</v>
      </c>
      <c r="T217" s="178" t="str">
        <f>IFERROR(VLOOKUP(S217,TD!$J$33:$K$43,2,0)," ")</f>
        <v>Servicio de atención a incidentes y emergencias.</v>
      </c>
      <c r="U217" s="127" t="str">
        <f>CONCATENATE(S217,"-",T217)</f>
        <v>04-Servicio de atención a incidentes y emergencias.</v>
      </c>
      <c r="V217" s="173" t="s">
        <v>232</v>
      </c>
      <c r="W217" s="178" t="str">
        <f>IFERROR(VLOOKUP(V217,TD!$N$33:$O$45,2,0)," ")</f>
        <v>Servicio de atención a emergencias y desastres</v>
      </c>
      <c r="X217" s="127" t="str">
        <f>CONCATENATE(V217,"_",W217)</f>
        <v>004_Servicio de atención a emergencias y desastres</v>
      </c>
      <c r="Y217" s="127" t="str">
        <f>CONCATENATE(U217," ",X217)</f>
        <v>04-Servicio de atención a incidentes y emergencias. 004_Servicio de atención a emergencias y desastres</v>
      </c>
      <c r="Z217" s="178" t="str">
        <f>CONCATENATE(P217,Q217,R217,S217,V217)</f>
        <v>O23011745032024025504004</v>
      </c>
      <c r="AA217" s="178" t="str">
        <f>IFERROR(VLOOKUP(Y217,TD!$K$46:$L$64,2,0)," ")</f>
        <v>PM/0131/0104/45030040255</v>
      </c>
      <c r="AB217" s="177" t="s">
        <v>138</v>
      </c>
      <c r="AC217" s="179" t="s">
        <v>204</v>
      </c>
    </row>
    <row r="218" spans="2:29" s="28" customFormat="1" ht="74.25" customHeight="1" x14ac:dyDescent="0.35">
      <c r="B218" s="170">
        <v>20250331</v>
      </c>
      <c r="C218" s="171" t="s">
        <v>209</v>
      </c>
      <c r="D218" s="172" t="s">
        <v>169</v>
      </c>
      <c r="E218" s="173" t="s">
        <v>573</v>
      </c>
      <c r="F218" s="172" t="s">
        <v>589</v>
      </c>
      <c r="G218" s="172" t="s">
        <v>155</v>
      </c>
      <c r="H218" s="174">
        <v>80111600</v>
      </c>
      <c r="I218" s="175">
        <v>2</v>
      </c>
      <c r="J218" s="175">
        <v>10</v>
      </c>
      <c r="K218" s="176">
        <v>0</v>
      </c>
      <c r="L218" s="177">
        <v>70000000</v>
      </c>
      <c r="M218" s="172" t="s">
        <v>484</v>
      </c>
      <c r="N218" s="177" t="s">
        <v>113</v>
      </c>
      <c r="O218" s="173" t="s">
        <v>222</v>
      </c>
      <c r="P218" s="178" t="str">
        <f>IFERROR(VLOOKUP(C218,TD!$B$32:$F$36,2,0)," ")</f>
        <v>O230117</v>
      </c>
      <c r="Q218" s="178" t="str">
        <f>IFERROR(VLOOKUP(C218,TD!$B$32:$F$36,3,0)," ")</f>
        <v>4503</v>
      </c>
      <c r="R218" s="178">
        <f>IFERROR(VLOOKUP(C218,TD!$B$32:$F$36,4,0)," ")</f>
        <v>20240255</v>
      </c>
      <c r="S218" s="173" t="s">
        <v>175</v>
      </c>
      <c r="T218" s="178" t="str">
        <f>IFERROR(VLOOKUP(S218,TD!$J$33:$K$43,2,0)," ")</f>
        <v>Servicio de atención a incidentes y emergencias.</v>
      </c>
      <c r="U218" s="127" t="str">
        <f>CONCATENATE(S218,"-",T218)</f>
        <v>04-Servicio de atención a incidentes y emergencias.</v>
      </c>
      <c r="V218" s="173" t="s">
        <v>232</v>
      </c>
      <c r="W218" s="178" t="str">
        <f>IFERROR(VLOOKUP(V218,TD!$N$33:$O$45,2,0)," ")</f>
        <v>Servicio de atención a emergencias y desastres</v>
      </c>
      <c r="X218" s="127" t="str">
        <f>CONCATENATE(V218,"_",W218)</f>
        <v>004_Servicio de atención a emergencias y desastres</v>
      </c>
      <c r="Y218" s="127" t="str">
        <f>CONCATENATE(U218," ",X218)</f>
        <v>04-Servicio de atención a incidentes y emergencias. 004_Servicio de atención a emergencias y desastres</v>
      </c>
      <c r="Z218" s="178" t="str">
        <f>CONCATENATE(P218,Q218,R218,S218,V218)</f>
        <v>O23011745032024025504004</v>
      </c>
      <c r="AA218" s="178" t="str">
        <f>IFERROR(VLOOKUP(Y218,TD!$K$46:$L$64,2,0)," ")</f>
        <v>PM/0131/0104/45030040255</v>
      </c>
      <c r="AB218" s="177" t="s">
        <v>138</v>
      </c>
      <c r="AC218" s="179" t="s">
        <v>204</v>
      </c>
    </row>
    <row r="219" spans="2:29" s="28" customFormat="1" ht="74.25" customHeight="1" x14ac:dyDescent="0.35">
      <c r="B219" s="170">
        <v>20250332</v>
      </c>
      <c r="C219" s="171" t="s">
        <v>209</v>
      </c>
      <c r="D219" s="172" t="s">
        <v>169</v>
      </c>
      <c r="E219" s="173" t="s">
        <v>573</v>
      </c>
      <c r="F219" s="172" t="s">
        <v>590</v>
      </c>
      <c r="G219" s="172" t="s">
        <v>155</v>
      </c>
      <c r="H219" s="174">
        <v>80111600</v>
      </c>
      <c r="I219" s="175">
        <v>3</v>
      </c>
      <c r="J219" s="175">
        <v>10</v>
      </c>
      <c r="K219" s="176">
        <v>0</v>
      </c>
      <c r="L219" s="177">
        <v>94683333</v>
      </c>
      <c r="M219" s="172" t="s">
        <v>484</v>
      </c>
      <c r="N219" s="177" t="s">
        <v>113</v>
      </c>
      <c r="O219" s="173" t="s">
        <v>222</v>
      </c>
      <c r="P219" s="178" t="str">
        <f>IFERROR(VLOOKUP(C219,TD!$B$32:$F$36,2,0)," ")</f>
        <v>O230117</v>
      </c>
      <c r="Q219" s="178" t="str">
        <f>IFERROR(VLOOKUP(C219,TD!$B$32:$F$36,3,0)," ")</f>
        <v>4503</v>
      </c>
      <c r="R219" s="178">
        <f>IFERROR(VLOOKUP(C219,TD!$B$32:$F$36,4,0)," ")</f>
        <v>20240255</v>
      </c>
      <c r="S219" s="173" t="s">
        <v>175</v>
      </c>
      <c r="T219" s="178" t="str">
        <f>IFERROR(VLOOKUP(S219,TD!$J$33:$K$43,2,0)," ")</f>
        <v>Servicio de atención a incidentes y emergencias.</v>
      </c>
      <c r="U219" s="127" t="str">
        <f>CONCATENATE(S219,"-",T219)</f>
        <v>04-Servicio de atención a incidentes y emergencias.</v>
      </c>
      <c r="V219" s="173" t="s">
        <v>232</v>
      </c>
      <c r="W219" s="178" t="str">
        <f>IFERROR(VLOOKUP(V219,TD!$N$33:$O$45,2,0)," ")</f>
        <v>Servicio de atención a emergencias y desastres</v>
      </c>
      <c r="X219" s="127" t="str">
        <f>CONCATENATE(V219,"_",W219)</f>
        <v>004_Servicio de atención a emergencias y desastres</v>
      </c>
      <c r="Y219" s="127" t="str">
        <f>CONCATENATE(U219," ",X219)</f>
        <v>04-Servicio de atención a incidentes y emergencias. 004_Servicio de atención a emergencias y desastres</v>
      </c>
      <c r="Z219" s="178" t="str">
        <f>CONCATENATE(P219,Q219,R219,S219,V219)</f>
        <v>O23011745032024025504004</v>
      </c>
      <c r="AA219" s="178" t="str">
        <f>IFERROR(VLOOKUP(Y219,TD!$K$46:$L$64,2,0)," ")</f>
        <v>PM/0131/0104/45030040255</v>
      </c>
      <c r="AB219" s="177" t="s">
        <v>138</v>
      </c>
      <c r="AC219" s="179" t="s">
        <v>204</v>
      </c>
    </row>
    <row r="220" spans="2:29" s="28" customFormat="1" ht="74.25" customHeight="1" x14ac:dyDescent="0.35">
      <c r="B220" s="170">
        <v>20250333</v>
      </c>
      <c r="C220" s="171" t="s">
        <v>209</v>
      </c>
      <c r="D220" s="172" t="s">
        <v>169</v>
      </c>
      <c r="E220" s="173" t="s">
        <v>573</v>
      </c>
      <c r="F220" s="172" t="s">
        <v>591</v>
      </c>
      <c r="G220" s="172" t="s">
        <v>155</v>
      </c>
      <c r="H220" s="174">
        <v>80111600</v>
      </c>
      <c r="I220" s="175">
        <v>2</v>
      </c>
      <c r="J220" s="175">
        <v>10</v>
      </c>
      <c r="K220" s="176">
        <v>0</v>
      </c>
      <c r="L220" s="177">
        <v>55000000</v>
      </c>
      <c r="M220" s="172" t="s">
        <v>484</v>
      </c>
      <c r="N220" s="177" t="s">
        <v>113</v>
      </c>
      <c r="O220" s="173" t="s">
        <v>222</v>
      </c>
      <c r="P220" s="178" t="str">
        <f>IFERROR(VLOOKUP(C220,TD!$B$32:$F$36,2,0)," ")</f>
        <v>O230117</v>
      </c>
      <c r="Q220" s="178" t="str">
        <f>IFERROR(VLOOKUP(C220,TD!$B$32:$F$36,3,0)," ")</f>
        <v>4503</v>
      </c>
      <c r="R220" s="178">
        <f>IFERROR(VLOOKUP(C220,TD!$B$32:$F$36,4,0)," ")</f>
        <v>20240255</v>
      </c>
      <c r="S220" s="173" t="s">
        <v>175</v>
      </c>
      <c r="T220" s="178" t="str">
        <f>IFERROR(VLOOKUP(S220,TD!$J$33:$K$43,2,0)," ")</f>
        <v>Servicio de atención a incidentes y emergencias.</v>
      </c>
      <c r="U220" s="127" t="str">
        <f>CONCATENATE(S220,"-",T220)</f>
        <v>04-Servicio de atención a incidentes y emergencias.</v>
      </c>
      <c r="V220" s="173" t="s">
        <v>232</v>
      </c>
      <c r="W220" s="178" t="str">
        <f>IFERROR(VLOOKUP(V220,TD!$N$33:$O$45,2,0)," ")</f>
        <v>Servicio de atención a emergencias y desastres</v>
      </c>
      <c r="X220" s="127" t="str">
        <f>CONCATENATE(V220,"_",W220)</f>
        <v>004_Servicio de atención a emergencias y desastres</v>
      </c>
      <c r="Y220" s="127" t="str">
        <f>CONCATENATE(U220," ",X220)</f>
        <v>04-Servicio de atención a incidentes y emergencias. 004_Servicio de atención a emergencias y desastres</v>
      </c>
      <c r="Z220" s="178" t="str">
        <f>CONCATENATE(P220,Q220,R220,S220,V220)</f>
        <v>O23011745032024025504004</v>
      </c>
      <c r="AA220" s="178" t="str">
        <f>IFERROR(VLOOKUP(Y220,TD!$K$46:$L$64,2,0)," ")</f>
        <v>PM/0131/0104/45030040255</v>
      </c>
      <c r="AB220" s="177" t="s">
        <v>138</v>
      </c>
      <c r="AC220" s="179" t="s">
        <v>204</v>
      </c>
    </row>
    <row r="221" spans="2:29" s="28" customFormat="1" ht="74.25" customHeight="1" x14ac:dyDescent="0.35">
      <c r="B221" s="170">
        <v>20250335</v>
      </c>
      <c r="C221" s="171" t="s">
        <v>209</v>
      </c>
      <c r="D221" s="172" t="s">
        <v>169</v>
      </c>
      <c r="E221" s="173" t="s">
        <v>573</v>
      </c>
      <c r="F221" s="172" t="s">
        <v>593</v>
      </c>
      <c r="G221" s="172" t="s">
        <v>155</v>
      </c>
      <c r="H221" s="174">
        <v>80111600</v>
      </c>
      <c r="I221" s="175">
        <v>2</v>
      </c>
      <c r="J221" s="175">
        <v>10</v>
      </c>
      <c r="K221" s="176">
        <v>15</v>
      </c>
      <c r="L221" s="177">
        <v>52500000</v>
      </c>
      <c r="M221" s="172" t="s">
        <v>484</v>
      </c>
      <c r="N221" s="177" t="s">
        <v>113</v>
      </c>
      <c r="O221" s="173" t="s">
        <v>222</v>
      </c>
      <c r="P221" s="178" t="str">
        <f>IFERROR(VLOOKUP(C221,TD!$B$32:$F$36,2,0)," ")</f>
        <v>O230117</v>
      </c>
      <c r="Q221" s="178" t="str">
        <f>IFERROR(VLOOKUP(C221,TD!$B$32:$F$36,3,0)," ")</f>
        <v>4503</v>
      </c>
      <c r="R221" s="178">
        <f>IFERROR(VLOOKUP(C221,TD!$B$32:$F$36,4,0)," ")</f>
        <v>20240255</v>
      </c>
      <c r="S221" s="173" t="s">
        <v>175</v>
      </c>
      <c r="T221" s="178" t="str">
        <f>IFERROR(VLOOKUP(S221,TD!$J$33:$K$43,2,0)," ")</f>
        <v>Servicio de atención a incidentes y emergencias.</v>
      </c>
      <c r="U221" s="127" t="str">
        <f>CONCATENATE(S221,"-",T221)</f>
        <v>04-Servicio de atención a incidentes y emergencias.</v>
      </c>
      <c r="V221" s="173" t="s">
        <v>232</v>
      </c>
      <c r="W221" s="178" t="str">
        <f>IFERROR(VLOOKUP(V221,TD!$N$33:$O$45,2,0)," ")</f>
        <v>Servicio de atención a emergencias y desastres</v>
      </c>
      <c r="X221" s="127" t="str">
        <f>CONCATENATE(V221,"_",W221)</f>
        <v>004_Servicio de atención a emergencias y desastres</v>
      </c>
      <c r="Y221" s="127" t="str">
        <f>CONCATENATE(U221," ",X221)</f>
        <v>04-Servicio de atención a incidentes y emergencias. 004_Servicio de atención a emergencias y desastres</v>
      </c>
      <c r="Z221" s="178" t="str">
        <f>CONCATENATE(P221,Q221,R221,S221,V221)</f>
        <v>O23011745032024025504004</v>
      </c>
      <c r="AA221" s="178" t="str">
        <f>IFERROR(VLOOKUP(Y221,TD!$K$46:$L$64,2,0)," ")</f>
        <v>PM/0131/0104/45030040255</v>
      </c>
      <c r="AB221" s="177" t="s">
        <v>138</v>
      </c>
      <c r="AC221" s="179" t="s">
        <v>204</v>
      </c>
    </row>
    <row r="222" spans="2:29" s="28" customFormat="1" ht="74.25" customHeight="1" x14ac:dyDescent="0.35">
      <c r="B222" s="170">
        <v>20250340</v>
      </c>
      <c r="C222" s="171" t="s">
        <v>209</v>
      </c>
      <c r="D222" s="172" t="s">
        <v>169</v>
      </c>
      <c r="E222" s="173" t="s">
        <v>573</v>
      </c>
      <c r="F222" s="172" t="s">
        <v>598</v>
      </c>
      <c r="G222" s="172" t="s">
        <v>155</v>
      </c>
      <c r="H222" s="174">
        <v>80111600</v>
      </c>
      <c r="I222" s="175">
        <v>2</v>
      </c>
      <c r="J222" s="175">
        <v>10</v>
      </c>
      <c r="K222" s="176">
        <v>0</v>
      </c>
      <c r="L222" s="177">
        <v>95000000</v>
      </c>
      <c r="M222" s="172" t="s">
        <v>484</v>
      </c>
      <c r="N222" s="177" t="s">
        <v>113</v>
      </c>
      <c r="O222" s="173" t="s">
        <v>222</v>
      </c>
      <c r="P222" s="178" t="str">
        <f>IFERROR(VLOOKUP(C222,TD!$B$32:$F$36,2,0)," ")</f>
        <v>O230117</v>
      </c>
      <c r="Q222" s="178" t="str">
        <f>IFERROR(VLOOKUP(C222,TD!$B$32:$F$36,3,0)," ")</f>
        <v>4503</v>
      </c>
      <c r="R222" s="178">
        <f>IFERROR(VLOOKUP(C222,TD!$B$32:$F$36,4,0)," ")</f>
        <v>20240255</v>
      </c>
      <c r="S222" s="173" t="s">
        <v>175</v>
      </c>
      <c r="T222" s="178" t="str">
        <f>IFERROR(VLOOKUP(S222,TD!$J$33:$K$43,2,0)," ")</f>
        <v>Servicio de atención a incidentes y emergencias.</v>
      </c>
      <c r="U222" s="127" t="str">
        <f>CONCATENATE(S222,"-",T222)</f>
        <v>04-Servicio de atención a incidentes y emergencias.</v>
      </c>
      <c r="V222" s="173" t="s">
        <v>232</v>
      </c>
      <c r="W222" s="178" t="str">
        <f>IFERROR(VLOOKUP(V222,TD!$N$33:$O$45,2,0)," ")</f>
        <v>Servicio de atención a emergencias y desastres</v>
      </c>
      <c r="X222" s="127" t="str">
        <f>CONCATENATE(V222,"_",W222)</f>
        <v>004_Servicio de atención a emergencias y desastres</v>
      </c>
      <c r="Y222" s="127" t="str">
        <f>CONCATENATE(U222," ",X222)</f>
        <v>04-Servicio de atención a incidentes y emergencias. 004_Servicio de atención a emergencias y desastres</v>
      </c>
      <c r="Z222" s="178" t="str">
        <f>CONCATENATE(P222,Q222,R222,S222,V222)</f>
        <v>O23011745032024025504004</v>
      </c>
      <c r="AA222" s="178" t="str">
        <f>IFERROR(VLOOKUP(Y222,TD!$K$46:$L$64,2,0)," ")</f>
        <v>PM/0131/0104/45030040255</v>
      </c>
      <c r="AB222" s="177" t="s">
        <v>138</v>
      </c>
      <c r="AC222" s="179" t="s">
        <v>204</v>
      </c>
    </row>
    <row r="223" spans="2:29" s="28" customFormat="1" ht="74.25" customHeight="1" x14ac:dyDescent="0.35">
      <c r="B223" s="170">
        <v>20250349</v>
      </c>
      <c r="C223" s="171" t="s">
        <v>209</v>
      </c>
      <c r="D223" s="172" t="s">
        <v>169</v>
      </c>
      <c r="E223" s="173" t="s">
        <v>573</v>
      </c>
      <c r="F223" s="172" t="s">
        <v>605</v>
      </c>
      <c r="G223" s="172" t="s">
        <v>109</v>
      </c>
      <c r="H223" s="174">
        <v>80111600</v>
      </c>
      <c r="I223" s="175">
        <v>2</v>
      </c>
      <c r="J223" s="175">
        <v>12</v>
      </c>
      <c r="K223" s="176">
        <v>0</v>
      </c>
      <c r="L223" s="177">
        <f>994376507-507</f>
        <v>994376000</v>
      </c>
      <c r="M223" s="172" t="s">
        <v>484</v>
      </c>
      <c r="N223" s="177" t="s">
        <v>85</v>
      </c>
      <c r="O223" s="173" t="s">
        <v>223</v>
      </c>
      <c r="P223" s="178" t="str">
        <f>IFERROR(VLOOKUP(C223,TD!$B$32:$F$36,2,0)," ")</f>
        <v>O230117</v>
      </c>
      <c r="Q223" s="178" t="str">
        <f>IFERROR(VLOOKUP(C223,TD!$B$32:$F$36,3,0)," ")</f>
        <v>4503</v>
      </c>
      <c r="R223" s="178">
        <f>IFERROR(VLOOKUP(C223,TD!$B$32:$F$36,4,0)," ")</f>
        <v>20240255</v>
      </c>
      <c r="S223" s="173" t="s">
        <v>175</v>
      </c>
      <c r="T223" s="178" t="str">
        <f>IFERROR(VLOOKUP(S223,TD!$J$33:$K$43,2,0)," ")</f>
        <v>Servicio de atención a incidentes y emergencias.</v>
      </c>
      <c r="U223" s="127" t="str">
        <f>CONCATENATE(S223,"-",T223)</f>
        <v>04-Servicio de atención a incidentes y emergencias.</v>
      </c>
      <c r="V223" s="173" t="s">
        <v>232</v>
      </c>
      <c r="W223" s="178" t="str">
        <f>IFERROR(VLOOKUP(V223,TD!$N$33:$O$45,2,0)," ")</f>
        <v>Servicio de atención a emergencias y desastres</v>
      </c>
      <c r="X223" s="127" t="str">
        <f>CONCATENATE(V223,"_",W223)</f>
        <v>004_Servicio de atención a emergencias y desastres</v>
      </c>
      <c r="Y223" s="127" t="str">
        <f>CONCATENATE(U223," ",X223)</f>
        <v>04-Servicio de atención a incidentes y emergencias. 004_Servicio de atención a emergencias y desastres</v>
      </c>
      <c r="Z223" s="178" t="str">
        <f>CONCATENATE(P223,Q223,R223,S223,V223)</f>
        <v>O23011745032024025504004</v>
      </c>
      <c r="AA223" s="178" t="str">
        <f>IFERROR(VLOOKUP(Y223,TD!$K$46:$L$64,2,0)," ")</f>
        <v>PM/0131/0104/45030040255</v>
      </c>
      <c r="AB223" s="177" t="s">
        <v>125</v>
      </c>
      <c r="AC223" s="179" t="s">
        <v>204</v>
      </c>
    </row>
    <row r="224" spans="2:29" s="28" customFormat="1" ht="74.25" customHeight="1" x14ac:dyDescent="0.35">
      <c r="B224" s="170">
        <v>20250351</v>
      </c>
      <c r="C224" s="171" t="s">
        <v>208</v>
      </c>
      <c r="D224" s="172" t="s">
        <v>162</v>
      </c>
      <c r="E224" s="173" t="s">
        <v>355</v>
      </c>
      <c r="F224" s="172" t="s">
        <v>908</v>
      </c>
      <c r="G224" s="172" t="s">
        <v>155</v>
      </c>
      <c r="H224" s="174">
        <v>80111600</v>
      </c>
      <c r="I224" s="175">
        <v>2</v>
      </c>
      <c r="J224" s="175">
        <v>11</v>
      </c>
      <c r="K224" s="176">
        <v>0</v>
      </c>
      <c r="L224" s="177">
        <v>104500000</v>
      </c>
      <c r="M224" s="172" t="s">
        <v>484</v>
      </c>
      <c r="N224" s="177" t="s">
        <v>113</v>
      </c>
      <c r="O224" s="173" t="s">
        <v>215</v>
      </c>
      <c r="P224" s="178" t="str">
        <f>IFERROR(VLOOKUP(C224,TD!$B$32:$F$36,2,0)," ")</f>
        <v>O230117</v>
      </c>
      <c r="Q224" s="178" t="str">
        <f>IFERROR(VLOOKUP(C224,TD!$B$32:$F$36,3,0)," ")</f>
        <v>4599</v>
      </c>
      <c r="R224" s="178">
        <f>IFERROR(VLOOKUP(C224,TD!$B$32:$F$36,4,0)," ")</f>
        <v>20240207</v>
      </c>
      <c r="S224" s="173" t="s">
        <v>179</v>
      </c>
      <c r="T224" s="178" t="str">
        <f>IFERROR(VLOOKUP(S224,TD!$J$33:$K$43,2,0)," ")</f>
        <v>Infraestructura Tecnológica   (Sistemas de Información y Tecnologia)</v>
      </c>
      <c r="U224" s="127" t="str">
        <f>CONCATENATE(S224,"-",T224)</f>
        <v>11-Infraestructura Tecnológica   (Sistemas de Información y Tecnologia)</v>
      </c>
      <c r="V224" s="173" t="s">
        <v>239</v>
      </c>
      <c r="W224" s="178" t="str">
        <f>IFERROR(VLOOKUP(V224,TD!$N$33:$O$45,2,0)," ")</f>
        <v>Servicios tecnológicos</v>
      </c>
      <c r="X224" s="127" t="str">
        <f>CONCATENATE(V224,"_",W224)</f>
        <v>007_Servicios tecnológicos</v>
      </c>
      <c r="Y224" s="127" t="str">
        <f>CONCATENATE(U224," ",X224)</f>
        <v>11-Infraestructura Tecnológica   (Sistemas de Información y Tecnologia) 007_Servicios tecnológicos</v>
      </c>
      <c r="Z224" s="178" t="str">
        <f>CONCATENATE(P224,Q224,R224,S224,V224)</f>
        <v>O23011745992024020711007</v>
      </c>
      <c r="AA224" s="178" t="str">
        <f>IFERROR(VLOOKUP(Y224,TD!$K$46:$L$64,2,0)," ")</f>
        <v>PM/0131/0111/45990070207</v>
      </c>
      <c r="AB224" s="177" t="s">
        <v>138</v>
      </c>
      <c r="AC224" s="179" t="s">
        <v>204</v>
      </c>
    </row>
    <row r="225" spans="2:29" s="28" customFormat="1" ht="74.25" customHeight="1" x14ac:dyDescent="0.35">
      <c r="B225" s="170">
        <v>20250352</v>
      </c>
      <c r="C225" s="171" t="s">
        <v>208</v>
      </c>
      <c r="D225" s="172" t="s">
        <v>162</v>
      </c>
      <c r="E225" s="173" t="s">
        <v>355</v>
      </c>
      <c r="F225" s="172" t="s">
        <v>909</v>
      </c>
      <c r="G225" s="172" t="s">
        <v>155</v>
      </c>
      <c r="H225" s="174">
        <v>80111600</v>
      </c>
      <c r="I225" s="175">
        <v>2</v>
      </c>
      <c r="J225" s="175">
        <v>11</v>
      </c>
      <c r="K225" s="176">
        <v>0</v>
      </c>
      <c r="L225" s="177">
        <v>85387500</v>
      </c>
      <c r="M225" s="172" t="s">
        <v>484</v>
      </c>
      <c r="N225" s="177" t="s">
        <v>113</v>
      </c>
      <c r="O225" s="173" t="s">
        <v>216</v>
      </c>
      <c r="P225" s="178" t="str">
        <f>IFERROR(VLOOKUP(C225,TD!$B$32:$F$36,2,0)," ")</f>
        <v>O230117</v>
      </c>
      <c r="Q225" s="178" t="str">
        <f>IFERROR(VLOOKUP(C225,TD!$B$32:$F$36,3,0)," ")</f>
        <v>4599</v>
      </c>
      <c r="R225" s="178">
        <f>IFERROR(VLOOKUP(C225,TD!$B$32:$F$36,4,0)," ")</f>
        <v>20240207</v>
      </c>
      <c r="S225" s="173" t="s">
        <v>179</v>
      </c>
      <c r="T225" s="178" t="str">
        <f>IFERROR(VLOOKUP(S225,TD!$J$33:$K$43,2,0)," ")</f>
        <v>Infraestructura Tecnológica   (Sistemas de Información y Tecnologia)</v>
      </c>
      <c r="U225" s="127" t="str">
        <f>CONCATENATE(S225,"-",T225)</f>
        <v>11-Infraestructura Tecnológica   (Sistemas de Información y Tecnologia)</v>
      </c>
      <c r="V225" s="173" t="s">
        <v>239</v>
      </c>
      <c r="W225" s="178" t="str">
        <f>IFERROR(VLOOKUP(V225,TD!$N$33:$O$45,2,0)," ")</f>
        <v>Servicios tecnológicos</v>
      </c>
      <c r="X225" s="127" t="str">
        <f>CONCATENATE(V225,"_",W225)</f>
        <v>007_Servicios tecnológicos</v>
      </c>
      <c r="Y225" s="127" t="str">
        <f>CONCATENATE(U225," ",X225)</f>
        <v>11-Infraestructura Tecnológica   (Sistemas de Información y Tecnologia) 007_Servicios tecnológicos</v>
      </c>
      <c r="Z225" s="178" t="str">
        <f>CONCATENATE(P225,Q225,R225,S225,V225)</f>
        <v>O23011745992024020711007</v>
      </c>
      <c r="AA225" s="178" t="str">
        <f>IFERROR(VLOOKUP(Y225,TD!$K$46:$L$64,2,0)," ")</f>
        <v>PM/0131/0111/45990070207</v>
      </c>
      <c r="AB225" s="177" t="s">
        <v>138</v>
      </c>
      <c r="AC225" s="179" t="s">
        <v>204</v>
      </c>
    </row>
    <row r="226" spans="2:29" s="28" customFormat="1" ht="74.25" customHeight="1" x14ac:dyDescent="0.35">
      <c r="B226" s="170">
        <v>20250353</v>
      </c>
      <c r="C226" s="171" t="s">
        <v>208</v>
      </c>
      <c r="D226" s="172" t="s">
        <v>162</v>
      </c>
      <c r="E226" s="173" t="s">
        <v>355</v>
      </c>
      <c r="F226" s="172" t="s">
        <v>910</v>
      </c>
      <c r="G226" s="172" t="s">
        <v>155</v>
      </c>
      <c r="H226" s="174">
        <v>80111600</v>
      </c>
      <c r="I226" s="175">
        <v>2</v>
      </c>
      <c r="J226" s="175">
        <v>11</v>
      </c>
      <c r="K226" s="176">
        <v>0</v>
      </c>
      <c r="L226" s="177">
        <v>79695000</v>
      </c>
      <c r="M226" s="172" t="s">
        <v>484</v>
      </c>
      <c r="N226" s="177" t="s">
        <v>113</v>
      </c>
      <c r="O226" s="173" t="s">
        <v>215</v>
      </c>
      <c r="P226" s="178" t="str">
        <f>IFERROR(VLOOKUP(C226,TD!$B$32:$F$36,2,0)," ")</f>
        <v>O230117</v>
      </c>
      <c r="Q226" s="178" t="str">
        <f>IFERROR(VLOOKUP(C226,TD!$B$32:$F$36,3,0)," ")</f>
        <v>4599</v>
      </c>
      <c r="R226" s="178">
        <f>IFERROR(VLOOKUP(C226,TD!$B$32:$F$36,4,0)," ")</f>
        <v>20240207</v>
      </c>
      <c r="S226" s="173" t="s">
        <v>179</v>
      </c>
      <c r="T226" s="178" t="str">
        <f>IFERROR(VLOOKUP(S226,TD!$J$33:$K$43,2,0)," ")</f>
        <v>Infraestructura Tecnológica   (Sistemas de Información y Tecnologia)</v>
      </c>
      <c r="U226" s="127" t="str">
        <f>CONCATENATE(S226,"-",T226)</f>
        <v>11-Infraestructura Tecnológica   (Sistemas de Información y Tecnologia)</v>
      </c>
      <c r="V226" s="173" t="s">
        <v>239</v>
      </c>
      <c r="W226" s="178" t="str">
        <f>IFERROR(VLOOKUP(V226,TD!$N$33:$O$45,2,0)," ")</f>
        <v>Servicios tecnológicos</v>
      </c>
      <c r="X226" s="127" t="str">
        <f>CONCATENATE(V226,"_",W226)</f>
        <v>007_Servicios tecnológicos</v>
      </c>
      <c r="Y226" s="127" t="str">
        <f>CONCATENATE(U226," ",X226)</f>
        <v>11-Infraestructura Tecnológica   (Sistemas de Información y Tecnologia) 007_Servicios tecnológicos</v>
      </c>
      <c r="Z226" s="178" t="str">
        <f>CONCATENATE(P226,Q226,R226,S226,V226)</f>
        <v>O23011745992024020711007</v>
      </c>
      <c r="AA226" s="178" t="str">
        <f>IFERROR(VLOOKUP(Y226,TD!$K$46:$L$64,2,0)," ")</f>
        <v>PM/0131/0111/45990070207</v>
      </c>
      <c r="AB226" s="177" t="s">
        <v>120</v>
      </c>
      <c r="AC226" s="179" t="s">
        <v>204</v>
      </c>
    </row>
    <row r="227" spans="2:29" s="28" customFormat="1" ht="74.25" customHeight="1" x14ac:dyDescent="0.35">
      <c r="B227" s="170">
        <v>20250356</v>
      </c>
      <c r="C227" s="171" t="s">
        <v>208</v>
      </c>
      <c r="D227" s="172" t="s">
        <v>162</v>
      </c>
      <c r="E227" s="173" t="s">
        <v>355</v>
      </c>
      <c r="F227" s="172" t="s">
        <v>911</v>
      </c>
      <c r="G227" s="172" t="s">
        <v>156</v>
      </c>
      <c r="H227" s="174">
        <v>80111600</v>
      </c>
      <c r="I227" s="175">
        <v>2</v>
      </c>
      <c r="J227" s="175">
        <v>11</v>
      </c>
      <c r="K227" s="176">
        <v>0</v>
      </c>
      <c r="L227" s="177">
        <v>48955500</v>
      </c>
      <c r="M227" s="172" t="s">
        <v>484</v>
      </c>
      <c r="N227" s="177" t="s">
        <v>113</v>
      </c>
      <c r="O227" s="173" t="s">
        <v>217</v>
      </c>
      <c r="P227" s="178" t="str">
        <f>IFERROR(VLOOKUP(C227,TD!$B$32:$F$36,2,0)," ")</f>
        <v>O230117</v>
      </c>
      <c r="Q227" s="178" t="str">
        <f>IFERROR(VLOOKUP(C227,TD!$B$32:$F$36,3,0)," ")</f>
        <v>4599</v>
      </c>
      <c r="R227" s="178">
        <f>IFERROR(VLOOKUP(C227,TD!$B$32:$F$36,4,0)," ")</f>
        <v>20240207</v>
      </c>
      <c r="S227" s="173" t="s">
        <v>179</v>
      </c>
      <c r="T227" s="178" t="str">
        <f>IFERROR(VLOOKUP(S227,TD!$J$33:$K$43,2,0)," ")</f>
        <v>Infraestructura Tecnológica   (Sistemas de Información y Tecnologia)</v>
      </c>
      <c r="U227" s="127" t="str">
        <f>CONCATENATE(S227,"-",T227)</f>
        <v>11-Infraestructura Tecnológica   (Sistemas de Información y Tecnologia)</v>
      </c>
      <c r="V227" s="173" t="s">
        <v>239</v>
      </c>
      <c r="W227" s="178" t="str">
        <f>IFERROR(VLOOKUP(V227,TD!$N$33:$O$45,2,0)," ")</f>
        <v>Servicios tecnológicos</v>
      </c>
      <c r="X227" s="127" t="str">
        <f>CONCATENATE(V227,"_",W227)</f>
        <v>007_Servicios tecnológicos</v>
      </c>
      <c r="Y227" s="127" t="str">
        <f>CONCATENATE(U227," ",X227)</f>
        <v>11-Infraestructura Tecnológica   (Sistemas de Información y Tecnologia) 007_Servicios tecnológicos</v>
      </c>
      <c r="Z227" s="178" t="str">
        <f>CONCATENATE(P227,Q227,R227,S227,V227)</f>
        <v>O23011745992024020711007</v>
      </c>
      <c r="AA227" s="178" t="str">
        <f>IFERROR(VLOOKUP(Y227,TD!$K$46:$L$64,2,0)," ")</f>
        <v>PM/0131/0111/45990070207</v>
      </c>
      <c r="AB227" s="177" t="s">
        <v>138</v>
      </c>
      <c r="AC227" s="179" t="s">
        <v>204</v>
      </c>
    </row>
    <row r="228" spans="2:29" s="28" customFormat="1" ht="93" customHeight="1" x14ac:dyDescent="0.35">
      <c r="B228" s="170">
        <v>20250357</v>
      </c>
      <c r="C228" s="171" t="s">
        <v>208</v>
      </c>
      <c r="D228" s="172" t="s">
        <v>162</v>
      </c>
      <c r="E228" s="173" t="s">
        <v>355</v>
      </c>
      <c r="F228" s="172" t="s">
        <v>912</v>
      </c>
      <c r="G228" s="172" t="s">
        <v>155</v>
      </c>
      <c r="H228" s="174">
        <v>80111600</v>
      </c>
      <c r="I228" s="175">
        <v>2</v>
      </c>
      <c r="J228" s="176">
        <v>11</v>
      </c>
      <c r="K228" s="176">
        <v>0</v>
      </c>
      <c r="L228" s="177">
        <v>81972000</v>
      </c>
      <c r="M228" s="172" t="s">
        <v>484</v>
      </c>
      <c r="N228" s="177" t="s">
        <v>113</v>
      </c>
      <c r="O228" s="173" t="s">
        <v>215</v>
      </c>
      <c r="P228" s="178" t="str">
        <f>IFERROR(VLOOKUP(C228,TD!$B$32:$F$36,2,0)," ")</f>
        <v>O230117</v>
      </c>
      <c r="Q228" s="178" t="str">
        <f>IFERROR(VLOOKUP(C228,TD!$B$32:$F$36,3,0)," ")</f>
        <v>4599</v>
      </c>
      <c r="R228" s="178">
        <f>IFERROR(VLOOKUP(C228,TD!$B$32:$F$36,4,0)," ")</f>
        <v>20240207</v>
      </c>
      <c r="S228" s="173" t="s">
        <v>179</v>
      </c>
      <c r="T228" s="178" t="str">
        <f>IFERROR(VLOOKUP(S228,TD!$J$33:$K$43,2,0)," ")</f>
        <v>Infraestructura Tecnológica   (Sistemas de Información y Tecnologia)</v>
      </c>
      <c r="U228" s="127" t="str">
        <f>CONCATENATE(S228,"-",T228)</f>
        <v>11-Infraestructura Tecnológica   (Sistemas de Información y Tecnologia)</v>
      </c>
      <c r="V228" s="173" t="s">
        <v>239</v>
      </c>
      <c r="W228" s="178" t="str">
        <f>IFERROR(VLOOKUP(V228,TD!$N$33:$O$45,2,0)," ")</f>
        <v>Servicios tecnológicos</v>
      </c>
      <c r="X228" s="127" t="str">
        <f>CONCATENATE(V228,"_",W228)</f>
        <v>007_Servicios tecnológicos</v>
      </c>
      <c r="Y228" s="127" t="str">
        <f>CONCATENATE(U228," ",X228)</f>
        <v>11-Infraestructura Tecnológica   (Sistemas de Información y Tecnologia) 007_Servicios tecnológicos</v>
      </c>
      <c r="Z228" s="178" t="str">
        <f>CONCATENATE(P228,Q228,R228,S228,V228)</f>
        <v>O23011745992024020711007</v>
      </c>
      <c r="AA228" s="178" t="str">
        <f>IFERROR(VLOOKUP(Y228,TD!$K$46:$L$64,2,0)," ")</f>
        <v>PM/0131/0111/45990070207</v>
      </c>
      <c r="AB228" s="177" t="s">
        <v>138</v>
      </c>
      <c r="AC228" s="179" t="s">
        <v>204</v>
      </c>
    </row>
    <row r="229" spans="2:29" s="28" customFormat="1" ht="74.25" customHeight="1" x14ac:dyDescent="0.35">
      <c r="B229" s="170">
        <v>20250358</v>
      </c>
      <c r="C229" s="171" t="s">
        <v>208</v>
      </c>
      <c r="D229" s="172" t="s">
        <v>162</v>
      </c>
      <c r="E229" s="173" t="s">
        <v>355</v>
      </c>
      <c r="F229" s="172" t="s">
        <v>913</v>
      </c>
      <c r="G229" s="172" t="s">
        <v>155</v>
      </c>
      <c r="H229" s="174">
        <v>80111600</v>
      </c>
      <c r="I229" s="175">
        <v>2</v>
      </c>
      <c r="J229" s="176">
        <v>11</v>
      </c>
      <c r="K229" s="176">
        <v>0</v>
      </c>
      <c r="L229" s="177">
        <v>81972000</v>
      </c>
      <c r="M229" s="172" t="s">
        <v>484</v>
      </c>
      <c r="N229" s="177" t="s">
        <v>113</v>
      </c>
      <c r="O229" s="173" t="s">
        <v>214</v>
      </c>
      <c r="P229" s="178" t="str">
        <f>IFERROR(VLOOKUP(C229,TD!$B$32:$F$36,2,0)," ")</f>
        <v>O230117</v>
      </c>
      <c r="Q229" s="178" t="str">
        <f>IFERROR(VLOOKUP(C229,TD!$B$32:$F$36,3,0)," ")</f>
        <v>4599</v>
      </c>
      <c r="R229" s="178">
        <f>IFERROR(VLOOKUP(C229,TD!$B$32:$F$36,4,0)," ")</f>
        <v>20240207</v>
      </c>
      <c r="S229" s="173" t="s">
        <v>179</v>
      </c>
      <c r="T229" s="178" t="str">
        <f>IFERROR(VLOOKUP(S229,TD!$J$33:$K$43,2,0)," ")</f>
        <v>Infraestructura Tecnológica   (Sistemas de Información y Tecnologia)</v>
      </c>
      <c r="U229" s="127" t="str">
        <f>CONCATENATE(S229,"-",T229)</f>
        <v>11-Infraestructura Tecnológica   (Sistemas de Información y Tecnologia)</v>
      </c>
      <c r="V229" s="173" t="s">
        <v>239</v>
      </c>
      <c r="W229" s="178" t="str">
        <f>IFERROR(VLOOKUP(V229,TD!$N$33:$O$45,2,0)," ")</f>
        <v>Servicios tecnológicos</v>
      </c>
      <c r="X229" s="127" t="str">
        <f>CONCATENATE(V229,"_",W229)</f>
        <v>007_Servicios tecnológicos</v>
      </c>
      <c r="Y229" s="127" t="str">
        <f>CONCATENATE(U229," ",X229)</f>
        <v>11-Infraestructura Tecnológica   (Sistemas de Información y Tecnologia) 007_Servicios tecnológicos</v>
      </c>
      <c r="Z229" s="178" t="str">
        <f>CONCATENATE(P229,Q229,R229,S229,V229)</f>
        <v>O23011745992024020711007</v>
      </c>
      <c r="AA229" s="178" t="str">
        <f>IFERROR(VLOOKUP(Y229,TD!$K$46:$L$64,2,0)," ")</f>
        <v>PM/0131/0111/45990070207</v>
      </c>
      <c r="AB229" s="177" t="s">
        <v>138</v>
      </c>
      <c r="AC229" s="179" t="s">
        <v>204</v>
      </c>
    </row>
    <row r="230" spans="2:29" s="28" customFormat="1" ht="74.25" customHeight="1" x14ac:dyDescent="0.35">
      <c r="B230" s="170">
        <v>20250359</v>
      </c>
      <c r="C230" s="171" t="s">
        <v>208</v>
      </c>
      <c r="D230" s="172" t="s">
        <v>162</v>
      </c>
      <c r="E230" s="173" t="s">
        <v>355</v>
      </c>
      <c r="F230" s="172" t="s">
        <v>914</v>
      </c>
      <c r="G230" s="172" t="s">
        <v>155</v>
      </c>
      <c r="H230" s="174">
        <v>80111600</v>
      </c>
      <c r="I230" s="175">
        <v>2</v>
      </c>
      <c r="J230" s="176">
        <v>11</v>
      </c>
      <c r="K230" s="176">
        <v>0</v>
      </c>
      <c r="L230" s="177">
        <v>81972000</v>
      </c>
      <c r="M230" s="172" t="s">
        <v>484</v>
      </c>
      <c r="N230" s="177" t="s">
        <v>113</v>
      </c>
      <c r="O230" s="173" t="s">
        <v>216</v>
      </c>
      <c r="P230" s="178" t="str">
        <f>IFERROR(VLOOKUP(C230,TD!$B$32:$F$36,2,0)," ")</f>
        <v>O230117</v>
      </c>
      <c r="Q230" s="178" t="str">
        <f>IFERROR(VLOOKUP(C230,TD!$B$32:$F$36,3,0)," ")</f>
        <v>4599</v>
      </c>
      <c r="R230" s="178">
        <f>IFERROR(VLOOKUP(C230,TD!$B$32:$F$36,4,0)," ")</f>
        <v>20240207</v>
      </c>
      <c r="S230" s="173" t="s">
        <v>179</v>
      </c>
      <c r="T230" s="178" t="str">
        <f>IFERROR(VLOOKUP(S230,TD!$J$33:$K$43,2,0)," ")</f>
        <v>Infraestructura Tecnológica   (Sistemas de Información y Tecnologia)</v>
      </c>
      <c r="U230" s="127" t="str">
        <f>CONCATENATE(S230,"-",T230)</f>
        <v>11-Infraestructura Tecnológica   (Sistemas de Información y Tecnologia)</v>
      </c>
      <c r="V230" s="173" t="s">
        <v>239</v>
      </c>
      <c r="W230" s="178" t="str">
        <f>IFERROR(VLOOKUP(V230,TD!$N$33:$O$45,2,0)," ")</f>
        <v>Servicios tecnológicos</v>
      </c>
      <c r="X230" s="127" t="str">
        <f>CONCATENATE(V230,"_",W230)</f>
        <v>007_Servicios tecnológicos</v>
      </c>
      <c r="Y230" s="127" t="str">
        <f>CONCATENATE(U230," ",X230)</f>
        <v>11-Infraestructura Tecnológica   (Sistemas de Información y Tecnologia) 007_Servicios tecnológicos</v>
      </c>
      <c r="Z230" s="178" t="str">
        <f>CONCATENATE(P230,Q230,R230,S230,V230)</f>
        <v>O23011745992024020711007</v>
      </c>
      <c r="AA230" s="178" t="str">
        <f>IFERROR(VLOOKUP(Y230,TD!$K$46:$L$64,2,0)," ")</f>
        <v>PM/0131/0111/45990070207</v>
      </c>
      <c r="AB230" s="177" t="s">
        <v>138</v>
      </c>
      <c r="AC230" s="179" t="s">
        <v>204</v>
      </c>
    </row>
    <row r="231" spans="2:29" s="28" customFormat="1" ht="74.25" customHeight="1" x14ac:dyDescent="0.35">
      <c r="B231" s="170">
        <v>20250361</v>
      </c>
      <c r="C231" s="171" t="s">
        <v>208</v>
      </c>
      <c r="D231" s="172" t="s">
        <v>162</v>
      </c>
      <c r="E231" s="173" t="s">
        <v>355</v>
      </c>
      <c r="F231" s="172" t="s">
        <v>915</v>
      </c>
      <c r="G231" s="172" t="s">
        <v>155</v>
      </c>
      <c r="H231" s="174">
        <v>80111600</v>
      </c>
      <c r="I231" s="175">
        <v>2</v>
      </c>
      <c r="J231" s="176">
        <v>11</v>
      </c>
      <c r="K231" s="176">
        <v>0</v>
      </c>
      <c r="L231" s="177">
        <v>81972000</v>
      </c>
      <c r="M231" s="172" t="s">
        <v>484</v>
      </c>
      <c r="N231" s="177" t="s">
        <v>113</v>
      </c>
      <c r="O231" s="173" t="s">
        <v>215</v>
      </c>
      <c r="P231" s="178" t="str">
        <f>IFERROR(VLOOKUP(C231,TD!$B$32:$F$36,2,0)," ")</f>
        <v>O230117</v>
      </c>
      <c r="Q231" s="178" t="str">
        <f>IFERROR(VLOOKUP(C231,TD!$B$32:$F$36,3,0)," ")</f>
        <v>4599</v>
      </c>
      <c r="R231" s="178">
        <f>IFERROR(VLOOKUP(C231,TD!$B$32:$F$36,4,0)," ")</f>
        <v>20240207</v>
      </c>
      <c r="S231" s="173" t="s">
        <v>179</v>
      </c>
      <c r="T231" s="178" t="str">
        <f>IFERROR(VLOOKUP(S231,TD!$J$33:$K$43,2,0)," ")</f>
        <v>Infraestructura Tecnológica   (Sistemas de Información y Tecnologia)</v>
      </c>
      <c r="U231" s="127" t="str">
        <f>CONCATENATE(S231,"-",T231)</f>
        <v>11-Infraestructura Tecnológica   (Sistemas de Información y Tecnologia)</v>
      </c>
      <c r="V231" s="173" t="s">
        <v>239</v>
      </c>
      <c r="W231" s="178" t="str">
        <f>IFERROR(VLOOKUP(V231,TD!$N$33:$O$45,2,0)," ")</f>
        <v>Servicios tecnológicos</v>
      </c>
      <c r="X231" s="127" t="str">
        <f>CONCATENATE(V231,"_",W231)</f>
        <v>007_Servicios tecnológicos</v>
      </c>
      <c r="Y231" s="127" t="str">
        <f>CONCATENATE(U231," ",X231)</f>
        <v>11-Infraestructura Tecnológica   (Sistemas de Información y Tecnologia) 007_Servicios tecnológicos</v>
      </c>
      <c r="Z231" s="178" t="str">
        <f>CONCATENATE(P231,Q231,R231,S231,V231)</f>
        <v>O23011745992024020711007</v>
      </c>
      <c r="AA231" s="178" t="str">
        <f>IFERROR(VLOOKUP(Y231,TD!$K$46:$L$64,2,0)," ")</f>
        <v>PM/0131/0111/45990070207</v>
      </c>
      <c r="AB231" s="177" t="s">
        <v>138</v>
      </c>
      <c r="AC231" s="179" t="s">
        <v>204</v>
      </c>
    </row>
    <row r="232" spans="2:29" s="28" customFormat="1" ht="74.25" customHeight="1" x14ac:dyDescent="0.35">
      <c r="B232" s="170">
        <v>20250362</v>
      </c>
      <c r="C232" s="171" t="s">
        <v>208</v>
      </c>
      <c r="D232" s="172" t="s">
        <v>162</v>
      </c>
      <c r="E232" s="173" t="s">
        <v>355</v>
      </c>
      <c r="F232" s="172" t="s">
        <v>916</v>
      </c>
      <c r="G232" s="172" t="s">
        <v>155</v>
      </c>
      <c r="H232" s="174">
        <v>80111600</v>
      </c>
      <c r="I232" s="175">
        <v>2</v>
      </c>
      <c r="J232" s="176">
        <v>11</v>
      </c>
      <c r="K232" s="176">
        <v>0</v>
      </c>
      <c r="L232" s="177">
        <v>89941500</v>
      </c>
      <c r="M232" s="172" t="s">
        <v>484</v>
      </c>
      <c r="N232" s="177" t="s">
        <v>113</v>
      </c>
      <c r="O232" s="173" t="s">
        <v>214</v>
      </c>
      <c r="P232" s="178" t="str">
        <f>IFERROR(VLOOKUP(C232,TD!$B$32:$F$36,2,0)," ")</f>
        <v>O230117</v>
      </c>
      <c r="Q232" s="178" t="str">
        <f>IFERROR(VLOOKUP(C232,TD!$B$32:$F$36,3,0)," ")</f>
        <v>4599</v>
      </c>
      <c r="R232" s="178">
        <f>IFERROR(VLOOKUP(C232,TD!$B$32:$F$36,4,0)," ")</f>
        <v>20240207</v>
      </c>
      <c r="S232" s="173" t="s">
        <v>179</v>
      </c>
      <c r="T232" s="178" t="str">
        <f>IFERROR(VLOOKUP(S232,TD!$J$33:$K$43,2,0)," ")</f>
        <v>Infraestructura Tecnológica   (Sistemas de Información y Tecnologia)</v>
      </c>
      <c r="U232" s="127" t="str">
        <f>CONCATENATE(S232,"-",T232)</f>
        <v>11-Infraestructura Tecnológica   (Sistemas de Información y Tecnologia)</v>
      </c>
      <c r="V232" s="173" t="s">
        <v>239</v>
      </c>
      <c r="W232" s="178" t="str">
        <f>IFERROR(VLOOKUP(V232,TD!$N$33:$O$45,2,0)," ")</f>
        <v>Servicios tecnológicos</v>
      </c>
      <c r="X232" s="127" t="str">
        <f>CONCATENATE(V232,"_",W232)</f>
        <v>007_Servicios tecnológicos</v>
      </c>
      <c r="Y232" s="127" t="str">
        <f>CONCATENATE(U232," ",X232)</f>
        <v>11-Infraestructura Tecnológica   (Sistemas de Información y Tecnologia) 007_Servicios tecnológicos</v>
      </c>
      <c r="Z232" s="178" t="str">
        <f>CONCATENATE(P232,Q232,R232,S232,V232)</f>
        <v>O23011745992024020711007</v>
      </c>
      <c r="AA232" s="178" t="str">
        <f>IFERROR(VLOOKUP(Y232,TD!$K$46:$L$64,2,0)," ")</f>
        <v>PM/0131/0111/45990070207</v>
      </c>
      <c r="AB232" s="177" t="s">
        <v>138</v>
      </c>
      <c r="AC232" s="179" t="s">
        <v>204</v>
      </c>
    </row>
    <row r="233" spans="2:29" s="28" customFormat="1" ht="74.25" customHeight="1" x14ac:dyDescent="0.35">
      <c r="B233" s="170">
        <v>20250363</v>
      </c>
      <c r="C233" s="171" t="s">
        <v>208</v>
      </c>
      <c r="D233" s="172" t="s">
        <v>162</v>
      </c>
      <c r="E233" s="173" t="s">
        <v>355</v>
      </c>
      <c r="F233" s="172" t="s">
        <v>917</v>
      </c>
      <c r="G233" s="172" t="s">
        <v>155</v>
      </c>
      <c r="H233" s="174">
        <v>80111600</v>
      </c>
      <c r="I233" s="175">
        <v>2</v>
      </c>
      <c r="J233" s="176">
        <v>11</v>
      </c>
      <c r="K233" s="176">
        <v>0</v>
      </c>
      <c r="L233" s="177">
        <v>68310000</v>
      </c>
      <c r="M233" s="172" t="s">
        <v>484</v>
      </c>
      <c r="N233" s="177" t="s">
        <v>113</v>
      </c>
      <c r="O233" s="173" t="s">
        <v>216</v>
      </c>
      <c r="P233" s="178" t="str">
        <f>IFERROR(VLOOKUP(C233,TD!$B$32:$F$36,2,0)," ")</f>
        <v>O230117</v>
      </c>
      <c r="Q233" s="178" t="str">
        <f>IFERROR(VLOOKUP(C233,TD!$B$32:$F$36,3,0)," ")</f>
        <v>4599</v>
      </c>
      <c r="R233" s="178">
        <f>IFERROR(VLOOKUP(C233,TD!$B$32:$F$36,4,0)," ")</f>
        <v>20240207</v>
      </c>
      <c r="S233" s="173" t="s">
        <v>179</v>
      </c>
      <c r="T233" s="178" t="str">
        <f>IFERROR(VLOOKUP(S233,TD!$J$33:$K$43,2,0)," ")</f>
        <v>Infraestructura Tecnológica   (Sistemas de Información y Tecnologia)</v>
      </c>
      <c r="U233" s="127" t="str">
        <f>CONCATENATE(S233,"-",T233)</f>
        <v>11-Infraestructura Tecnológica   (Sistemas de Información y Tecnologia)</v>
      </c>
      <c r="V233" s="173" t="s">
        <v>239</v>
      </c>
      <c r="W233" s="178" t="str">
        <f>IFERROR(VLOOKUP(V233,TD!$N$33:$O$45,2,0)," ")</f>
        <v>Servicios tecnológicos</v>
      </c>
      <c r="X233" s="127" t="str">
        <f>CONCATENATE(V233,"_",W233)</f>
        <v>007_Servicios tecnológicos</v>
      </c>
      <c r="Y233" s="127" t="str">
        <f>CONCATENATE(U233," ",X233)</f>
        <v>11-Infraestructura Tecnológica   (Sistemas de Información y Tecnologia) 007_Servicios tecnológicos</v>
      </c>
      <c r="Z233" s="178" t="str">
        <f>CONCATENATE(P233,Q233,R233,S233,V233)</f>
        <v>O23011745992024020711007</v>
      </c>
      <c r="AA233" s="178" t="str">
        <f>IFERROR(VLOOKUP(Y233,TD!$K$46:$L$64,2,0)," ")</f>
        <v>PM/0131/0111/45990070207</v>
      </c>
      <c r="AB233" s="177" t="s">
        <v>138</v>
      </c>
      <c r="AC233" s="179" t="s">
        <v>204</v>
      </c>
    </row>
    <row r="234" spans="2:29" s="28" customFormat="1" ht="74.25" customHeight="1" x14ac:dyDescent="0.35">
      <c r="B234" s="170">
        <v>20250364</v>
      </c>
      <c r="C234" s="171" t="s">
        <v>208</v>
      </c>
      <c r="D234" s="172" t="s">
        <v>162</v>
      </c>
      <c r="E234" s="173" t="s">
        <v>355</v>
      </c>
      <c r="F234" s="172" t="s">
        <v>416</v>
      </c>
      <c r="G234" s="172" t="s">
        <v>155</v>
      </c>
      <c r="H234" s="174">
        <v>80111600</v>
      </c>
      <c r="I234" s="175">
        <v>2</v>
      </c>
      <c r="J234" s="176">
        <v>11</v>
      </c>
      <c r="K234" s="176">
        <v>0</v>
      </c>
      <c r="L234" s="177">
        <v>68310000</v>
      </c>
      <c r="M234" s="172" t="s">
        <v>484</v>
      </c>
      <c r="N234" s="177" t="s">
        <v>113</v>
      </c>
      <c r="O234" s="173" t="s">
        <v>214</v>
      </c>
      <c r="P234" s="178" t="str">
        <f>IFERROR(VLOOKUP(C234,TD!$B$32:$F$36,2,0)," ")</f>
        <v>O230117</v>
      </c>
      <c r="Q234" s="178" t="str">
        <f>IFERROR(VLOOKUP(C234,TD!$B$32:$F$36,3,0)," ")</f>
        <v>4599</v>
      </c>
      <c r="R234" s="178">
        <f>IFERROR(VLOOKUP(C234,TD!$B$32:$F$36,4,0)," ")</f>
        <v>20240207</v>
      </c>
      <c r="S234" s="173" t="s">
        <v>179</v>
      </c>
      <c r="T234" s="178" t="str">
        <f>IFERROR(VLOOKUP(S234,TD!$J$33:$K$43,2,0)," ")</f>
        <v>Infraestructura Tecnológica   (Sistemas de Información y Tecnologia)</v>
      </c>
      <c r="U234" s="127" t="str">
        <f>CONCATENATE(S234,"-",T234)</f>
        <v>11-Infraestructura Tecnológica   (Sistemas de Información y Tecnologia)</v>
      </c>
      <c r="V234" s="173" t="s">
        <v>239</v>
      </c>
      <c r="W234" s="178" t="str">
        <f>IFERROR(VLOOKUP(V234,TD!$N$33:$O$45,2,0)," ")</f>
        <v>Servicios tecnológicos</v>
      </c>
      <c r="X234" s="127" t="str">
        <f>CONCATENATE(V234,"_",W234)</f>
        <v>007_Servicios tecnológicos</v>
      </c>
      <c r="Y234" s="127" t="str">
        <f>CONCATENATE(U234," ",X234)</f>
        <v>11-Infraestructura Tecnológica   (Sistemas de Información y Tecnologia) 007_Servicios tecnológicos</v>
      </c>
      <c r="Z234" s="178" t="str">
        <f>CONCATENATE(P234,Q234,R234,S234,V234)</f>
        <v>O23011745992024020711007</v>
      </c>
      <c r="AA234" s="178" t="str">
        <f>IFERROR(VLOOKUP(Y234,TD!$K$46:$L$64,2,0)," ")</f>
        <v>PM/0131/0111/45990070207</v>
      </c>
      <c r="AB234" s="177" t="s">
        <v>138</v>
      </c>
      <c r="AC234" s="179" t="s">
        <v>204</v>
      </c>
    </row>
    <row r="235" spans="2:29" s="28" customFormat="1" ht="74.25" customHeight="1" x14ac:dyDescent="0.35">
      <c r="B235" s="170">
        <v>20250366</v>
      </c>
      <c r="C235" s="171" t="s">
        <v>208</v>
      </c>
      <c r="D235" s="172" t="s">
        <v>162</v>
      </c>
      <c r="E235" s="173" t="s">
        <v>355</v>
      </c>
      <c r="F235" s="172" t="s">
        <v>918</v>
      </c>
      <c r="G235" s="172" t="s">
        <v>156</v>
      </c>
      <c r="H235" s="174">
        <v>80111600</v>
      </c>
      <c r="I235" s="175">
        <v>2</v>
      </c>
      <c r="J235" s="176">
        <v>11</v>
      </c>
      <c r="K235" s="176">
        <v>0</v>
      </c>
      <c r="L235" s="177">
        <v>42124500</v>
      </c>
      <c r="M235" s="172" t="s">
        <v>484</v>
      </c>
      <c r="N235" s="177" t="s">
        <v>113</v>
      </c>
      <c r="O235" s="173" t="s">
        <v>216</v>
      </c>
      <c r="P235" s="178" t="str">
        <f>IFERROR(VLOOKUP(C235,TD!$B$32:$F$36,2,0)," ")</f>
        <v>O230117</v>
      </c>
      <c r="Q235" s="178" t="str">
        <f>IFERROR(VLOOKUP(C235,TD!$B$32:$F$36,3,0)," ")</f>
        <v>4599</v>
      </c>
      <c r="R235" s="178">
        <f>IFERROR(VLOOKUP(C235,TD!$B$32:$F$36,4,0)," ")</f>
        <v>20240207</v>
      </c>
      <c r="S235" s="173" t="s">
        <v>179</v>
      </c>
      <c r="T235" s="178" t="str">
        <f>IFERROR(VLOOKUP(S235,TD!$J$33:$K$43,2,0)," ")</f>
        <v>Infraestructura Tecnológica   (Sistemas de Información y Tecnologia)</v>
      </c>
      <c r="U235" s="127" t="str">
        <f>CONCATENATE(S235,"-",T235)</f>
        <v>11-Infraestructura Tecnológica   (Sistemas de Información y Tecnologia)</v>
      </c>
      <c r="V235" s="173" t="s">
        <v>239</v>
      </c>
      <c r="W235" s="178" t="str">
        <f>IFERROR(VLOOKUP(V235,TD!$N$33:$O$45,2,0)," ")</f>
        <v>Servicios tecnológicos</v>
      </c>
      <c r="X235" s="127" t="str">
        <f>CONCATENATE(V235,"_",W235)</f>
        <v>007_Servicios tecnológicos</v>
      </c>
      <c r="Y235" s="127" t="str">
        <f>CONCATENATE(U235," ",X235)</f>
        <v>11-Infraestructura Tecnológica   (Sistemas de Información y Tecnologia) 007_Servicios tecnológicos</v>
      </c>
      <c r="Z235" s="178" t="str">
        <f>CONCATENATE(P235,Q235,R235,S235,V235)</f>
        <v>O23011745992024020711007</v>
      </c>
      <c r="AA235" s="178" t="str">
        <f>IFERROR(VLOOKUP(Y235,TD!$K$46:$L$64,2,0)," ")</f>
        <v>PM/0131/0111/45990070207</v>
      </c>
      <c r="AB235" s="177" t="s">
        <v>138</v>
      </c>
      <c r="AC235" s="179" t="s">
        <v>204</v>
      </c>
    </row>
    <row r="236" spans="2:29" s="28" customFormat="1" ht="74.25" customHeight="1" x14ac:dyDescent="0.35">
      <c r="B236" s="170">
        <v>20250367</v>
      </c>
      <c r="C236" s="171" t="s">
        <v>208</v>
      </c>
      <c r="D236" s="172" t="s">
        <v>162</v>
      </c>
      <c r="E236" s="173" t="s">
        <v>355</v>
      </c>
      <c r="F236" s="172" t="s">
        <v>919</v>
      </c>
      <c r="G236" s="172" t="s">
        <v>156</v>
      </c>
      <c r="H236" s="174">
        <v>80111600</v>
      </c>
      <c r="I236" s="175">
        <v>2</v>
      </c>
      <c r="J236" s="176">
        <v>11</v>
      </c>
      <c r="K236" s="176">
        <v>0</v>
      </c>
      <c r="L236" s="177">
        <v>36432000</v>
      </c>
      <c r="M236" s="172" t="s">
        <v>484</v>
      </c>
      <c r="N236" s="177" t="s">
        <v>113</v>
      </c>
      <c r="O236" s="173" t="s">
        <v>215</v>
      </c>
      <c r="P236" s="178" t="str">
        <f>IFERROR(VLOOKUP(C236,TD!$B$32:$F$36,2,0)," ")</f>
        <v>O230117</v>
      </c>
      <c r="Q236" s="178" t="str">
        <f>IFERROR(VLOOKUP(C236,TD!$B$32:$F$36,3,0)," ")</f>
        <v>4599</v>
      </c>
      <c r="R236" s="178">
        <f>IFERROR(VLOOKUP(C236,TD!$B$32:$F$36,4,0)," ")</f>
        <v>20240207</v>
      </c>
      <c r="S236" s="173" t="s">
        <v>179</v>
      </c>
      <c r="T236" s="178" t="str">
        <f>IFERROR(VLOOKUP(S236,TD!$J$33:$K$43,2,0)," ")</f>
        <v>Infraestructura Tecnológica   (Sistemas de Información y Tecnologia)</v>
      </c>
      <c r="U236" s="127" t="str">
        <f>CONCATENATE(S236,"-",T236)</f>
        <v>11-Infraestructura Tecnológica   (Sistemas de Información y Tecnologia)</v>
      </c>
      <c r="V236" s="173" t="s">
        <v>239</v>
      </c>
      <c r="W236" s="178" t="str">
        <f>IFERROR(VLOOKUP(V236,TD!$N$33:$O$45,2,0)," ")</f>
        <v>Servicios tecnológicos</v>
      </c>
      <c r="X236" s="127" t="str">
        <f>CONCATENATE(V236,"_",W236)</f>
        <v>007_Servicios tecnológicos</v>
      </c>
      <c r="Y236" s="127" t="str">
        <f>CONCATENATE(U236," ",X236)</f>
        <v>11-Infraestructura Tecnológica   (Sistemas de Información y Tecnologia) 007_Servicios tecnológicos</v>
      </c>
      <c r="Z236" s="178" t="str">
        <f>CONCATENATE(P236,Q236,R236,S236,V236)</f>
        <v>O23011745992024020711007</v>
      </c>
      <c r="AA236" s="178" t="str">
        <f>IFERROR(VLOOKUP(Y236,TD!$K$46:$L$64,2,0)," ")</f>
        <v>PM/0131/0111/45990070207</v>
      </c>
      <c r="AB236" s="177" t="s">
        <v>138</v>
      </c>
      <c r="AC236" s="179" t="s">
        <v>204</v>
      </c>
    </row>
    <row r="237" spans="2:29" s="28" customFormat="1" ht="74.25" customHeight="1" x14ac:dyDescent="0.35">
      <c r="B237" s="170">
        <v>20250368</v>
      </c>
      <c r="C237" s="171" t="s">
        <v>208</v>
      </c>
      <c r="D237" s="172" t="s">
        <v>162</v>
      </c>
      <c r="E237" s="173" t="s">
        <v>355</v>
      </c>
      <c r="F237" s="172" t="s">
        <v>920</v>
      </c>
      <c r="G237" s="172" t="s">
        <v>156</v>
      </c>
      <c r="H237" s="174">
        <v>80111600</v>
      </c>
      <c r="I237" s="175">
        <v>2</v>
      </c>
      <c r="J237" s="176">
        <v>11</v>
      </c>
      <c r="K237" s="176">
        <v>0</v>
      </c>
      <c r="L237" s="177">
        <v>39847500</v>
      </c>
      <c r="M237" s="172" t="s">
        <v>484</v>
      </c>
      <c r="N237" s="177" t="s">
        <v>113</v>
      </c>
      <c r="O237" s="173" t="s">
        <v>215</v>
      </c>
      <c r="P237" s="178" t="str">
        <f>IFERROR(VLOOKUP(C237,TD!$B$32:$F$36,2,0)," ")</f>
        <v>O230117</v>
      </c>
      <c r="Q237" s="178" t="str">
        <f>IFERROR(VLOOKUP(C237,TD!$B$32:$F$36,3,0)," ")</f>
        <v>4599</v>
      </c>
      <c r="R237" s="178">
        <f>IFERROR(VLOOKUP(C237,TD!$B$32:$F$36,4,0)," ")</f>
        <v>20240207</v>
      </c>
      <c r="S237" s="173" t="s">
        <v>179</v>
      </c>
      <c r="T237" s="178" t="str">
        <f>IFERROR(VLOOKUP(S237,TD!$J$33:$K$43,2,0)," ")</f>
        <v>Infraestructura Tecnológica   (Sistemas de Información y Tecnologia)</v>
      </c>
      <c r="U237" s="127" t="str">
        <f>CONCATENATE(S237,"-",T237)</f>
        <v>11-Infraestructura Tecnológica   (Sistemas de Información y Tecnologia)</v>
      </c>
      <c r="V237" s="173" t="s">
        <v>239</v>
      </c>
      <c r="W237" s="178" t="str">
        <f>IFERROR(VLOOKUP(V237,TD!$N$33:$O$45,2,0)," ")</f>
        <v>Servicios tecnológicos</v>
      </c>
      <c r="X237" s="127" t="str">
        <f>CONCATENATE(V237,"_",W237)</f>
        <v>007_Servicios tecnológicos</v>
      </c>
      <c r="Y237" s="127" t="str">
        <f>CONCATENATE(U237," ",X237)</f>
        <v>11-Infraestructura Tecnológica   (Sistemas de Información y Tecnologia) 007_Servicios tecnológicos</v>
      </c>
      <c r="Z237" s="178" t="str">
        <f>CONCATENATE(P237,Q237,R237,S237,V237)</f>
        <v>O23011745992024020711007</v>
      </c>
      <c r="AA237" s="178" t="str">
        <f>IFERROR(VLOOKUP(Y237,TD!$K$46:$L$64,2,0)," ")</f>
        <v>PM/0131/0111/45990070207</v>
      </c>
      <c r="AB237" s="177" t="s">
        <v>138</v>
      </c>
      <c r="AC237" s="179" t="s">
        <v>204</v>
      </c>
    </row>
    <row r="238" spans="2:29" s="28" customFormat="1" ht="74.25" customHeight="1" x14ac:dyDescent="0.35">
      <c r="B238" s="170">
        <v>20250369</v>
      </c>
      <c r="C238" s="171" t="s">
        <v>208</v>
      </c>
      <c r="D238" s="172" t="s">
        <v>162</v>
      </c>
      <c r="E238" s="173" t="s">
        <v>355</v>
      </c>
      <c r="F238" s="172" t="s">
        <v>921</v>
      </c>
      <c r="G238" s="172" t="s">
        <v>156</v>
      </c>
      <c r="H238" s="174">
        <v>80111600</v>
      </c>
      <c r="I238" s="175">
        <v>2</v>
      </c>
      <c r="J238" s="176">
        <v>11</v>
      </c>
      <c r="K238" s="176">
        <v>0</v>
      </c>
      <c r="L238" s="177">
        <v>39847500</v>
      </c>
      <c r="M238" s="172" t="s">
        <v>484</v>
      </c>
      <c r="N238" s="177" t="s">
        <v>113</v>
      </c>
      <c r="O238" s="173" t="s">
        <v>215</v>
      </c>
      <c r="P238" s="178" t="str">
        <f>IFERROR(VLOOKUP(C238,TD!$B$32:$F$36,2,0)," ")</f>
        <v>O230117</v>
      </c>
      <c r="Q238" s="178" t="str">
        <f>IFERROR(VLOOKUP(C238,TD!$B$32:$F$36,3,0)," ")</f>
        <v>4599</v>
      </c>
      <c r="R238" s="178">
        <f>IFERROR(VLOOKUP(C238,TD!$B$32:$F$36,4,0)," ")</f>
        <v>20240207</v>
      </c>
      <c r="S238" s="173" t="s">
        <v>179</v>
      </c>
      <c r="T238" s="178" t="str">
        <f>IFERROR(VLOOKUP(S238,TD!$J$33:$K$43,2,0)," ")</f>
        <v>Infraestructura Tecnológica   (Sistemas de Información y Tecnologia)</v>
      </c>
      <c r="U238" s="127" t="str">
        <f>CONCATENATE(S238,"-",T238)</f>
        <v>11-Infraestructura Tecnológica   (Sistemas de Información y Tecnologia)</v>
      </c>
      <c r="V238" s="173" t="s">
        <v>239</v>
      </c>
      <c r="W238" s="178" t="str">
        <f>IFERROR(VLOOKUP(V238,TD!$N$33:$O$45,2,0)," ")</f>
        <v>Servicios tecnológicos</v>
      </c>
      <c r="X238" s="127" t="str">
        <f>CONCATENATE(V238,"_",W238)</f>
        <v>007_Servicios tecnológicos</v>
      </c>
      <c r="Y238" s="127" t="str">
        <f>CONCATENATE(U238," ",X238)</f>
        <v>11-Infraestructura Tecnológica   (Sistemas de Información y Tecnologia) 007_Servicios tecnológicos</v>
      </c>
      <c r="Z238" s="178" t="str">
        <f>CONCATENATE(P238,Q238,R238,S238,V238)</f>
        <v>O23011745992024020711007</v>
      </c>
      <c r="AA238" s="178" t="str">
        <f>IFERROR(VLOOKUP(Y238,TD!$K$46:$L$64,2,0)," ")</f>
        <v>PM/0131/0111/45990070207</v>
      </c>
      <c r="AB238" s="177" t="s">
        <v>138</v>
      </c>
      <c r="AC238" s="179" t="s">
        <v>204</v>
      </c>
    </row>
    <row r="239" spans="2:29" s="28" customFormat="1" ht="74.25" customHeight="1" x14ac:dyDescent="0.35">
      <c r="B239" s="170">
        <v>20250370</v>
      </c>
      <c r="C239" s="171" t="s">
        <v>208</v>
      </c>
      <c r="D239" s="172" t="s">
        <v>162</v>
      </c>
      <c r="E239" s="173" t="s">
        <v>355</v>
      </c>
      <c r="F239" s="172" t="s">
        <v>922</v>
      </c>
      <c r="G239" s="172" t="s">
        <v>156</v>
      </c>
      <c r="H239" s="174">
        <v>80111600</v>
      </c>
      <c r="I239" s="175">
        <v>2</v>
      </c>
      <c r="J239" s="176">
        <v>11</v>
      </c>
      <c r="K239" s="176">
        <v>0</v>
      </c>
      <c r="L239" s="177">
        <v>47300000</v>
      </c>
      <c r="M239" s="172" t="s">
        <v>484</v>
      </c>
      <c r="N239" s="177" t="s">
        <v>113</v>
      </c>
      <c r="O239" s="173" t="s">
        <v>606</v>
      </c>
      <c r="P239" s="178" t="str">
        <f>IFERROR(VLOOKUP(C239,TD!$B$32:$F$36,2,0)," ")</f>
        <v>O230117</v>
      </c>
      <c r="Q239" s="178" t="str">
        <f>IFERROR(VLOOKUP(C239,TD!$B$32:$F$36,3,0)," ")</f>
        <v>4599</v>
      </c>
      <c r="R239" s="178">
        <f>IFERROR(VLOOKUP(C239,TD!$B$32:$F$36,4,0)," ")</f>
        <v>20240207</v>
      </c>
      <c r="S239" s="173" t="s">
        <v>179</v>
      </c>
      <c r="T239" s="178" t="str">
        <f>IFERROR(VLOOKUP(S239,TD!$J$33:$K$43,2,0)," ")</f>
        <v>Infraestructura Tecnológica   (Sistemas de Información y Tecnologia)</v>
      </c>
      <c r="U239" s="127" t="str">
        <f>CONCATENATE(S239,"-",T239)</f>
        <v>11-Infraestructura Tecnológica   (Sistemas de Información y Tecnologia)</v>
      </c>
      <c r="V239" s="173" t="s">
        <v>239</v>
      </c>
      <c r="W239" s="178" t="str">
        <f>IFERROR(VLOOKUP(V239,TD!$N$33:$O$45,2,0)," ")</f>
        <v>Servicios tecnológicos</v>
      </c>
      <c r="X239" s="127" t="str">
        <f>CONCATENATE(V239,"_",W239)</f>
        <v>007_Servicios tecnológicos</v>
      </c>
      <c r="Y239" s="127" t="str">
        <f>CONCATENATE(U239," ",X239)</f>
        <v>11-Infraestructura Tecnológica   (Sistemas de Información y Tecnologia) 007_Servicios tecnológicos</v>
      </c>
      <c r="Z239" s="178" t="str">
        <f>CONCATENATE(P239,Q239,R239,S239,V239)</f>
        <v>O23011745992024020711007</v>
      </c>
      <c r="AA239" s="178" t="str">
        <f>IFERROR(VLOOKUP(Y239,TD!$K$46:$L$64,2,0)," ")</f>
        <v>PM/0131/0111/45990070207</v>
      </c>
      <c r="AB239" s="177" t="s">
        <v>138</v>
      </c>
      <c r="AC239" s="179" t="s">
        <v>204</v>
      </c>
    </row>
    <row r="240" spans="2:29" s="28" customFormat="1" ht="74.25" customHeight="1" x14ac:dyDescent="0.35">
      <c r="B240" s="170">
        <v>20250371</v>
      </c>
      <c r="C240" s="171" t="s">
        <v>208</v>
      </c>
      <c r="D240" s="172" t="s">
        <v>162</v>
      </c>
      <c r="E240" s="173" t="s">
        <v>355</v>
      </c>
      <c r="F240" s="172" t="s">
        <v>923</v>
      </c>
      <c r="G240" s="172" t="s">
        <v>155</v>
      </c>
      <c r="H240" s="174">
        <v>80111600</v>
      </c>
      <c r="I240" s="175">
        <v>2</v>
      </c>
      <c r="J240" s="176">
        <v>11</v>
      </c>
      <c r="K240" s="176">
        <v>0</v>
      </c>
      <c r="L240" s="177">
        <v>93812400</v>
      </c>
      <c r="M240" s="172" t="s">
        <v>484</v>
      </c>
      <c r="N240" s="177" t="s">
        <v>113</v>
      </c>
      <c r="O240" s="173" t="s">
        <v>214</v>
      </c>
      <c r="P240" s="178" t="str">
        <f>IFERROR(VLOOKUP(C240,TD!$B$32:$F$36,2,0)," ")</f>
        <v>O230117</v>
      </c>
      <c r="Q240" s="178" t="str">
        <f>IFERROR(VLOOKUP(C240,TD!$B$32:$F$36,3,0)," ")</f>
        <v>4599</v>
      </c>
      <c r="R240" s="178">
        <f>IFERROR(VLOOKUP(C240,TD!$B$32:$F$36,4,0)," ")</f>
        <v>20240207</v>
      </c>
      <c r="S240" s="173" t="s">
        <v>179</v>
      </c>
      <c r="T240" s="178" t="str">
        <f>IFERROR(VLOOKUP(S240,TD!$J$33:$K$43,2,0)," ")</f>
        <v>Infraestructura Tecnológica   (Sistemas de Información y Tecnologia)</v>
      </c>
      <c r="U240" s="127" t="str">
        <f>CONCATENATE(S240,"-",T240)</f>
        <v>11-Infraestructura Tecnológica   (Sistemas de Información y Tecnologia)</v>
      </c>
      <c r="V240" s="173" t="s">
        <v>239</v>
      </c>
      <c r="W240" s="178" t="str">
        <f>IFERROR(VLOOKUP(V240,TD!$N$33:$O$45,2,0)," ")</f>
        <v>Servicios tecnológicos</v>
      </c>
      <c r="X240" s="127" t="str">
        <f>CONCATENATE(V240,"_",W240)</f>
        <v>007_Servicios tecnológicos</v>
      </c>
      <c r="Y240" s="127" t="str">
        <f>CONCATENATE(U240," ",X240)</f>
        <v>11-Infraestructura Tecnológica   (Sistemas de Información y Tecnologia) 007_Servicios tecnológicos</v>
      </c>
      <c r="Z240" s="178" t="str">
        <f>CONCATENATE(P240,Q240,R240,S240,V240)</f>
        <v>O23011745992024020711007</v>
      </c>
      <c r="AA240" s="178" t="str">
        <f>IFERROR(VLOOKUP(Y240,TD!$K$46:$L$64,2,0)," ")</f>
        <v>PM/0131/0111/45990070207</v>
      </c>
      <c r="AB240" s="177" t="s">
        <v>138</v>
      </c>
      <c r="AC240" s="179" t="s">
        <v>204</v>
      </c>
    </row>
    <row r="241" spans="2:29" s="28" customFormat="1" ht="74.25" customHeight="1" x14ac:dyDescent="0.35">
      <c r="B241" s="170">
        <v>20250372</v>
      </c>
      <c r="C241" s="171" t="s">
        <v>208</v>
      </c>
      <c r="D241" s="172" t="s">
        <v>162</v>
      </c>
      <c r="E241" s="173" t="s">
        <v>355</v>
      </c>
      <c r="F241" s="172" t="s">
        <v>924</v>
      </c>
      <c r="G241" s="172" t="s">
        <v>156</v>
      </c>
      <c r="H241" s="174">
        <v>80111600</v>
      </c>
      <c r="I241" s="175">
        <v>2</v>
      </c>
      <c r="J241" s="176">
        <v>11</v>
      </c>
      <c r="K241" s="176">
        <v>0</v>
      </c>
      <c r="L241" s="177">
        <v>47817000</v>
      </c>
      <c r="M241" s="172" t="s">
        <v>484</v>
      </c>
      <c r="N241" s="177" t="s">
        <v>113</v>
      </c>
      <c r="O241" s="173" t="s">
        <v>216</v>
      </c>
      <c r="P241" s="178" t="str">
        <f>IFERROR(VLOOKUP(C241,TD!$B$32:$F$36,2,0)," ")</f>
        <v>O230117</v>
      </c>
      <c r="Q241" s="178" t="str">
        <f>IFERROR(VLOOKUP(C241,TD!$B$32:$F$36,3,0)," ")</f>
        <v>4599</v>
      </c>
      <c r="R241" s="178">
        <f>IFERROR(VLOOKUP(C241,TD!$B$32:$F$36,4,0)," ")</f>
        <v>20240207</v>
      </c>
      <c r="S241" s="173" t="s">
        <v>179</v>
      </c>
      <c r="T241" s="178" t="str">
        <f>IFERROR(VLOOKUP(S241,TD!$J$33:$K$43,2,0)," ")</f>
        <v>Infraestructura Tecnológica   (Sistemas de Información y Tecnologia)</v>
      </c>
      <c r="U241" s="127" t="str">
        <f>CONCATENATE(S241,"-",T241)</f>
        <v>11-Infraestructura Tecnológica   (Sistemas de Información y Tecnologia)</v>
      </c>
      <c r="V241" s="173" t="s">
        <v>239</v>
      </c>
      <c r="W241" s="178" t="str">
        <f>IFERROR(VLOOKUP(V241,TD!$N$33:$O$45,2,0)," ")</f>
        <v>Servicios tecnológicos</v>
      </c>
      <c r="X241" s="127" t="str">
        <f>CONCATENATE(V241,"_",W241)</f>
        <v>007_Servicios tecnológicos</v>
      </c>
      <c r="Y241" s="127" t="str">
        <f>CONCATENATE(U241," ",X241)</f>
        <v>11-Infraestructura Tecnológica   (Sistemas de Información y Tecnologia) 007_Servicios tecnológicos</v>
      </c>
      <c r="Z241" s="178" t="str">
        <f>CONCATENATE(P241,Q241,R241,S241,V241)</f>
        <v>O23011745992024020711007</v>
      </c>
      <c r="AA241" s="178" t="str">
        <f>IFERROR(VLOOKUP(Y241,TD!$K$46:$L$64,2,0)," ")</f>
        <v>PM/0131/0111/45990070207</v>
      </c>
      <c r="AB241" s="177" t="s">
        <v>138</v>
      </c>
      <c r="AC241" s="179" t="s">
        <v>204</v>
      </c>
    </row>
    <row r="242" spans="2:29" s="28" customFormat="1" ht="74.25" customHeight="1" x14ac:dyDescent="0.35">
      <c r="B242" s="170">
        <v>20250373</v>
      </c>
      <c r="C242" s="171" t="s">
        <v>208</v>
      </c>
      <c r="D242" s="172" t="s">
        <v>162</v>
      </c>
      <c r="E242" s="173" t="s">
        <v>355</v>
      </c>
      <c r="F242" s="172" t="s">
        <v>925</v>
      </c>
      <c r="G242" s="172" t="s">
        <v>155</v>
      </c>
      <c r="H242" s="174">
        <v>80111600</v>
      </c>
      <c r="I242" s="175">
        <v>2</v>
      </c>
      <c r="J242" s="176">
        <v>11</v>
      </c>
      <c r="K242" s="176">
        <v>0</v>
      </c>
      <c r="L242" s="177">
        <v>79695000</v>
      </c>
      <c r="M242" s="172" t="s">
        <v>484</v>
      </c>
      <c r="N242" s="177" t="s">
        <v>113</v>
      </c>
      <c r="O242" s="173" t="s">
        <v>217</v>
      </c>
      <c r="P242" s="178" t="str">
        <f>IFERROR(VLOOKUP(C242,TD!$B$32:$F$36,2,0)," ")</f>
        <v>O230117</v>
      </c>
      <c r="Q242" s="178" t="str">
        <f>IFERROR(VLOOKUP(C242,TD!$B$32:$F$36,3,0)," ")</f>
        <v>4599</v>
      </c>
      <c r="R242" s="178">
        <f>IFERROR(VLOOKUP(C242,TD!$B$32:$F$36,4,0)," ")</f>
        <v>20240207</v>
      </c>
      <c r="S242" s="173" t="s">
        <v>179</v>
      </c>
      <c r="T242" s="178" t="str">
        <f>IFERROR(VLOOKUP(S242,TD!$J$33:$K$43,2,0)," ")</f>
        <v>Infraestructura Tecnológica   (Sistemas de Información y Tecnologia)</v>
      </c>
      <c r="U242" s="127" t="str">
        <f>CONCATENATE(S242,"-",T242)</f>
        <v>11-Infraestructura Tecnológica   (Sistemas de Información y Tecnologia)</v>
      </c>
      <c r="V242" s="173" t="s">
        <v>239</v>
      </c>
      <c r="W242" s="178" t="str">
        <f>IFERROR(VLOOKUP(V242,TD!$N$33:$O$45,2,0)," ")</f>
        <v>Servicios tecnológicos</v>
      </c>
      <c r="X242" s="127" t="str">
        <f>CONCATENATE(V242,"_",W242)</f>
        <v>007_Servicios tecnológicos</v>
      </c>
      <c r="Y242" s="127" t="str">
        <f>CONCATENATE(U242," ",X242)</f>
        <v>11-Infraestructura Tecnológica   (Sistemas de Información y Tecnologia) 007_Servicios tecnológicos</v>
      </c>
      <c r="Z242" s="178" t="str">
        <f>CONCATENATE(P242,Q242,R242,S242,V242)</f>
        <v>O23011745992024020711007</v>
      </c>
      <c r="AA242" s="178" t="str">
        <f>IFERROR(VLOOKUP(Y242,TD!$K$46:$L$64,2,0)," ")</f>
        <v>PM/0131/0111/45990070207</v>
      </c>
      <c r="AB242" s="177" t="s">
        <v>138</v>
      </c>
      <c r="AC242" s="179" t="s">
        <v>204</v>
      </c>
    </row>
    <row r="243" spans="2:29" s="28" customFormat="1" ht="74.25" customHeight="1" x14ac:dyDescent="0.35">
      <c r="B243" s="170">
        <v>20250374</v>
      </c>
      <c r="C243" s="171" t="s">
        <v>208</v>
      </c>
      <c r="D243" s="172" t="s">
        <v>162</v>
      </c>
      <c r="E243" s="173" t="s">
        <v>355</v>
      </c>
      <c r="F243" s="172" t="s">
        <v>926</v>
      </c>
      <c r="G243" s="172" t="s">
        <v>155</v>
      </c>
      <c r="H243" s="174">
        <v>80111600</v>
      </c>
      <c r="I243" s="175">
        <v>2</v>
      </c>
      <c r="J243" s="175">
        <v>11</v>
      </c>
      <c r="K243" s="176">
        <v>0</v>
      </c>
      <c r="L243" s="177">
        <v>77000000</v>
      </c>
      <c r="M243" s="172" t="s">
        <v>484</v>
      </c>
      <c r="N243" s="177" t="s">
        <v>113</v>
      </c>
      <c r="O243" s="173" t="s">
        <v>214</v>
      </c>
      <c r="P243" s="178" t="str">
        <f>IFERROR(VLOOKUP(C243,TD!$B$32:$F$36,2,0)," ")</f>
        <v>O230117</v>
      </c>
      <c r="Q243" s="178" t="str">
        <f>IFERROR(VLOOKUP(C243,TD!$B$32:$F$36,3,0)," ")</f>
        <v>4599</v>
      </c>
      <c r="R243" s="178">
        <f>IFERROR(VLOOKUP(C243,TD!$B$32:$F$36,4,0)," ")</f>
        <v>20240207</v>
      </c>
      <c r="S243" s="173" t="s">
        <v>179</v>
      </c>
      <c r="T243" s="178" t="str">
        <f>IFERROR(VLOOKUP(S243,TD!$J$33:$K$43,2,0)," ")</f>
        <v>Infraestructura Tecnológica   (Sistemas de Información y Tecnologia)</v>
      </c>
      <c r="U243" s="127" t="str">
        <f>CONCATENATE(S243,"-",T243)</f>
        <v>11-Infraestructura Tecnológica   (Sistemas de Información y Tecnologia)</v>
      </c>
      <c r="V243" s="173" t="s">
        <v>239</v>
      </c>
      <c r="W243" s="178" t="str">
        <f>IFERROR(VLOOKUP(V243,TD!$N$33:$O$45,2,0)," ")</f>
        <v>Servicios tecnológicos</v>
      </c>
      <c r="X243" s="127" t="str">
        <f>CONCATENATE(V243,"_",W243)</f>
        <v>007_Servicios tecnológicos</v>
      </c>
      <c r="Y243" s="127" t="str">
        <f>CONCATENATE(U243," ",X243)</f>
        <v>11-Infraestructura Tecnológica   (Sistemas de Información y Tecnologia) 007_Servicios tecnológicos</v>
      </c>
      <c r="Z243" s="178" t="str">
        <f>CONCATENATE(P243,Q243,R243,S243,V243)</f>
        <v>O23011745992024020711007</v>
      </c>
      <c r="AA243" s="178" t="str">
        <f>IFERROR(VLOOKUP(Y243,TD!$K$46:$L$64,2,0)," ")</f>
        <v>PM/0131/0111/45990070207</v>
      </c>
      <c r="AB243" s="177" t="s">
        <v>138</v>
      </c>
      <c r="AC243" s="179" t="s">
        <v>204</v>
      </c>
    </row>
    <row r="244" spans="2:29" s="28" customFormat="1" ht="74.25" customHeight="1" x14ac:dyDescent="0.35">
      <c r="B244" s="170">
        <v>20250375</v>
      </c>
      <c r="C244" s="171" t="s">
        <v>208</v>
      </c>
      <c r="D244" s="172" t="s">
        <v>162</v>
      </c>
      <c r="E244" s="173" t="s">
        <v>355</v>
      </c>
      <c r="F244" s="172" t="s">
        <v>926</v>
      </c>
      <c r="G244" s="172" t="s">
        <v>155</v>
      </c>
      <c r="H244" s="174">
        <v>80111600</v>
      </c>
      <c r="I244" s="175">
        <v>2</v>
      </c>
      <c r="J244" s="175">
        <v>11</v>
      </c>
      <c r="K244" s="176">
        <v>0</v>
      </c>
      <c r="L244" s="177">
        <v>77000000</v>
      </c>
      <c r="M244" s="172" t="s">
        <v>484</v>
      </c>
      <c r="N244" s="177" t="s">
        <v>113</v>
      </c>
      <c r="O244" s="173" t="s">
        <v>607</v>
      </c>
      <c r="P244" s="178" t="str">
        <f>IFERROR(VLOOKUP(C244,TD!$B$32:$F$36,2,0)," ")</f>
        <v>O230117</v>
      </c>
      <c r="Q244" s="178" t="str">
        <f>IFERROR(VLOOKUP(C244,TD!$B$32:$F$36,3,0)," ")</f>
        <v>4599</v>
      </c>
      <c r="R244" s="178">
        <f>IFERROR(VLOOKUP(C244,TD!$B$32:$F$36,4,0)," ")</f>
        <v>20240207</v>
      </c>
      <c r="S244" s="173" t="s">
        <v>179</v>
      </c>
      <c r="T244" s="178" t="str">
        <f>IFERROR(VLOOKUP(S244,TD!$J$33:$K$43,2,0)," ")</f>
        <v>Infraestructura Tecnológica   (Sistemas de Información y Tecnologia)</v>
      </c>
      <c r="U244" s="127" t="str">
        <f>CONCATENATE(S244,"-",T244)</f>
        <v>11-Infraestructura Tecnológica   (Sistemas de Información y Tecnologia)</v>
      </c>
      <c r="V244" s="173" t="s">
        <v>239</v>
      </c>
      <c r="W244" s="178" t="str">
        <f>IFERROR(VLOOKUP(V244,TD!$N$33:$O$45,2,0)," ")</f>
        <v>Servicios tecnológicos</v>
      </c>
      <c r="X244" s="127" t="str">
        <f>CONCATENATE(V244,"_",W244)</f>
        <v>007_Servicios tecnológicos</v>
      </c>
      <c r="Y244" s="127" t="str">
        <f>CONCATENATE(U244," ",X244)</f>
        <v>11-Infraestructura Tecnológica   (Sistemas de Información y Tecnologia) 007_Servicios tecnológicos</v>
      </c>
      <c r="Z244" s="178" t="str">
        <f>CONCATENATE(P244,Q244,R244,S244,V244)</f>
        <v>O23011745992024020711007</v>
      </c>
      <c r="AA244" s="178" t="str">
        <f>IFERROR(VLOOKUP(Y244,TD!$K$46:$L$64,2,0)," ")</f>
        <v>PM/0131/0111/45990070207</v>
      </c>
      <c r="AB244" s="177" t="s">
        <v>138</v>
      </c>
      <c r="AC244" s="179" t="s">
        <v>204</v>
      </c>
    </row>
    <row r="245" spans="2:29" s="28" customFormat="1" ht="74.25" customHeight="1" x14ac:dyDescent="0.35">
      <c r="B245" s="170">
        <v>20250376</v>
      </c>
      <c r="C245" s="171" t="s">
        <v>208</v>
      </c>
      <c r="D245" s="172" t="s">
        <v>162</v>
      </c>
      <c r="E245" s="173" t="s">
        <v>355</v>
      </c>
      <c r="F245" s="172" t="s">
        <v>927</v>
      </c>
      <c r="G245" s="172" t="s">
        <v>155</v>
      </c>
      <c r="H245" s="174">
        <v>80111600</v>
      </c>
      <c r="I245" s="175">
        <v>2</v>
      </c>
      <c r="J245" s="175">
        <v>11</v>
      </c>
      <c r="K245" s="176">
        <v>0</v>
      </c>
      <c r="L245" s="177">
        <v>40986000</v>
      </c>
      <c r="M245" s="172" t="s">
        <v>484</v>
      </c>
      <c r="N245" s="177" t="s">
        <v>113</v>
      </c>
      <c r="O245" s="173" t="s">
        <v>608</v>
      </c>
      <c r="P245" s="178" t="str">
        <f>IFERROR(VLOOKUP(C245,TD!$B$32:$F$36,2,0)," ")</f>
        <v>O230117</v>
      </c>
      <c r="Q245" s="178" t="str">
        <f>IFERROR(VLOOKUP(C245,TD!$B$32:$F$36,3,0)," ")</f>
        <v>4599</v>
      </c>
      <c r="R245" s="178">
        <f>IFERROR(VLOOKUP(C245,TD!$B$32:$F$36,4,0)," ")</f>
        <v>20240207</v>
      </c>
      <c r="S245" s="173" t="s">
        <v>179</v>
      </c>
      <c r="T245" s="178" t="str">
        <f>IFERROR(VLOOKUP(S245,TD!$J$33:$K$43,2,0)," ")</f>
        <v>Infraestructura Tecnológica   (Sistemas de Información y Tecnologia)</v>
      </c>
      <c r="U245" s="127" t="str">
        <f>CONCATENATE(S245,"-",T245)</f>
        <v>11-Infraestructura Tecnológica   (Sistemas de Información y Tecnologia)</v>
      </c>
      <c r="V245" s="173" t="s">
        <v>239</v>
      </c>
      <c r="W245" s="178" t="str">
        <f>IFERROR(VLOOKUP(V245,TD!$N$33:$O$45,2,0)," ")</f>
        <v>Servicios tecnológicos</v>
      </c>
      <c r="X245" s="127" t="str">
        <f>CONCATENATE(V245,"_",W245)</f>
        <v>007_Servicios tecnológicos</v>
      </c>
      <c r="Y245" s="127" t="str">
        <f>CONCATENATE(U245," ",X245)</f>
        <v>11-Infraestructura Tecnológica   (Sistemas de Información y Tecnologia) 007_Servicios tecnológicos</v>
      </c>
      <c r="Z245" s="178" t="str">
        <f>CONCATENATE(P245,Q245,R245,S245,V245)</f>
        <v>O23011745992024020711007</v>
      </c>
      <c r="AA245" s="178" t="str">
        <f>IFERROR(VLOOKUP(Y245,TD!$K$46:$L$64,2,0)," ")</f>
        <v>PM/0131/0111/45990070207</v>
      </c>
      <c r="AB245" s="177" t="s">
        <v>138</v>
      </c>
      <c r="AC245" s="179" t="s">
        <v>204</v>
      </c>
    </row>
    <row r="246" spans="2:29" s="28" customFormat="1" ht="74.25" customHeight="1" x14ac:dyDescent="0.35">
      <c r="B246" s="170">
        <v>20250377</v>
      </c>
      <c r="C246" s="171" t="s">
        <v>208</v>
      </c>
      <c r="D246" s="172" t="s">
        <v>162</v>
      </c>
      <c r="E246" s="173" t="s">
        <v>355</v>
      </c>
      <c r="F246" s="172" t="s">
        <v>928</v>
      </c>
      <c r="G246" s="172" t="s">
        <v>155</v>
      </c>
      <c r="H246" s="174">
        <v>80111600</v>
      </c>
      <c r="I246" s="175">
        <v>2</v>
      </c>
      <c r="J246" s="175">
        <v>11</v>
      </c>
      <c r="K246" s="176">
        <v>0</v>
      </c>
      <c r="L246" s="177">
        <v>40986000</v>
      </c>
      <c r="M246" s="172" t="s">
        <v>484</v>
      </c>
      <c r="N246" s="177" t="s">
        <v>113</v>
      </c>
      <c r="O246" s="173" t="s">
        <v>609</v>
      </c>
      <c r="P246" s="178" t="str">
        <f>IFERROR(VLOOKUP(C246,TD!$B$32:$F$36,2,0)," ")</f>
        <v>O230117</v>
      </c>
      <c r="Q246" s="178" t="str">
        <f>IFERROR(VLOOKUP(C246,TD!$B$32:$F$36,3,0)," ")</f>
        <v>4599</v>
      </c>
      <c r="R246" s="178">
        <f>IFERROR(VLOOKUP(C246,TD!$B$32:$F$36,4,0)," ")</f>
        <v>20240207</v>
      </c>
      <c r="S246" s="173" t="s">
        <v>179</v>
      </c>
      <c r="T246" s="178" t="str">
        <f>IFERROR(VLOOKUP(S246,TD!$J$33:$K$43,2,0)," ")</f>
        <v>Infraestructura Tecnológica   (Sistemas de Información y Tecnologia)</v>
      </c>
      <c r="U246" s="127" t="str">
        <f>CONCATENATE(S246,"-",T246)</f>
        <v>11-Infraestructura Tecnológica   (Sistemas de Información y Tecnologia)</v>
      </c>
      <c r="V246" s="173" t="s">
        <v>239</v>
      </c>
      <c r="W246" s="178" t="str">
        <f>IFERROR(VLOOKUP(V246,TD!$N$33:$O$45,2,0)," ")</f>
        <v>Servicios tecnológicos</v>
      </c>
      <c r="X246" s="127" t="str">
        <f>CONCATENATE(V246,"_",W246)</f>
        <v>007_Servicios tecnológicos</v>
      </c>
      <c r="Y246" s="127" t="str">
        <f>CONCATENATE(U246," ",X246)</f>
        <v>11-Infraestructura Tecnológica   (Sistemas de Información y Tecnologia) 007_Servicios tecnológicos</v>
      </c>
      <c r="Z246" s="178" t="str">
        <f>CONCATENATE(P246,Q246,R246,S246,V246)</f>
        <v>O23011745992024020711007</v>
      </c>
      <c r="AA246" s="178" t="str">
        <f>IFERROR(VLOOKUP(Y246,TD!$K$46:$L$64,2,0)," ")</f>
        <v>PM/0131/0111/45990070207</v>
      </c>
      <c r="AB246" s="177" t="s">
        <v>138</v>
      </c>
      <c r="AC246" s="179" t="s">
        <v>204</v>
      </c>
    </row>
    <row r="247" spans="2:29" s="28" customFormat="1" ht="74.25" customHeight="1" x14ac:dyDescent="0.35">
      <c r="B247" s="170">
        <v>20250378</v>
      </c>
      <c r="C247" s="171" t="s">
        <v>208</v>
      </c>
      <c r="D247" s="172" t="s">
        <v>162</v>
      </c>
      <c r="E247" s="173" t="s">
        <v>355</v>
      </c>
      <c r="F247" s="172" t="s">
        <v>929</v>
      </c>
      <c r="G247" s="172" t="s">
        <v>156</v>
      </c>
      <c r="H247" s="174">
        <v>80111600</v>
      </c>
      <c r="I247" s="175">
        <v>2</v>
      </c>
      <c r="J247" s="175">
        <v>11</v>
      </c>
      <c r="K247" s="176">
        <v>0</v>
      </c>
      <c r="L247" s="177">
        <v>33000000</v>
      </c>
      <c r="M247" s="172" t="s">
        <v>484</v>
      </c>
      <c r="N247" s="177" t="s">
        <v>113</v>
      </c>
      <c r="O247" s="173" t="s">
        <v>215</v>
      </c>
      <c r="P247" s="178" t="str">
        <f>IFERROR(VLOOKUP(C247,TD!$B$32:$F$36,2,0)," ")</f>
        <v>O230117</v>
      </c>
      <c r="Q247" s="178" t="str">
        <f>IFERROR(VLOOKUP(C247,TD!$B$32:$F$36,3,0)," ")</f>
        <v>4599</v>
      </c>
      <c r="R247" s="178">
        <f>IFERROR(VLOOKUP(C247,TD!$B$32:$F$36,4,0)," ")</f>
        <v>20240207</v>
      </c>
      <c r="S247" s="173" t="s">
        <v>179</v>
      </c>
      <c r="T247" s="178" t="str">
        <f>IFERROR(VLOOKUP(S247,TD!$J$33:$K$43,2,0)," ")</f>
        <v>Infraestructura Tecnológica   (Sistemas de Información y Tecnologia)</v>
      </c>
      <c r="U247" s="127" t="str">
        <f>CONCATENATE(S247,"-",T247)</f>
        <v>11-Infraestructura Tecnológica   (Sistemas de Información y Tecnologia)</v>
      </c>
      <c r="V247" s="173" t="s">
        <v>239</v>
      </c>
      <c r="W247" s="178" t="str">
        <f>IFERROR(VLOOKUP(V247,TD!$N$33:$O$45,2,0)," ")</f>
        <v>Servicios tecnológicos</v>
      </c>
      <c r="X247" s="127" t="str">
        <f>CONCATENATE(V247,"_",W247)</f>
        <v>007_Servicios tecnológicos</v>
      </c>
      <c r="Y247" s="127" t="str">
        <f>CONCATENATE(U247," ",X247)</f>
        <v>11-Infraestructura Tecnológica   (Sistemas de Información y Tecnologia) 007_Servicios tecnológicos</v>
      </c>
      <c r="Z247" s="178" t="str">
        <f>CONCATENATE(P247,Q247,R247,S247,V247)</f>
        <v>O23011745992024020711007</v>
      </c>
      <c r="AA247" s="178" t="str">
        <f>IFERROR(VLOOKUP(Y247,TD!$K$46:$L$64,2,0)," ")</f>
        <v>PM/0131/0111/45990070207</v>
      </c>
      <c r="AB247" s="177" t="s">
        <v>138</v>
      </c>
      <c r="AC247" s="179" t="s">
        <v>204</v>
      </c>
    </row>
    <row r="248" spans="2:29" s="28" customFormat="1" ht="74.25" customHeight="1" x14ac:dyDescent="0.35">
      <c r="B248" s="170">
        <v>20250379</v>
      </c>
      <c r="C248" s="171" t="s">
        <v>208</v>
      </c>
      <c r="D248" s="172" t="s">
        <v>162</v>
      </c>
      <c r="E248" s="173" t="s">
        <v>355</v>
      </c>
      <c r="F248" s="172" t="s">
        <v>930</v>
      </c>
      <c r="G248" s="172" t="s">
        <v>155</v>
      </c>
      <c r="H248" s="174">
        <v>80111600</v>
      </c>
      <c r="I248" s="175">
        <v>2</v>
      </c>
      <c r="J248" s="175">
        <v>11</v>
      </c>
      <c r="K248" s="176">
        <v>0</v>
      </c>
      <c r="L248" s="177">
        <v>66000000</v>
      </c>
      <c r="M248" s="172" t="s">
        <v>484</v>
      </c>
      <c r="N248" s="177" t="s">
        <v>113</v>
      </c>
      <c r="O248" s="173" t="s">
        <v>215</v>
      </c>
      <c r="P248" s="178" t="str">
        <f>IFERROR(VLOOKUP(C248,TD!$B$32:$F$36,2,0)," ")</f>
        <v>O230117</v>
      </c>
      <c r="Q248" s="178" t="str">
        <f>IFERROR(VLOOKUP(C248,TD!$B$32:$F$36,3,0)," ")</f>
        <v>4599</v>
      </c>
      <c r="R248" s="178">
        <f>IFERROR(VLOOKUP(C248,TD!$B$32:$F$36,4,0)," ")</f>
        <v>20240207</v>
      </c>
      <c r="S248" s="173" t="s">
        <v>179</v>
      </c>
      <c r="T248" s="178" t="str">
        <f>IFERROR(VLOOKUP(S248,TD!$J$33:$K$43,2,0)," ")</f>
        <v>Infraestructura Tecnológica   (Sistemas de Información y Tecnologia)</v>
      </c>
      <c r="U248" s="127" t="str">
        <f>CONCATENATE(S248,"-",T248)</f>
        <v>11-Infraestructura Tecnológica   (Sistemas de Información y Tecnologia)</v>
      </c>
      <c r="V248" s="173" t="s">
        <v>239</v>
      </c>
      <c r="W248" s="178" t="str">
        <f>IFERROR(VLOOKUP(V248,TD!$N$33:$O$45,2,0)," ")</f>
        <v>Servicios tecnológicos</v>
      </c>
      <c r="X248" s="127" t="str">
        <f>CONCATENATE(V248,"_",W248)</f>
        <v>007_Servicios tecnológicos</v>
      </c>
      <c r="Y248" s="127" t="str">
        <f>CONCATENATE(U248," ",X248)</f>
        <v>11-Infraestructura Tecnológica   (Sistemas de Información y Tecnologia) 007_Servicios tecnológicos</v>
      </c>
      <c r="Z248" s="178" t="str">
        <f>CONCATENATE(P248,Q248,R248,S248,V248)</f>
        <v>O23011745992024020711007</v>
      </c>
      <c r="AA248" s="178" t="str">
        <f>IFERROR(VLOOKUP(Y248,TD!$K$46:$L$64,2,0)," ")</f>
        <v>PM/0131/0111/45990070207</v>
      </c>
      <c r="AB248" s="177" t="s">
        <v>138</v>
      </c>
      <c r="AC248" s="179" t="s">
        <v>204</v>
      </c>
    </row>
    <row r="249" spans="2:29" s="28" customFormat="1" ht="74.25" customHeight="1" x14ac:dyDescent="0.35">
      <c r="B249" s="170">
        <v>20250380</v>
      </c>
      <c r="C249" s="171" t="s">
        <v>208</v>
      </c>
      <c r="D249" s="172" t="s">
        <v>162</v>
      </c>
      <c r="E249" s="173" t="s">
        <v>355</v>
      </c>
      <c r="F249" s="172" t="s">
        <v>931</v>
      </c>
      <c r="G249" s="172" t="s">
        <v>155</v>
      </c>
      <c r="H249" s="174">
        <v>80111600</v>
      </c>
      <c r="I249" s="175">
        <v>2</v>
      </c>
      <c r="J249" s="175">
        <v>11</v>
      </c>
      <c r="K249" s="176">
        <v>0</v>
      </c>
      <c r="L249" s="177">
        <v>104500000</v>
      </c>
      <c r="M249" s="172" t="s">
        <v>484</v>
      </c>
      <c r="N249" s="177" t="s">
        <v>113</v>
      </c>
      <c r="O249" s="173" t="s">
        <v>215</v>
      </c>
      <c r="P249" s="178" t="str">
        <f>IFERROR(VLOOKUP(C249,TD!$B$32:$F$36,2,0)," ")</f>
        <v>O230117</v>
      </c>
      <c r="Q249" s="178" t="str">
        <f>IFERROR(VLOOKUP(C249,TD!$B$32:$F$36,3,0)," ")</f>
        <v>4599</v>
      </c>
      <c r="R249" s="178">
        <f>IFERROR(VLOOKUP(C249,TD!$B$32:$F$36,4,0)," ")</f>
        <v>20240207</v>
      </c>
      <c r="S249" s="173" t="s">
        <v>179</v>
      </c>
      <c r="T249" s="178" t="str">
        <f>IFERROR(VLOOKUP(S249,TD!$J$33:$K$43,2,0)," ")</f>
        <v>Infraestructura Tecnológica   (Sistemas de Información y Tecnologia)</v>
      </c>
      <c r="U249" s="127" t="str">
        <f>CONCATENATE(S249,"-",T249)</f>
        <v>11-Infraestructura Tecnológica   (Sistemas de Información y Tecnologia)</v>
      </c>
      <c r="V249" s="173" t="s">
        <v>239</v>
      </c>
      <c r="W249" s="178" t="str">
        <f>IFERROR(VLOOKUP(V249,TD!$N$33:$O$45,2,0)," ")</f>
        <v>Servicios tecnológicos</v>
      </c>
      <c r="X249" s="127" t="str">
        <f>CONCATENATE(V249,"_",W249)</f>
        <v>007_Servicios tecnológicos</v>
      </c>
      <c r="Y249" s="127" t="str">
        <f>CONCATENATE(U249," ",X249)</f>
        <v>11-Infraestructura Tecnológica   (Sistemas de Información y Tecnologia) 007_Servicios tecnológicos</v>
      </c>
      <c r="Z249" s="178" t="str">
        <f>CONCATENATE(P249,Q249,R249,S249,V249)</f>
        <v>O23011745992024020711007</v>
      </c>
      <c r="AA249" s="178" t="str">
        <f>IFERROR(VLOOKUP(Y249,TD!$K$46:$L$64,2,0)," ")</f>
        <v>PM/0131/0111/45990070207</v>
      </c>
      <c r="AB249" s="177" t="s">
        <v>120</v>
      </c>
      <c r="AC249" s="179" t="s">
        <v>204</v>
      </c>
    </row>
    <row r="250" spans="2:29" s="28" customFormat="1" ht="74.25" customHeight="1" x14ac:dyDescent="0.35">
      <c r="B250" s="170">
        <v>20250381</v>
      </c>
      <c r="C250" s="171" t="s">
        <v>208</v>
      </c>
      <c r="D250" s="172" t="s">
        <v>162</v>
      </c>
      <c r="E250" s="173" t="s">
        <v>355</v>
      </c>
      <c r="F250" s="172" t="s">
        <v>932</v>
      </c>
      <c r="G250" s="172" t="s">
        <v>155</v>
      </c>
      <c r="H250" s="174">
        <v>80111600</v>
      </c>
      <c r="I250" s="175">
        <v>2</v>
      </c>
      <c r="J250" s="175">
        <v>11</v>
      </c>
      <c r="K250" s="176">
        <v>0</v>
      </c>
      <c r="L250" s="177">
        <v>79695000</v>
      </c>
      <c r="M250" s="172" t="s">
        <v>484</v>
      </c>
      <c r="N250" s="177" t="s">
        <v>113</v>
      </c>
      <c r="O250" s="173" t="s">
        <v>215</v>
      </c>
      <c r="P250" s="178" t="str">
        <f>IFERROR(VLOOKUP(C250,TD!$B$32:$F$36,2,0)," ")</f>
        <v>O230117</v>
      </c>
      <c r="Q250" s="178" t="str">
        <f>IFERROR(VLOOKUP(C250,TD!$B$32:$F$36,3,0)," ")</f>
        <v>4599</v>
      </c>
      <c r="R250" s="178">
        <f>IFERROR(VLOOKUP(C250,TD!$B$32:$F$36,4,0)," ")</f>
        <v>20240207</v>
      </c>
      <c r="S250" s="173" t="s">
        <v>179</v>
      </c>
      <c r="T250" s="178" t="str">
        <f>IFERROR(VLOOKUP(S250,TD!$J$33:$K$43,2,0)," ")</f>
        <v>Infraestructura Tecnológica   (Sistemas de Información y Tecnologia)</v>
      </c>
      <c r="U250" s="127" t="str">
        <f>CONCATENATE(S250,"-",T250)</f>
        <v>11-Infraestructura Tecnológica   (Sistemas de Información y Tecnologia)</v>
      </c>
      <c r="V250" s="173" t="s">
        <v>239</v>
      </c>
      <c r="W250" s="178" t="str">
        <f>IFERROR(VLOOKUP(V250,TD!$N$33:$O$45,2,0)," ")</f>
        <v>Servicios tecnológicos</v>
      </c>
      <c r="X250" s="127" t="str">
        <f>CONCATENATE(V250,"_",W250)</f>
        <v>007_Servicios tecnológicos</v>
      </c>
      <c r="Y250" s="127" t="str">
        <f>CONCATENATE(U250," ",X250)</f>
        <v>11-Infraestructura Tecnológica   (Sistemas de Información y Tecnologia) 007_Servicios tecnológicos</v>
      </c>
      <c r="Z250" s="178" t="str">
        <f>CONCATENATE(P250,Q250,R250,S250,V250)</f>
        <v>O23011745992024020711007</v>
      </c>
      <c r="AA250" s="178" t="str">
        <f>IFERROR(VLOOKUP(Y250,TD!$K$46:$L$64,2,0)," ")</f>
        <v>PM/0131/0111/45990070207</v>
      </c>
      <c r="AB250" s="177" t="s">
        <v>120</v>
      </c>
      <c r="AC250" s="179" t="s">
        <v>204</v>
      </c>
    </row>
    <row r="251" spans="2:29" s="28" customFormat="1" ht="74.25" customHeight="1" x14ac:dyDescent="0.35">
      <c r="B251" s="170">
        <v>20250382</v>
      </c>
      <c r="C251" s="171" t="s">
        <v>208</v>
      </c>
      <c r="D251" s="172" t="s">
        <v>162</v>
      </c>
      <c r="E251" s="173" t="s">
        <v>355</v>
      </c>
      <c r="F251" s="172" t="s">
        <v>933</v>
      </c>
      <c r="G251" s="172" t="s">
        <v>146</v>
      </c>
      <c r="H251" s="174" t="s">
        <v>610</v>
      </c>
      <c r="I251" s="175">
        <v>3</v>
      </c>
      <c r="J251" s="175">
        <v>9</v>
      </c>
      <c r="K251" s="176">
        <v>0</v>
      </c>
      <c r="L251" s="177">
        <v>150000000</v>
      </c>
      <c r="M251" s="172" t="s">
        <v>484</v>
      </c>
      <c r="N251" s="177" t="s">
        <v>95</v>
      </c>
      <c r="O251" s="173" t="s">
        <v>215</v>
      </c>
      <c r="P251" s="178" t="str">
        <f>IFERROR(VLOOKUP(C251,TD!$B$32:$F$36,2,0)," ")</f>
        <v>O230117</v>
      </c>
      <c r="Q251" s="178" t="str">
        <f>IFERROR(VLOOKUP(C251,TD!$B$32:$F$36,3,0)," ")</f>
        <v>4599</v>
      </c>
      <c r="R251" s="178">
        <f>IFERROR(VLOOKUP(C251,TD!$B$32:$F$36,4,0)," ")</f>
        <v>20240207</v>
      </c>
      <c r="S251" s="173" t="s">
        <v>179</v>
      </c>
      <c r="T251" s="178" t="str">
        <f>IFERROR(VLOOKUP(S251,TD!$J$33:$K$43,2,0)," ")</f>
        <v>Infraestructura Tecnológica   (Sistemas de Información y Tecnologia)</v>
      </c>
      <c r="U251" s="127" t="str">
        <f>CONCATENATE(S251,"-",T251)</f>
        <v>11-Infraestructura Tecnológica   (Sistemas de Información y Tecnologia)</v>
      </c>
      <c r="V251" s="173" t="s">
        <v>239</v>
      </c>
      <c r="W251" s="178" t="str">
        <f>IFERROR(VLOOKUP(V251,TD!$N$33:$O$45,2,0)," ")</f>
        <v>Servicios tecnológicos</v>
      </c>
      <c r="X251" s="127" t="str">
        <f>CONCATENATE(V251,"_",W251)</f>
        <v>007_Servicios tecnológicos</v>
      </c>
      <c r="Y251" s="127" t="str">
        <f>CONCATENATE(U251," ",X251)</f>
        <v>11-Infraestructura Tecnológica   (Sistemas de Información y Tecnologia) 007_Servicios tecnológicos</v>
      </c>
      <c r="Z251" s="178" t="str">
        <f>CONCATENATE(P251,Q251,R251,S251,V251)</f>
        <v>O23011745992024020711007</v>
      </c>
      <c r="AA251" s="178" t="str">
        <f>IFERROR(VLOOKUP(Y251,TD!$K$46:$L$64,2,0)," ")</f>
        <v>PM/0131/0111/45990070207</v>
      </c>
      <c r="AB251" s="177" t="s">
        <v>125</v>
      </c>
      <c r="AC251" s="179" t="s">
        <v>204</v>
      </c>
    </row>
    <row r="252" spans="2:29" s="28" customFormat="1" ht="74.25" customHeight="1" x14ac:dyDescent="0.35">
      <c r="B252" s="170">
        <v>20250383</v>
      </c>
      <c r="C252" s="171" t="s">
        <v>208</v>
      </c>
      <c r="D252" s="172" t="s">
        <v>162</v>
      </c>
      <c r="E252" s="173" t="s">
        <v>355</v>
      </c>
      <c r="F252" s="172" t="s">
        <v>611</v>
      </c>
      <c r="G252" s="172" t="s">
        <v>96</v>
      </c>
      <c r="H252" s="174" t="s">
        <v>934</v>
      </c>
      <c r="I252" s="175">
        <v>3</v>
      </c>
      <c r="J252" s="175">
        <v>9</v>
      </c>
      <c r="K252" s="176">
        <v>0</v>
      </c>
      <c r="L252" s="177">
        <v>100000000</v>
      </c>
      <c r="M252" s="172" t="s">
        <v>484</v>
      </c>
      <c r="N252" s="177" t="s">
        <v>123</v>
      </c>
      <c r="O252" s="173" t="s">
        <v>214</v>
      </c>
      <c r="P252" s="178" t="str">
        <f>IFERROR(VLOOKUP(C252,TD!$B$32:$F$36,2,0)," ")</f>
        <v>O230117</v>
      </c>
      <c r="Q252" s="178" t="str">
        <f>IFERROR(VLOOKUP(C252,TD!$B$32:$F$36,3,0)," ")</f>
        <v>4599</v>
      </c>
      <c r="R252" s="178">
        <f>IFERROR(VLOOKUP(C252,TD!$B$32:$F$36,4,0)," ")</f>
        <v>20240207</v>
      </c>
      <c r="S252" s="173" t="s">
        <v>179</v>
      </c>
      <c r="T252" s="178" t="str">
        <f>IFERROR(VLOOKUP(S252,TD!$J$33:$K$43,2,0)," ")</f>
        <v>Infraestructura Tecnológica   (Sistemas de Información y Tecnologia)</v>
      </c>
      <c r="U252" s="127" t="str">
        <f>CONCATENATE(S252,"-",T252)</f>
        <v>11-Infraestructura Tecnológica   (Sistemas de Información y Tecnologia)</v>
      </c>
      <c r="V252" s="173" t="s">
        <v>239</v>
      </c>
      <c r="W252" s="178" t="str">
        <f>IFERROR(VLOOKUP(V252,TD!$N$33:$O$45,2,0)," ")</f>
        <v>Servicios tecnológicos</v>
      </c>
      <c r="X252" s="127" t="str">
        <f>CONCATENATE(V252,"_",W252)</f>
        <v>007_Servicios tecnológicos</v>
      </c>
      <c r="Y252" s="127" t="str">
        <f>CONCATENATE(U252," ",X252)</f>
        <v>11-Infraestructura Tecnológica   (Sistemas de Información y Tecnologia) 007_Servicios tecnológicos</v>
      </c>
      <c r="Z252" s="178" t="str">
        <f>CONCATENATE(P252,Q252,R252,S252,V252)</f>
        <v>O23011745992024020711007</v>
      </c>
      <c r="AA252" s="178" t="str">
        <f>IFERROR(VLOOKUP(Y252,TD!$K$46:$L$64,2,0)," ")</f>
        <v>PM/0131/0111/45990070207</v>
      </c>
      <c r="AB252" s="177" t="s">
        <v>125</v>
      </c>
      <c r="AC252" s="179" t="s">
        <v>204</v>
      </c>
    </row>
    <row r="253" spans="2:29" s="28" customFormat="1" ht="74.25" customHeight="1" x14ac:dyDescent="0.35">
      <c r="B253" s="170">
        <v>20250389</v>
      </c>
      <c r="C253" s="171" t="s">
        <v>208</v>
      </c>
      <c r="D253" s="172" t="s">
        <v>162</v>
      </c>
      <c r="E253" s="173" t="s">
        <v>355</v>
      </c>
      <c r="F253" s="172" t="s">
        <v>619</v>
      </c>
      <c r="G253" s="172" t="s">
        <v>153</v>
      </c>
      <c r="H253" s="174">
        <v>81112401</v>
      </c>
      <c r="I253" s="175">
        <v>3</v>
      </c>
      <c r="J253" s="175">
        <v>9</v>
      </c>
      <c r="K253" s="176">
        <v>0</v>
      </c>
      <c r="L253" s="177">
        <v>50000000</v>
      </c>
      <c r="M253" s="172" t="s">
        <v>484</v>
      </c>
      <c r="N253" s="177" t="s">
        <v>100</v>
      </c>
      <c r="O253" s="173" t="s">
        <v>215</v>
      </c>
      <c r="P253" s="178" t="str">
        <f>IFERROR(VLOOKUP(C253,TD!$B$32:$F$36,2,0)," ")</f>
        <v>O230117</v>
      </c>
      <c r="Q253" s="178" t="str">
        <f>IFERROR(VLOOKUP(C253,TD!$B$32:$F$36,3,0)," ")</f>
        <v>4599</v>
      </c>
      <c r="R253" s="178">
        <f>IFERROR(VLOOKUP(C253,TD!$B$32:$F$36,4,0)," ")</f>
        <v>20240207</v>
      </c>
      <c r="S253" s="173" t="s">
        <v>179</v>
      </c>
      <c r="T253" s="178" t="str">
        <f>IFERROR(VLOOKUP(S253,TD!$J$33:$K$43,2,0)," ")</f>
        <v>Infraestructura Tecnológica   (Sistemas de Información y Tecnologia)</v>
      </c>
      <c r="U253" s="127" t="str">
        <f>CONCATENATE(S253,"-",T253)</f>
        <v>11-Infraestructura Tecnológica   (Sistemas de Información y Tecnologia)</v>
      </c>
      <c r="V253" s="178" t="s">
        <v>239</v>
      </c>
      <c r="W253" s="178" t="str">
        <f>IFERROR(VLOOKUP(V253,TD!$N$33:$O$45,2,0)," ")</f>
        <v>Servicios tecnológicos</v>
      </c>
      <c r="X253" s="139" t="str">
        <f>CONCATENATE(V253,"_",W253)</f>
        <v>007_Servicios tecnológicos</v>
      </c>
      <c r="Y253" s="140" t="str">
        <f>CONCATENATE(U253," ",X253)</f>
        <v>11-Infraestructura Tecnológica   (Sistemas de Información y Tecnologia) 007_Servicios tecnológicos</v>
      </c>
      <c r="Z253" s="173" t="str">
        <f>CONCATENATE(P253,Q253,R253,S253,V253)</f>
        <v>O23011745992024020711007</v>
      </c>
      <c r="AA253" s="225" t="str">
        <f>IFERROR(VLOOKUP(Y253,TD!$K$46:$L$64,2,0)," ")</f>
        <v>PM/0131/0111/45990070207</v>
      </c>
      <c r="AB253" s="225" t="s">
        <v>130</v>
      </c>
      <c r="AC253" s="226" t="s">
        <v>204</v>
      </c>
    </row>
    <row r="254" spans="2:29" s="28" customFormat="1" ht="74.25" customHeight="1" x14ac:dyDescent="0.35">
      <c r="B254" s="170">
        <v>20250392</v>
      </c>
      <c r="C254" s="171" t="s">
        <v>208</v>
      </c>
      <c r="D254" s="172" t="s">
        <v>162</v>
      </c>
      <c r="E254" s="173" t="s">
        <v>355</v>
      </c>
      <c r="F254" s="172" t="s">
        <v>412</v>
      </c>
      <c r="G254" s="172" t="s">
        <v>149</v>
      </c>
      <c r="H254" s="174" t="s">
        <v>419</v>
      </c>
      <c r="I254" s="175">
        <v>3</v>
      </c>
      <c r="J254" s="175">
        <v>9</v>
      </c>
      <c r="K254" s="176">
        <v>0</v>
      </c>
      <c r="L254" s="177">
        <v>144500000</v>
      </c>
      <c r="M254" s="172" t="s">
        <v>484</v>
      </c>
      <c r="N254" s="177" t="s">
        <v>113</v>
      </c>
      <c r="O254" s="173" t="s">
        <v>214</v>
      </c>
      <c r="P254" s="178" t="str">
        <f>IFERROR(VLOOKUP(C254,TD!$B$32:$F$36,2,0)," ")</f>
        <v>O230117</v>
      </c>
      <c r="Q254" s="178" t="str">
        <f>IFERROR(VLOOKUP(C254,TD!$B$32:$F$36,3,0)," ")</f>
        <v>4599</v>
      </c>
      <c r="R254" s="178">
        <f>IFERROR(VLOOKUP(C254,TD!$B$32:$F$36,4,0)," ")</f>
        <v>20240207</v>
      </c>
      <c r="S254" s="173" t="s">
        <v>179</v>
      </c>
      <c r="T254" s="178" t="str">
        <f>IFERROR(VLOOKUP(S254,TD!$J$33:$K$43,2,0)," ")</f>
        <v>Infraestructura Tecnológica   (Sistemas de Información y Tecnologia)</v>
      </c>
      <c r="U254" s="127" t="str">
        <f>CONCATENATE(S254,"-",T254)</f>
        <v>11-Infraestructura Tecnológica   (Sistemas de Información y Tecnologia)</v>
      </c>
      <c r="V254" s="173" t="s">
        <v>239</v>
      </c>
      <c r="W254" s="178" t="str">
        <f>IFERROR(VLOOKUP(V254,TD!$N$33:$O$45,2,0)," ")</f>
        <v>Servicios tecnológicos</v>
      </c>
      <c r="X254" s="127" t="str">
        <f>CONCATENATE(V254,"_",W254)</f>
        <v>007_Servicios tecnológicos</v>
      </c>
      <c r="Y254" s="127" t="str">
        <f>CONCATENATE(U254," ",X254)</f>
        <v>11-Infraestructura Tecnológica   (Sistemas de Información y Tecnologia) 007_Servicios tecnológicos</v>
      </c>
      <c r="Z254" s="178" t="str">
        <f>CONCATENATE(P254,Q254,R254,S254,V254)</f>
        <v>O23011745992024020711007</v>
      </c>
      <c r="AA254" s="178" t="str">
        <f>IFERROR(VLOOKUP(Y254,TD!$K$46:$L$64,2,0)," ")</f>
        <v>PM/0131/0111/45990070207</v>
      </c>
      <c r="AB254" s="177" t="s">
        <v>125</v>
      </c>
      <c r="AC254" s="179" t="s">
        <v>204</v>
      </c>
    </row>
    <row r="255" spans="2:29" s="28" customFormat="1" ht="74.25" customHeight="1" x14ac:dyDescent="0.35">
      <c r="B255" s="170">
        <v>20250395</v>
      </c>
      <c r="C255" s="171" t="s">
        <v>208</v>
      </c>
      <c r="D255" s="172" t="s">
        <v>162</v>
      </c>
      <c r="E255" s="173" t="s">
        <v>355</v>
      </c>
      <c r="F255" s="172" t="s">
        <v>935</v>
      </c>
      <c r="G255" s="172" t="s">
        <v>154</v>
      </c>
      <c r="H255" s="174">
        <v>43233200</v>
      </c>
      <c r="I255" s="175">
        <v>3</v>
      </c>
      <c r="J255" s="175">
        <v>9</v>
      </c>
      <c r="K255" s="176">
        <v>0</v>
      </c>
      <c r="L255" s="177">
        <v>150000000</v>
      </c>
      <c r="M255" s="172" t="s">
        <v>484</v>
      </c>
      <c r="N255" s="177" t="s">
        <v>95</v>
      </c>
      <c r="O255" s="173" t="s">
        <v>217</v>
      </c>
      <c r="P255" s="178" t="str">
        <f>IFERROR(VLOOKUP(C255,TD!$B$32:$F$36,2,0)," ")</f>
        <v>O230117</v>
      </c>
      <c r="Q255" s="178" t="str">
        <f>IFERROR(VLOOKUP(C255,TD!$B$32:$F$36,3,0)," ")</f>
        <v>4599</v>
      </c>
      <c r="R255" s="178">
        <f>IFERROR(VLOOKUP(C255,TD!$B$32:$F$36,4,0)," ")</f>
        <v>20240207</v>
      </c>
      <c r="S255" s="173" t="s">
        <v>179</v>
      </c>
      <c r="T255" s="178" t="str">
        <f>IFERROR(VLOOKUP(S255,TD!$J$33:$K$43,2,0)," ")</f>
        <v>Infraestructura Tecnológica   (Sistemas de Información y Tecnologia)</v>
      </c>
      <c r="U255" s="127" t="str">
        <f>CONCATENATE(S255,"-",T255)</f>
        <v>11-Infraestructura Tecnológica   (Sistemas de Información y Tecnologia)</v>
      </c>
      <c r="V255" s="173" t="s">
        <v>239</v>
      </c>
      <c r="W255" s="178" t="str">
        <f>IFERROR(VLOOKUP(V255,TD!$N$33:$O$45,2,0)," ")</f>
        <v>Servicios tecnológicos</v>
      </c>
      <c r="X255" s="127" t="str">
        <f>CONCATENATE(V255,"_",W255)</f>
        <v>007_Servicios tecnológicos</v>
      </c>
      <c r="Y255" s="127" t="str">
        <f>CONCATENATE(U255," ",X255)</f>
        <v>11-Infraestructura Tecnológica   (Sistemas de Información y Tecnologia) 007_Servicios tecnológicos</v>
      </c>
      <c r="Z255" s="178" t="str">
        <f>CONCATENATE(P255,Q255,R255,S255,V255)</f>
        <v>O23011745992024020711007</v>
      </c>
      <c r="AA255" s="178" t="str">
        <f>IFERROR(VLOOKUP(Y255,TD!$K$46:$L$64,2,0)," ")</f>
        <v>PM/0131/0111/45990070207</v>
      </c>
      <c r="AB255" s="177" t="s">
        <v>125</v>
      </c>
      <c r="AC255" s="179" t="s">
        <v>204</v>
      </c>
    </row>
    <row r="256" spans="2:29" s="28" customFormat="1" ht="74.25" customHeight="1" x14ac:dyDescent="0.35">
      <c r="B256" s="170">
        <v>20250396</v>
      </c>
      <c r="C256" s="171" t="s">
        <v>208</v>
      </c>
      <c r="D256" s="172" t="s">
        <v>162</v>
      </c>
      <c r="E256" s="173" t="s">
        <v>355</v>
      </c>
      <c r="F256" s="172" t="s">
        <v>936</v>
      </c>
      <c r="G256" s="172" t="s">
        <v>146</v>
      </c>
      <c r="H256" s="174" t="s">
        <v>937</v>
      </c>
      <c r="I256" s="175">
        <v>3</v>
      </c>
      <c r="J256" s="175">
        <v>9</v>
      </c>
      <c r="K256" s="176">
        <v>0</v>
      </c>
      <c r="L256" s="177">
        <v>200000000</v>
      </c>
      <c r="M256" s="172" t="s">
        <v>484</v>
      </c>
      <c r="N256" s="177" t="s">
        <v>95</v>
      </c>
      <c r="O256" s="173" t="s">
        <v>215</v>
      </c>
      <c r="P256" s="178" t="str">
        <f>IFERROR(VLOOKUP(C256,TD!$B$32:$F$36,2,0)," ")</f>
        <v>O230117</v>
      </c>
      <c r="Q256" s="178" t="str">
        <f>IFERROR(VLOOKUP(C256,TD!$B$32:$F$36,3,0)," ")</f>
        <v>4599</v>
      </c>
      <c r="R256" s="178">
        <f>IFERROR(VLOOKUP(C256,TD!$B$32:$F$36,4,0)," ")</f>
        <v>20240207</v>
      </c>
      <c r="S256" s="173" t="s">
        <v>179</v>
      </c>
      <c r="T256" s="178" t="str">
        <f>IFERROR(VLOOKUP(S256,TD!$J$33:$K$43,2,0)," ")</f>
        <v>Infraestructura Tecnológica   (Sistemas de Información y Tecnologia)</v>
      </c>
      <c r="U256" s="127" t="str">
        <f>CONCATENATE(S256,"-",T256)</f>
        <v>11-Infraestructura Tecnológica   (Sistemas de Información y Tecnologia)</v>
      </c>
      <c r="V256" s="173" t="s">
        <v>239</v>
      </c>
      <c r="W256" s="178" t="str">
        <f>IFERROR(VLOOKUP(V256,TD!$N$33:$O$45,2,0)," ")</f>
        <v>Servicios tecnológicos</v>
      </c>
      <c r="X256" s="127" t="str">
        <f>CONCATENATE(V256,"_",W256)</f>
        <v>007_Servicios tecnológicos</v>
      </c>
      <c r="Y256" s="127" t="str">
        <f>CONCATENATE(U256," ",X256)</f>
        <v>11-Infraestructura Tecnológica   (Sistemas de Información y Tecnologia) 007_Servicios tecnológicos</v>
      </c>
      <c r="Z256" s="178" t="str">
        <f>CONCATENATE(P256,Q256,R256,S256,V256)</f>
        <v>O23011745992024020711007</v>
      </c>
      <c r="AA256" s="178" t="str">
        <f>IFERROR(VLOOKUP(Y256,TD!$K$46:$L$64,2,0)," ")</f>
        <v>PM/0131/0111/45990070207</v>
      </c>
      <c r="AB256" s="177" t="s">
        <v>125</v>
      </c>
      <c r="AC256" s="179" t="s">
        <v>204</v>
      </c>
    </row>
    <row r="257" spans="2:29" s="28" customFormat="1" ht="74.25" customHeight="1" x14ac:dyDescent="0.35">
      <c r="B257" s="170">
        <v>20250399</v>
      </c>
      <c r="C257" s="171" t="s">
        <v>208</v>
      </c>
      <c r="D257" s="172" t="s">
        <v>162</v>
      </c>
      <c r="E257" s="173" t="s">
        <v>355</v>
      </c>
      <c r="F257" s="172" t="s">
        <v>938</v>
      </c>
      <c r="G257" s="172" t="s">
        <v>96</v>
      </c>
      <c r="H257" s="174" t="s">
        <v>422</v>
      </c>
      <c r="I257" s="175">
        <v>3</v>
      </c>
      <c r="J257" s="175">
        <v>9</v>
      </c>
      <c r="K257" s="176">
        <v>0</v>
      </c>
      <c r="L257" s="177">
        <v>30000000</v>
      </c>
      <c r="M257" s="172" t="s">
        <v>484</v>
      </c>
      <c r="N257" s="177" t="s">
        <v>123</v>
      </c>
      <c r="O257" s="173" t="s">
        <v>215</v>
      </c>
      <c r="P257" s="178" t="str">
        <f>IFERROR(VLOOKUP(C257,TD!$B$32:$F$36,2,0)," ")</f>
        <v>O230117</v>
      </c>
      <c r="Q257" s="178" t="str">
        <f>IFERROR(VLOOKUP(C257,TD!$B$32:$F$36,3,0)," ")</f>
        <v>4599</v>
      </c>
      <c r="R257" s="178">
        <f>IFERROR(VLOOKUP(C257,TD!$B$32:$F$36,4,0)," ")</f>
        <v>20240207</v>
      </c>
      <c r="S257" s="173" t="s">
        <v>179</v>
      </c>
      <c r="T257" s="178" t="str">
        <f>IFERROR(VLOOKUP(S257,TD!$J$33:$K$43,2,0)," ")</f>
        <v>Infraestructura Tecnológica   (Sistemas de Información y Tecnologia)</v>
      </c>
      <c r="U257" s="127" t="str">
        <f>CONCATENATE(S257,"-",T257)</f>
        <v>11-Infraestructura Tecnológica   (Sistemas de Información y Tecnologia)</v>
      </c>
      <c r="V257" s="173" t="s">
        <v>239</v>
      </c>
      <c r="W257" s="178" t="str">
        <f>IFERROR(VLOOKUP(V257,TD!$N$33:$O$45,2,0)," ")</f>
        <v>Servicios tecnológicos</v>
      </c>
      <c r="X257" s="127" t="str">
        <f>CONCATENATE(V257,"_",W257)</f>
        <v>007_Servicios tecnológicos</v>
      </c>
      <c r="Y257" s="127" t="str">
        <f>CONCATENATE(U257," ",X257)</f>
        <v>11-Infraestructura Tecnológica   (Sistemas de Información y Tecnologia) 007_Servicios tecnológicos</v>
      </c>
      <c r="Z257" s="178" t="str">
        <f>CONCATENATE(P257,Q257,R257,S257,V257)</f>
        <v>O23011745992024020711007</v>
      </c>
      <c r="AA257" s="178" t="str">
        <f>IFERROR(VLOOKUP(Y257,TD!$K$46:$L$64,2,0)," ")</f>
        <v>PM/0131/0111/45990070207</v>
      </c>
      <c r="AB257" s="177" t="s">
        <v>125</v>
      </c>
      <c r="AC257" s="179" t="s">
        <v>204</v>
      </c>
    </row>
    <row r="258" spans="2:29" s="28" customFormat="1" ht="74.25" customHeight="1" x14ac:dyDescent="0.35">
      <c r="B258" s="170">
        <v>20250401</v>
      </c>
      <c r="C258" s="171" t="s">
        <v>208</v>
      </c>
      <c r="D258" s="172" t="s">
        <v>162</v>
      </c>
      <c r="E258" s="173" t="s">
        <v>355</v>
      </c>
      <c r="F258" s="172" t="s">
        <v>939</v>
      </c>
      <c r="G258" s="172" t="s">
        <v>109</v>
      </c>
      <c r="H258" s="174" t="s">
        <v>628</v>
      </c>
      <c r="I258" s="175">
        <v>3</v>
      </c>
      <c r="J258" s="175">
        <v>9</v>
      </c>
      <c r="K258" s="176">
        <v>0</v>
      </c>
      <c r="L258" s="177">
        <v>28000000</v>
      </c>
      <c r="M258" s="172" t="s">
        <v>484</v>
      </c>
      <c r="N258" s="177" t="s">
        <v>95</v>
      </c>
      <c r="O258" s="173" t="s">
        <v>215</v>
      </c>
      <c r="P258" s="178" t="str">
        <f>IFERROR(VLOOKUP(C258,TD!$B$32:$F$36,2,0)," ")</f>
        <v>O230117</v>
      </c>
      <c r="Q258" s="178" t="str">
        <f>IFERROR(VLOOKUP(C258,TD!$B$32:$F$36,3,0)," ")</f>
        <v>4599</v>
      </c>
      <c r="R258" s="178">
        <f>IFERROR(VLOOKUP(C258,TD!$B$32:$F$36,4,0)," ")</f>
        <v>20240207</v>
      </c>
      <c r="S258" s="173" t="s">
        <v>179</v>
      </c>
      <c r="T258" s="178" t="str">
        <f>IFERROR(VLOOKUP(S258,TD!$J$33:$K$43,2,0)," ")</f>
        <v>Infraestructura Tecnológica   (Sistemas de Información y Tecnologia)</v>
      </c>
      <c r="U258" s="127" t="str">
        <f>CONCATENATE(S258,"-",T258)</f>
        <v>11-Infraestructura Tecnológica   (Sistemas de Información y Tecnologia)</v>
      </c>
      <c r="V258" s="173" t="s">
        <v>239</v>
      </c>
      <c r="W258" s="178" t="str">
        <f>IFERROR(VLOOKUP(V258,TD!$N$33:$O$45,2,0)," ")</f>
        <v>Servicios tecnológicos</v>
      </c>
      <c r="X258" s="127" t="str">
        <f>CONCATENATE(V258,"_",W258)</f>
        <v>007_Servicios tecnológicos</v>
      </c>
      <c r="Y258" s="127" t="str">
        <f>CONCATENATE(U258," ",X258)</f>
        <v>11-Infraestructura Tecnológica   (Sistemas de Información y Tecnologia) 007_Servicios tecnológicos</v>
      </c>
      <c r="Z258" s="178" t="str">
        <f>CONCATENATE(P258,Q258,R258,S258,V258)</f>
        <v>O23011745992024020711007</v>
      </c>
      <c r="AA258" s="178" t="str">
        <f>IFERROR(VLOOKUP(Y258,TD!$K$46:$L$64,2,0)," ")</f>
        <v>PM/0131/0111/45990070207</v>
      </c>
      <c r="AB258" s="177" t="s">
        <v>125</v>
      </c>
      <c r="AC258" s="179" t="s">
        <v>204</v>
      </c>
    </row>
    <row r="259" spans="2:29" s="28" customFormat="1" ht="74.25" customHeight="1" x14ac:dyDescent="0.35">
      <c r="B259" s="170">
        <v>20250402</v>
      </c>
      <c r="C259" s="171" t="s">
        <v>208</v>
      </c>
      <c r="D259" s="172" t="s">
        <v>162</v>
      </c>
      <c r="E259" s="173" t="s">
        <v>355</v>
      </c>
      <c r="F259" s="172" t="s">
        <v>940</v>
      </c>
      <c r="G259" s="172" t="s">
        <v>96</v>
      </c>
      <c r="H259" s="174" t="s">
        <v>422</v>
      </c>
      <c r="I259" s="175">
        <v>3</v>
      </c>
      <c r="J259" s="175">
        <v>9</v>
      </c>
      <c r="K259" s="176">
        <v>0</v>
      </c>
      <c r="L259" s="177">
        <v>50000000</v>
      </c>
      <c r="M259" s="172" t="s">
        <v>484</v>
      </c>
      <c r="N259" s="177" t="s">
        <v>123</v>
      </c>
      <c r="O259" s="173" t="s">
        <v>215</v>
      </c>
      <c r="P259" s="178" t="str">
        <f>IFERROR(VLOOKUP(C259,TD!$B$32:$F$36,2,0)," ")</f>
        <v>O230117</v>
      </c>
      <c r="Q259" s="178" t="str">
        <f>IFERROR(VLOOKUP(C259,TD!$B$32:$F$36,3,0)," ")</f>
        <v>4599</v>
      </c>
      <c r="R259" s="178">
        <f>IFERROR(VLOOKUP(C259,TD!$B$32:$F$36,4,0)," ")</f>
        <v>20240207</v>
      </c>
      <c r="S259" s="173" t="s">
        <v>179</v>
      </c>
      <c r="T259" s="178" t="str">
        <f>IFERROR(VLOOKUP(S259,TD!$J$33:$K$43,2,0)," ")</f>
        <v>Infraestructura Tecnológica   (Sistemas de Información y Tecnologia)</v>
      </c>
      <c r="U259" s="127" t="str">
        <f>CONCATENATE(S259,"-",T259)</f>
        <v>11-Infraestructura Tecnológica   (Sistemas de Información y Tecnologia)</v>
      </c>
      <c r="V259" s="173" t="s">
        <v>239</v>
      </c>
      <c r="W259" s="178" t="str">
        <f>IFERROR(VLOOKUP(V259,TD!$N$33:$O$45,2,0)," ")</f>
        <v>Servicios tecnológicos</v>
      </c>
      <c r="X259" s="127" t="str">
        <f>CONCATENATE(V259,"_",W259)</f>
        <v>007_Servicios tecnológicos</v>
      </c>
      <c r="Y259" s="127" t="str">
        <f>CONCATENATE(U259," ",X259)</f>
        <v>11-Infraestructura Tecnológica   (Sistemas de Información y Tecnologia) 007_Servicios tecnológicos</v>
      </c>
      <c r="Z259" s="178" t="str">
        <f>CONCATENATE(P259,Q259,R259,S259,V259)</f>
        <v>O23011745992024020711007</v>
      </c>
      <c r="AA259" s="178" t="str">
        <f>IFERROR(VLOOKUP(Y259,TD!$K$46:$L$64,2,0)," ")</f>
        <v>PM/0131/0111/45990070207</v>
      </c>
      <c r="AB259" s="177" t="s">
        <v>125</v>
      </c>
      <c r="AC259" s="179" t="s">
        <v>204</v>
      </c>
    </row>
    <row r="260" spans="2:29" s="28" customFormat="1" ht="74.25" customHeight="1" x14ac:dyDescent="0.35">
      <c r="B260" s="170">
        <v>20250403</v>
      </c>
      <c r="C260" s="171" t="s">
        <v>208</v>
      </c>
      <c r="D260" s="172" t="s">
        <v>162</v>
      </c>
      <c r="E260" s="173" t="s">
        <v>355</v>
      </c>
      <c r="F260" s="172" t="s">
        <v>941</v>
      </c>
      <c r="G260" s="172" t="s">
        <v>109</v>
      </c>
      <c r="H260" s="174" t="s">
        <v>942</v>
      </c>
      <c r="I260" s="175">
        <v>3</v>
      </c>
      <c r="J260" s="175">
        <v>9</v>
      </c>
      <c r="K260" s="176">
        <v>0</v>
      </c>
      <c r="L260" s="177">
        <v>140000000</v>
      </c>
      <c r="M260" s="172" t="s">
        <v>484</v>
      </c>
      <c r="N260" s="177" t="s">
        <v>95</v>
      </c>
      <c r="O260" s="173" t="s">
        <v>215</v>
      </c>
      <c r="P260" s="178" t="str">
        <f>IFERROR(VLOOKUP(C260,TD!$B$32:$F$36,2,0)," ")</f>
        <v>O230117</v>
      </c>
      <c r="Q260" s="178" t="str">
        <f>IFERROR(VLOOKUP(C260,TD!$B$32:$F$36,3,0)," ")</f>
        <v>4599</v>
      </c>
      <c r="R260" s="178">
        <f>IFERROR(VLOOKUP(C260,TD!$B$32:$F$36,4,0)," ")</f>
        <v>20240207</v>
      </c>
      <c r="S260" s="173" t="s">
        <v>179</v>
      </c>
      <c r="T260" s="178" t="str">
        <f>IFERROR(VLOOKUP(S260,TD!$J$33:$K$43,2,0)," ")</f>
        <v>Infraestructura Tecnológica   (Sistemas de Información y Tecnologia)</v>
      </c>
      <c r="U260" s="127" t="str">
        <f>CONCATENATE(S260,"-",T260)</f>
        <v>11-Infraestructura Tecnológica   (Sistemas de Información y Tecnologia)</v>
      </c>
      <c r="V260" s="173" t="s">
        <v>239</v>
      </c>
      <c r="W260" s="178" t="str">
        <f>IFERROR(VLOOKUP(V260,TD!$N$33:$O$45,2,0)," ")</f>
        <v>Servicios tecnológicos</v>
      </c>
      <c r="X260" s="127" t="str">
        <f>CONCATENATE(V260,"_",W260)</f>
        <v>007_Servicios tecnológicos</v>
      </c>
      <c r="Y260" s="127" t="str">
        <f>CONCATENATE(U260," ",X260)</f>
        <v>11-Infraestructura Tecnológica   (Sistemas de Información y Tecnologia) 007_Servicios tecnológicos</v>
      </c>
      <c r="Z260" s="178" t="str">
        <f>CONCATENATE(P260,Q260,R260,S260,V260)</f>
        <v>O23011745992024020711007</v>
      </c>
      <c r="AA260" s="178" t="str">
        <f>IFERROR(VLOOKUP(Y260,TD!$K$46:$L$64,2,0)," ")</f>
        <v>PM/0131/0111/45990070207</v>
      </c>
      <c r="AB260" s="177" t="s">
        <v>130</v>
      </c>
      <c r="AC260" s="179" t="s">
        <v>204</v>
      </c>
    </row>
    <row r="261" spans="2:29" s="28" customFormat="1" ht="74.25" customHeight="1" x14ac:dyDescent="0.35">
      <c r="B261" s="170">
        <v>20250404</v>
      </c>
      <c r="C261" s="171" t="s">
        <v>208</v>
      </c>
      <c r="D261" s="172" t="s">
        <v>162</v>
      </c>
      <c r="E261" s="173" t="s">
        <v>355</v>
      </c>
      <c r="F261" s="172" t="s">
        <v>943</v>
      </c>
      <c r="G261" s="172" t="s">
        <v>149</v>
      </c>
      <c r="H261" s="174">
        <v>43222635</v>
      </c>
      <c r="I261" s="175">
        <v>3</v>
      </c>
      <c r="J261" s="175">
        <v>9</v>
      </c>
      <c r="K261" s="176">
        <v>0</v>
      </c>
      <c r="L261" s="177">
        <v>150000000</v>
      </c>
      <c r="M261" s="172" t="s">
        <v>484</v>
      </c>
      <c r="N261" s="177" t="s">
        <v>95</v>
      </c>
      <c r="O261" s="173" t="s">
        <v>215</v>
      </c>
      <c r="P261" s="178" t="str">
        <f>IFERROR(VLOOKUP(C261,TD!$B$32:$F$36,2,0)," ")</f>
        <v>O230117</v>
      </c>
      <c r="Q261" s="178" t="str">
        <f>IFERROR(VLOOKUP(C261,TD!$B$32:$F$36,3,0)," ")</f>
        <v>4599</v>
      </c>
      <c r="R261" s="178">
        <f>IFERROR(VLOOKUP(C261,TD!$B$32:$F$36,4,0)," ")</f>
        <v>20240207</v>
      </c>
      <c r="S261" s="173" t="s">
        <v>179</v>
      </c>
      <c r="T261" s="178" t="str">
        <f>IFERROR(VLOOKUP(S261,TD!$J$33:$K$43,2,0)," ")</f>
        <v>Infraestructura Tecnológica   (Sistemas de Información y Tecnologia)</v>
      </c>
      <c r="U261" s="127" t="str">
        <f>CONCATENATE(S261,"-",T261)</f>
        <v>11-Infraestructura Tecnológica   (Sistemas de Información y Tecnologia)</v>
      </c>
      <c r="V261" s="173" t="s">
        <v>239</v>
      </c>
      <c r="W261" s="178" t="str">
        <f>IFERROR(VLOOKUP(V261,TD!$N$33:$O$45,2,0)," ")</f>
        <v>Servicios tecnológicos</v>
      </c>
      <c r="X261" s="127" t="str">
        <f>CONCATENATE(V261,"_",W261)</f>
        <v>007_Servicios tecnológicos</v>
      </c>
      <c r="Y261" s="127" t="str">
        <f>CONCATENATE(U261," ",X261)</f>
        <v>11-Infraestructura Tecnológica   (Sistemas de Información y Tecnologia) 007_Servicios tecnológicos</v>
      </c>
      <c r="Z261" s="178" t="str">
        <f>CONCATENATE(P261,Q261,R261,S261,V261)</f>
        <v>O23011745992024020711007</v>
      </c>
      <c r="AA261" s="178" t="str">
        <f>IFERROR(VLOOKUP(Y261,TD!$K$46:$L$64,2,0)," ")</f>
        <v>PM/0131/0111/45990070207</v>
      </c>
      <c r="AB261" s="177" t="s">
        <v>125</v>
      </c>
      <c r="AC261" s="179" t="s">
        <v>204</v>
      </c>
    </row>
    <row r="262" spans="2:29" s="28" customFormat="1" ht="74.25" customHeight="1" x14ac:dyDescent="0.35">
      <c r="B262" s="170">
        <v>20250405</v>
      </c>
      <c r="C262" s="171" t="s">
        <v>208</v>
      </c>
      <c r="D262" s="172" t="s">
        <v>162</v>
      </c>
      <c r="E262" s="173" t="s">
        <v>355</v>
      </c>
      <c r="F262" s="172" t="s">
        <v>944</v>
      </c>
      <c r="G262" s="172" t="s">
        <v>96</v>
      </c>
      <c r="H262" s="174" t="s">
        <v>629</v>
      </c>
      <c r="I262" s="175">
        <v>3</v>
      </c>
      <c r="J262" s="175">
        <v>9</v>
      </c>
      <c r="K262" s="176">
        <v>0</v>
      </c>
      <c r="L262" s="177">
        <v>200000000</v>
      </c>
      <c r="M262" s="172" t="s">
        <v>484</v>
      </c>
      <c r="N262" s="177" t="s">
        <v>95</v>
      </c>
      <c r="O262" s="173" t="s">
        <v>215</v>
      </c>
      <c r="P262" s="178" t="str">
        <f>IFERROR(VLOOKUP(C262,TD!$B$32:$F$36,2,0)," ")</f>
        <v>O230117</v>
      </c>
      <c r="Q262" s="178" t="str">
        <f>IFERROR(VLOOKUP(C262,TD!$B$32:$F$36,3,0)," ")</f>
        <v>4599</v>
      </c>
      <c r="R262" s="178">
        <f>IFERROR(VLOOKUP(C262,TD!$B$32:$F$36,4,0)," ")</f>
        <v>20240207</v>
      </c>
      <c r="S262" s="173" t="s">
        <v>179</v>
      </c>
      <c r="T262" s="178" t="str">
        <f>IFERROR(VLOOKUP(S262,TD!$J$33:$K$43,2,0)," ")</f>
        <v>Infraestructura Tecnológica   (Sistemas de Información y Tecnologia)</v>
      </c>
      <c r="U262" s="127" t="str">
        <f>CONCATENATE(S262,"-",T262)</f>
        <v>11-Infraestructura Tecnológica   (Sistemas de Información y Tecnologia)</v>
      </c>
      <c r="V262" s="173" t="s">
        <v>239</v>
      </c>
      <c r="W262" s="178" t="str">
        <f>IFERROR(VLOOKUP(V262,TD!$N$33:$O$45,2,0)," ")</f>
        <v>Servicios tecnológicos</v>
      </c>
      <c r="X262" s="127" t="str">
        <f>CONCATENATE(V262,"_",W262)</f>
        <v>007_Servicios tecnológicos</v>
      </c>
      <c r="Y262" s="127" t="str">
        <f>CONCATENATE(U262," ",X262)</f>
        <v>11-Infraestructura Tecnológica   (Sistemas de Información y Tecnologia) 007_Servicios tecnológicos</v>
      </c>
      <c r="Z262" s="178" t="str">
        <f>CONCATENATE(P262,Q262,R262,S262,V262)</f>
        <v>O23011745992024020711007</v>
      </c>
      <c r="AA262" s="178" t="str">
        <f>IFERROR(VLOOKUP(Y262,TD!$K$46:$L$64,2,0)," ")</f>
        <v>PM/0131/0111/45990070207</v>
      </c>
      <c r="AB262" s="177" t="s">
        <v>125</v>
      </c>
      <c r="AC262" s="179" t="s">
        <v>204</v>
      </c>
    </row>
    <row r="263" spans="2:29" s="28" customFormat="1" ht="74.25" customHeight="1" x14ac:dyDescent="0.35">
      <c r="B263" s="170">
        <v>20250407</v>
      </c>
      <c r="C263" s="171" t="s">
        <v>208</v>
      </c>
      <c r="D263" s="172" t="s">
        <v>162</v>
      </c>
      <c r="E263" s="173" t="s">
        <v>355</v>
      </c>
      <c r="F263" s="172" t="s">
        <v>945</v>
      </c>
      <c r="G263" s="172" t="s">
        <v>109</v>
      </c>
      <c r="H263" s="174">
        <v>43232505</v>
      </c>
      <c r="I263" s="175">
        <v>3</v>
      </c>
      <c r="J263" s="175">
        <v>9</v>
      </c>
      <c r="K263" s="176">
        <v>0</v>
      </c>
      <c r="L263" s="177">
        <v>326473093</v>
      </c>
      <c r="M263" s="172" t="s">
        <v>484</v>
      </c>
      <c r="N263" s="177" t="s">
        <v>95</v>
      </c>
      <c r="O263" s="173" t="s">
        <v>215</v>
      </c>
      <c r="P263" s="178" t="str">
        <f>IFERROR(VLOOKUP(C263,TD!$B$32:$F$36,2,0)," ")</f>
        <v>O230117</v>
      </c>
      <c r="Q263" s="178" t="str">
        <f>IFERROR(VLOOKUP(C263,TD!$B$32:$F$36,3,0)," ")</f>
        <v>4599</v>
      </c>
      <c r="R263" s="178">
        <f>IFERROR(VLOOKUP(C263,TD!$B$32:$F$36,4,0)," ")</f>
        <v>20240207</v>
      </c>
      <c r="S263" s="173" t="s">
        <v>179</v>
      </c>
      <c r="T263" s="178" t="str">
        <f>IFERROR(VLOOKUP(S263,TD!$J$33:$K$43,2,0)," ")</f>
        <v>Infraestructura Tecnológica   (Sistemas de Información y Tecnologia)</v>
      </c>
      <c r="U263" s="127" t="str">
        <f>CONCATENATE(S263,"-",T263)</f>
        <v>11-Infraestructura Tecnológica   (Sistemas de Información y Tecnologia)</v>
      </c>
      <c r="V263" s="173" t="s">
        <v>239</v>
      </c>
      <c r="W263" s="178" t="str">
        <f>IFERROR(VLOOKUP(V263,TD!$N$33:$O$45,2,0)," ")</f>
        <v>Servicios tecnológicos</v>
      </c>
      <c r="X263" s="127" t="str">
        <f>CONCATENATE(V263,"_",W263)</f>
        <v>007_Servicios tecnológicos</v>
      </c>
      <c r="Y263" s="127" t="str">
        <f>CONCATENATE(U263," ",X263)</f>
        <v>11-Infraestructura Tecnológica   (Sistemas de Información y Tecnologia) 007_Servicios tecnológicos</v>
      </c>
      <c r="Z263" s="178" t="str">
        <f>CONCATENATE(P263,Q263,R263,S263,V263)</f>
        <v>O23011745992024020711007</v>
      </c>
      <c r="AA263" s="178" t="str">
        <f>IFERROR(VLOOKUP(Y263,TD!$K$46:$L$64,2,0)," ")</f>
        <v>PM/0131/0111/45990070207</v>
      </c>
      <c r="AB263" s="177" t="s">
        <v>130</v>
      </c>
      <c r="AC263" s="179" t="s">
        <v>204</v>
      </c>
    </row>
    <row r="264" spans="2:29" s="28" customFormat="1" ht="74.25" customHeight="1" x14ac:dyDescent="0.35">
      <c r="B264" s="170">
        <v>20250408</v>
      </c>
      <c r="C264" s="171" t="s">
        <v>208</v>
      </c>
      <c r="D264" s="172" t="s">
        <v>162</v>
      </c>
      <c r="E264" s="173" t="s">
        <v>355</v>
      </c>
      <c r="F264" s="172" t="s">
        <v>946</v>
      </c>
      <c r="G264" s="172" t="s">
        <v>109</v>
      </c>
      <c r="H264" s="174">
        <v>81112100</v>
      </c>
      <c r="I264" s="175">
        <v>3</v>
      </c>
      <c r="J264" s="175">
        <v>9</v>
      </c>
      <c r="K264" s="176">
        <v>0</v>
      </c>
      <c r="L264" s="177">
        <v>80000000</v>
      </c>
      <c r="M264" s="172" t="s">
        <v>484</v>
      </c>
      <c r="N264" s="177" t="s">
        <v>95</v>
      </c>
      <c r="O264" s="173" t="s">
        <v>214</v>
      </c>
      <c r="P264" s="178" t="str">
        <f>IFERROR(VLOOKUP(C264,TD!$B$32:$F$36,2,0)," ")</f>
        <v>O230117</v>
      </c>
      <c r="Q264" s="178" t="str">
        <f>IFERROR(VLOOKUP(C264,TD!$B$32:$F$36,3,0)," ")</f>
        <v>4599</v>
      </c>
      <c r="R264" s="178">
        <f>IFERROR(VLOOKUP(C264,TD!$B$32:$F$36,4,0)," ")</f>
        <v>20240207</v>
      </c>
      <c r="S264" s="173" t="s">
        <v>179</v>
      </c>
      <c r="T264" s="178" t="str">
        <f>IFERROR(VLOOKUP(S264,TD!$J$33:$K$43,2,0)," ")</f>
        <v>Infraestructura Tecnológica   (Sistemas de Información y Tecnologia)</v>
      </c>
      <c r="U264" s="127" t="str">
        <f>CONCATENATE(S264,"-",T264)</f>
        <v>11-Infraestructura Tecnológica   (Sistemas de Información y Tecnologia)</v>
      </c>
      <c r="V264" s="173" t="s">
        <v>239</v>
      </c>
      <c r="W264" s="178" t="str">
        <f>IFERROR(VLOOKUP(V264,TD!$N$33:$O$45,2,0)," ")</f>
        <v>Servicios tecnológicos</v>
      </c>
      <c r="X264" s="127" t="str">
        <f>CONCATENATE(V264,"_",W264)</f>
        <v>007_Servicios tecnológicos</v>
      </c>
      <c r="Y264" s="127" t="str">
        <f>CONCATENATE(U264," ",X264)</f>
        <v>11-Infraestructura Tecnológica   (Sistemas de Información y Tecnologia) 007_Servicios tecnológicos</v>
      </c>
      <c r="Z264" s="178" t="str">
        <f>CONCATENATE(P264,Q264,R264,S264,V264)</f>
        <v>O23011745992024020711007</v>
      </c>
      <c r="AA264" s="178" t="str">
        <f>IFERROR(VLOOKUP(Y264,TD!$K$46:$L$64,2,0)," ")</f>
        <v>PM/0131/0111/45990070207</v>
      </c>
      <c r="AB264" s="177" t="s">
        <v>125</v>
      </c>
      <c r="AC264" s="179" t="s">
        <v>204</v>
      </c>
    </row>
    <row r="265" spans="2:29" s="28" customFormat="1" ht="74.25" customHeight="1" x14ac:dyDescent="0.35">
      <c r="B265" s="170">
        <v>20250409</v>
      </c>
      <c r="C265" s="171" t="s">
        <v>208</v>
      </c>
      <c r="D265" s="172" t="s">
        <v>162</v>
      </c>
      <c r="E265" s="173" t="s">
        <v>355</v>
      </c>
      <c r="F265" s="172" t="s">
        <v>631</v>
      </c>
      <c r="G265" s="172" t="s">
        <v>109</v>
      </c>
      <c r="H265" s="174">
        <v>43233700</v>
      </c>
      <c r="I265" s="175">
        <v>3</v>
      </c>
      <c r="J265" s="175">
        <v>9</v>
      </c>
      <c r="K265" s="176">
        <v>0</v>
      </c>
      <c r="L265" s="177">
        <v>400000000</v>
      </c>
      <c r="M265" s="172" t="s">
        <v>484</v>
      </c>
      <c r="N265" s="177" t="s">
        <v>90</v>
      </c>
      <c r="O265" s="173" t="s">
        <v>215</v>
      </c>
      <c r="P265" s="178" t="str">
        <f>IFERROR(VLOOKUP(C265,TD!$B$32:$F$36,2,0)," ")</f>
        <v>O230117</v>
      </c>
      <c r="Q265" s="178" t="str">
        <f>IFERROR(VLOOKUP(C265,TD!$B$32:$F$36,3,0)," ")</f>
        <v>4599</v>
      </c>
      <c r="R265" s="178">
        <f>IFERROR(VLOOKUP(C265,TD!$B$32:$F$36,4,0)," ")</f>
        <v>20240207</v>
      </c>
      <c r="S265" s="173" t="s">
        <v>179</v>
      </c>
      <c r="T265" s="178" t="str">
        <f>IFERROR(VLOOKUP(S265,TD!$J$33:$K$43,2,0)," ")</f>
        <v>Infraestructura Tecnológica   (Sistemas de Información y Tecnologia)</v>
      </c>
      <c r="U265" s="127" t="str">
        <f>CONCATENATE(S265,"-",T265)</f>
        <v>11-Infraestructura Tecnológica   (Sistemas de Información y Tecnologia)</v>
      </c>
      <c r="V265" s="173" t="s">
        <v>239</v>
      </c>
      <c r="W265" s="178" t="str">
        <f>IFERROR(VLOOKUP(V265,TD!$N$33:$O$45,2,0)," ")</f>
        <v>Servicios tecnológicos</v>
      </c>
      <c r="X265" s="127" t="str">
        <f>CONCATENATE(V265,"_",W265)</f>
        <v>007_Servicios tecnológicos</v>
      </c>
      <c r="Y265" s="127" t="str">
        <f>CONCATENATE(U265," ",X265)</f>
        <v>11-Infraestructura Tecnológica   (Sistemas de Información y Tecnologia) 007_Servicios tecnológicos</v>
      </c>
      <c r="Z265" s="178" t="str">
        <f>CONCATENATE(P265,Q265,R265,S265,V265)</f>
        <v>O23011745992024020711007</v>
      </c>
      <c r="AA265" s="178" t="str">
        <f>IFERROR(VLOOKUP(Y265,TD!$K$46:$L$64,2,0)," ")</f>
        <v>PM/0131/0111/45990070207</v>
      </c>
      <c r="AB265" s="177" t="s">
        <v>125</v>
      </c>
      <c r="AC265" s="179" t="s">
        <v>204</v>
      </c>
    </row>
    <row r="266" spans="2:29" s="28" customFormat="1" ht="74.25" customHeight="1" x14ac:dyDescent="0.35">
      <c r="B266" s="170">
        <v>20250411</v>
      </c>
      <c r="C266" s="171" t="s">
        <v>208</v>
      </c>
      <c r="D266" s="172" t="s">
        <v>166</v>
      </c>
      <c r="E266" s="173" t="s">
        <v>632</v>
      </c>
      <c r="F266" s="172" t="s">
        <v>633</v>
      </c>
      <c r="G266" s="172" t="s">
        <v>86</v>
      </c>
      <c r="H266" s="174" t="s">
        <v>634</v>
      </c>
      <c r="I266" s="175">
        <v>2</v>
      </c>
      <c r="J266" s="175">
        <v>11</v>
      </c>
      <c r="K266" s="176">
        <v>0</v>
      </c>
      <c r="L266" s="177">
        <v>400000000</v>
      </c>
      <c r="M266" s="172" t="s">
        <v>484</v>
      </c>
      <c r="N266" s="177" t="s">
        <v>699</v>
      </c>
      <c r="O266" s="173" t="s">
        <v>218</v>
      </c>
      <c r="P266" s="178" t="str">
        <f>IFERROR(VLOOKUP(C266,TD!$B$32:$F$36,2,0)," ")</f>
        <v>O230117</v>
      </c>
      <c r="Q266" s="178" t="str">
        <f>IFERROR(VLOOKUP(C266,TD!$B$32:$F$36,3,0)," ")</f>
        <v>4599</v>
      </c>
      <c r="R266" s="178">
        <f>IFERROR(VLOOKUP(C266,TD!$B$32:$F$36,4,0)," ")</f>
        <v>20240207</v>
      </c>
      <c r="S266" s="173" t="s">
        <v>185</v>
      </c>
      <c r="T266" s="178" t="str">
        <f>IFERROR(VLOOKUP(S266,TD!$J$33:$K$43,2,0)," ")</f>
        <v>Infraestructura física, mantenimiento y dotación (Sedes construidas, mantenidas reforzadas)</v>
      </c>
      <c r="U266" s="127" t="str">
        <f>CONCATENATE(S266,"-",T266)</f>
        <v>08-Infraestructura física, mantenimiento y dotación (Sedes construidas, mantenidas reforzadas)</v>
      </c>
      <c r="V266" s="173" t="s">
        <v>238</v>
      </c>
      <c r="W266" s="178" t="str">
        <f>IFERROR(VLOOKUP(V266,TD!$N$33:$O$45,2,0)," ")</f>
        <v>Sedes mantenidas</v>
      </c>
      <c r="X266" s="127" t="str">
        <f>CONCATENATE(V266,"_",W266)</f>
        <v>016_Sedes mantenidas</v>
      </c>
      <c r="Y266" s="127" t="str">
        <f>CONCATENATE(U266," ",X266)</f>
        <v>08-Infraestructura física, mantenimiento y dotación (Sedes construidas, mantenidas reforzadas) 016_Sedes mantenidas</v>
      </c>
      <c r="Z266" s="178" t="str">
        <f>CONCATENATE(P266,Q266,R266,S266,V266)</f>
        <v>O23011745992024020708016</v>
      </c>
      <c r="AA266" s="178" t="str">
        <f>IFERROR(VLOOKUP(Y266,TD!$K$46:$L$64,2,0)," ")</f>
        <v>PM/0131/0108/45990160207</v>
      </c>
      <c r="AB266" s="177" t="s">
        <v>776</v>
      </c>
      <c r="AC266" s="179" t="s">
        <v>204</v>
      </c>
    </row>
    <row r="267" spans="2:29" s="28" customFormat="1" ht="74.25" customHeight="1" x14ac:dyDescent="0.35">
      <c r="B267" s="170">
        <v>20250412</v>
      </c>
      <c r="C267" s="171" t="s">
        <v>208</v>
      </c>
      <c r="D267" s="172" t="s">
        <v>166</v>
      </c>
      <c r="E267" s="173" t="s">
        <v>632</v>
      </c>
      <c r="F267" s="172" t="s">
        <v>635</v>
      </c>
      <c r="G267" s="172" t="s">
        <v>156</v>
      </c>
      <c r="H267" s="174" t="s">
        <v>700</v>
      </c>
      <c r="I267" s="175">
        <v>2</v>
      </c>
      <c r="J267" s="175">
        <v>11</v>
      </c>
      <c r="K267" s="176">
        <v>0</v>
      </c>
      <c r="L267" s="177">
        <f>33534424-3975472</f>
        <v>29558952</v>
      </c>
      <c r="M267" s="172" t="s">
        <v>484</v>
      </c>
      <c r="N267" s="177" t="s">
        <v>701</v>
      </c>
      <c r="O267" s="173" t="s">
        <v>219</v>
      </c>
      <c r="P267" s="178" t="str">
        <f>IFERROR(VLOOKUP(C267,TD!$B$32:$F$36,2,0)," ")</f>
        <v>O230117</v>
      </c>
      <c r="Q267" s="178" t="str">
        <f>IFERROR(VLOOKUP(C267,TD!$B$32:$F$36,3,0)," ")</f>
        <v>4599</v>
      </c>
      <c r="R267" s="178">
        <f>IFERROR(VLOOKUP(C267,TD!$B$32:$F$36,4,0)," ")</f>
        <v>20240207</v>
      </c>
      <c r="S267" s="173" t="s">
        <v>185</v>
      </c>
      <c r="T267" s="178" t="str">
        <f>IFERROR(VLOOKUP(S267,TD!$J$33:$K$43,2,0)," ")</f>
        <v>Infraestructura física, mantenimiento y dotación (Sedes construidas, mantenidas reforzadas)</v>
      </c>
      <c r="U267" s="127" t="str">
        <f>CONCATENATE(S267,"-",T267)</f>
        <v>08-Infraestructura física, mantenimiento y dotación (Sedes construidas, mantenidas reforzadas)</v>
      </c>
      <c r="V267" s="173" t="s">
        <v>238</v>
      </c>
      <c r="W267" s="178" t="str">
        <f>IFERROR(VLOOKUP(V267,TD!$N$33:$O$45,2,0)," ")</f>
        <v>Sedes mantenidas</v>
      </c>
      <c r="X267" s="127" t="str">
        <f>CONCATENATE(V267,"_",W267)</f>
        <v>016_Sedes mantenidas</v>
      </c>
      <c r="Y267" s="127" t="str">
        <f>CONCATENATE(U267," ",X267)</f>
        <v>08-Infraestructura física, mantenimiento y dotación (Sedes construidas, mantenidas reforzadas) 016_Sedes mantenidas</v>
      </c>
      <c r="Z267" s="178" t="str">
        <f>CONCATENATE(P267,Q267,R267,S267,V267)</f>
        <v>O23011745992024020708016</v>
      </c>
      <c r="AA267" s="178" t="str">
        <f>IFERROR(VLOOKUP(Y267,TD!$K$46:$L$64,2,0)," ")</f>
        <v>PM/0131/0108/45990160207</v>
      </c>
      <c r="AB267" s="177" t="s">
        <v>138</v>
      </c>
      <c r="AC267" s="179" t="s">
        <v>204</v>
      </c>
    </row>
    <row r="268" spans="2:29" s="28" customFormat="1" ht="74.25" customHeight="1" x14ac:dyDescent="0.35">
      <c r="B268" s="170">
        <v>20250413</v>
      </c>
      <c r="C268" s="171" t="s">
        <v>208</v>
      </c>
      <c r="D268" s="172" t="s">
        <v>166</v>
      </c>
      <c r="E268" s="173" t="s">
        <v>632</v>
      </c>
      <c r="F268" s="172" t="s">
        <v>636</v>
      </c>
      <c r="G268" s="172" t="s">
        <v>155</v>
      </c>
      <c r="H268" s="174" t="s">
        <v>700</v>
      </c>
      <c r="I268" s="175">
        <v>2</v>
      </c>
      <c r="J268" s="175">
        <v>11</v>
      </c>
      <c r="K268" s="176">
        <v>0</v>
      </c>
      <c r="L268" s="177">
        <f>99918896-33562067</f>
        <v>66356829</v>
      </c>
      <c r="M268" s="172" t="s">
        <v>484</v>
      </c>
      <c r="N268" s="177" t="s">
        <v>701</v>
      </c>
      <c r="O268" s="173" t="s">
        <v>219</v>
      </c>
      <c r="P268" s="178" t="str">
        <f>IFERROR(VLOOKUP(C268,TD!$B$32:$F$36,2,0)," ")</f>
        <v>O230117</v>
      </c>
      <c r="Q268" s="178" t="str">
        <f>IFERROR(VLOOKUP(C268,TD!$B$32:$F$36,3,0)," ")</f>
        <v>4599</v>
      </c>
      <c r="R268" s="178">
        <f>IFERROR(VLOOKUP(C268,TD!$B$32:$F$36,4,0)," ")</f>
        <v>20240207</v>
      </c>
      <c r="S268" s="173" t="s">
        <v>185</v>
      </c>
      <c r="T268" s="178" t="str">
        <f>IFERROR(VLOOKUP(S268,TD!$J$33:$K$43,2,0)," ")</f>
        <v>Infraestructura física, mantenimiento y dotación (Sedes construidas, mantenidas reforzadas)</v>
      </c>
      <c r="U268" s="127" t="str">
        <f>CONCATENATE(S268,"-",T268)</f>
        <v>08-Infraestructura física, mantenimiento y dotación (Sedes construidas, mantenidas reforzadas)</v>
      </c>
      <c r="V268" s="173" t="s">
        <v>238</v>
      </c>
      <c r="W268" s="178" t="str">
        <f>IFERROR(VLOOKUP(V268,TD!$N$33:$O$45,2,0)," ")</f>
        <v>Sedes mantenidas</v>
      </c>
      <c r="X268" s="127" t="str">
        <f>CONCATENATE(V268,"_",W268)</f>
        <v>016_Sedes mantenidas</v>
      </c>
      <c r="Y268" s="127" t="str">
        <f>CONCATENATE(U268," ",X268)</f>
        <v>08-Infraestructura física, mantenimiento y dotación (Sedes construidas, mantenidas reforzadas) 016_Sedes mantenidas</v>
      </c>
      <c r="Z268" s="178" t="str">
        <f>CONCATENATE(P268,Q268,R268,S268,V268)</f>
        <v>O23011745992024020708016</v>
      </c>
      <c r="AA268" s="178" t="str">
        <f>IFERROR(VLOOKUP(Y268,TD!$K$46:$L$64,2,0)," ")</f>
        <v>PM/0131/0108/45990160207</v>
      </c>
      <c r="AB268" s="177" t="s">
        <v>138</v>
      </c>
      <c r="AC268" s="179" t="s">
        <v>204</v>
      </c>
    </row>
    <row r="269" spans="2:29" s="28" customFormat="1" ht="74.25" customHeight="1" x14ac:dyDescent="0.35">
      <c r="B269" s="170">
        <v>20250414</v>
      </c>
      <c r="C269" s="171" t="s">
        <v>208</v>
      </c>
      <c r="D269" s="172" t="s">
        <v>166</v>
      </c>
      <c r="E269" s="173" t="s">
        <v>632</v>
      </c>
      <c r="F269" s="172" t="s">
        <v>635</v>
      </c>
      <c r="G269" s="172" t="s">
        <v>156</v>
      </c>
      <c r="H269" s="174" t="s">
        <v>700</v>
      </c>
      <c r="I269" s="175">
        <v>2</v>
      </c>
      <c r="J269" s="175">
        <v>11</v>
      </c>
      <c r="K269" s="176">
        <v>0</v>
      </c>
      <c r="L269" s="177">
        <f>33534424-691144</f>
        <v>32843280</v>
      </c>
      <c r="M269" s="172" t="s">
        <v>484</v>
      </c>
      <c r="N269" s="177" t="s">
        <v>701</v>
      </c>
      <c r="O269" s="173" t="s">
        <v>219</v>
      </c>
      <c r="P269" s="178" t="str">
        <f>IFERROR(VLOOKUP(C269,TD!$B$32:$F$36,2,0)," ")</f>
        <v>O230117</v>
      </c>
      <c r="Q269" s="178" t="str">
        <f>IFERROR(VLOOKUP(C269,TD!$B$32:$F$36,3,0)," ")</f>
        <v>4599</v>
      </c>
      <c r="R269" s="178">
        <f>IFERROR(VLOOKUP(C269,TD!$B$32:$F$36,4,0)," ")</f>
        <v>20240207</v>
      </c>
      <c r="S269" s="173" t="s">
        <v>185</v>
      </c>
      <c r="T269" s="178" t="str">
        <f>IFERROR(VLOOKUP(S269,TD!$J$33:$K$43,2,0)," ")</f>
        <v>Infraestructura física, mantenimiento y dotación (Sedes construidas, mantenidas reforzadas)</v>
      </c>
      <c r="U269" s="127" t="str">
        <f>CONCATENATE(S269,"-",T269)</f>
        <v>08-Infraestructura física, mantenimiento y dotación (Sedes construidas, mantenidas reforzadas)</v>
      </c>
      <c r="V269" s="173" t="s">
        <v>238</v>
      </c>
      <c r="W269" s="178" t="str">
        <f>IFERROR(VLOOKUP(V269,TD!$N$33:$O$45,2,0)," ")</f>
        <v>Sedes mantenidas</v>
      </c>
      <c r="X269" s="127" t="str">
        <f>CONCATENATE(V269,"_",W269)</f>
        <v>016_Sedes mantenidas</v>
      </c>
      <c r="Y269" s="127" t="str">
        <f>CONCATENATE(U269," ",X269)</f>
        <v>08-Infraestructura física, mantenimiento y dotación (Sedes construidas, mantenidas reforzadas) 016_Sedes mantenidas</v>
      </c>
      <c r="Z269" s="178" t="str">
        <f>CONCATENATE(P269,Q269,R269,S269,V269)</f>
        <v>O23011745992024020708016</v>
      </c>
      <c r="AA269" s="178" t="str">
        <f>IFERROR(VLOOKUP(Y269,TD!$K$46:$L$64,2,0)," ")</f>
        <v>PM/0131/0108/45990160207</v>
      </c>
      <c r="AB269" s="177" t="s">
        <v>138</v>
      </c>
      <c r="AC269" s="179" t="s">
        <v>204</v>
      </c>
    </row>
    <row r="270" spans="2:29" s="28" customFormat="1" ht="135" customHeight="1" x14ac:dyDescent="0.35">
      <c r="B270" s="170">
        <v>20250415</v>
      </c>
      <c r="C270" s="171" t="s">
        <v>208</v>
      </c>
      <c r="D270" s="172" t="s">
        <v>166</v>
      </c>
      <c r="E270" s="173" t="s">
        <v>632</v>
      </c>
      <c r="F270" s="172" t="s">
        <v>635</v>
      </c>
      <c r="G270" s="172" t="s">
        <v>156</v>
      </c>
      <c r="H270" s="174" t="s">
        <v>700</v>
      </c>
      <c r="I270" s="175">
        <v>2</v>
      </c>
      <c r="J270" s="175">
        <v>11</v>
      </c>
      <c r="K270" s="176">
        <v>0</v>
      </c>
      <c r="L270" s="177">
        <f>33534424-691144</f>
        <v>32843280</v>
      </c>
      <c r="M270" s="172" t="s">
        <v>484</v>
      </c>
      <c r="N270" s="177" t="s">
        <v>701</v>
      </c>
      <c r="O270" s="173" t="s">
        <v>219</v>
      </c>
      <c r="P270" s="178" t="str">
        <f>IFERROR(VLOOKUP(C270,TD!$B$32:$F$36,2,0)," ")</f>
        <v>O230117</v>
      </c>
      <c r="Q270" s="178" t="str">
        <f>IFERROR(VLOOKUP(C270,TD!$B$32:$F$36,3,0)," ")</f>
        <v>4599</v>
      </c>
      <c r="R270" s="178">
        <f>IFERROR(VLOOKUP(C270,TD!$B$32:$F$36,4,0)," ")</f>
        <v>20240207</v>
      </c>
      <c r="S270" s="173" t="s">
        <v>185</v>
      </c>
      <c r="T270" s="178" t="str">
        <f>IFERROR(VLOOKUP(S270,TD!$J$33:$K$43,2,0)," ")</f>
        <v>Infraestructura física, mantenimiento y dotación (Sedes construidas, mantenidas reforzadas)</v>
      </c>
      <c r="U270" s="127" t="str">
        <f>CONCATENATE(S270,"-",T270)</f>
        <v>08-Infraestructura física, mantenimiento y dotación (Sedes construidas, mantenidas reforzadas)</v>
      </c>
      <c r="V270" s="173" t="s">
        <v>238</v>
      </c>
      <c r="W270" s="178" t="str">
        <f>IFERROR(VLOOKUP(V270,TD!$N$33:$O$45,2,0)," ")</f>
        <v>Sedes mantenidas</v>
      </c>
      <c r="X270" s="127" t="str">
        <f>CONCATENATE(V270,"_",W270)</f>
        <v>016_Sedes mantenidas</v>
      </c>
      <c r="Y270" s="127" t="str">
        <f>CONCATENATE(U270," ",X270)</f>
        <v>08-Infraestructura física, mantenimiento y dotación (Sedes construidas, mantenidas reforzadas) 016_Sedes mantenidas</v>
      </c>
      <c r="Z270" s="178" t="str">
        <f>CONCATENATE(P270,Q270,R270,S270,V270)</f>
        <v>O23011745992024020708016</v>
      </c>
      <c r="AA270" s="178" t="str">
        <f>IFERROR(VLOOKUP(Y270,TD!$K$46:$L$64,2,0)," ")</f>
        <v>PM/0131/0108/45990160207</v>
      </c>
      <c r="AB270" s="177" t="s">
        <v>138</v>
      </c>
      <c r="AC270" s="179" t="s">
        <v>204</v>
      </c>
    </row>
    <row r="271" spans="2:29" s="28" customFormat="1" ht="74.25" customHeight="1" x14ac:dyDescent="0.35">
      <c r="B271" s="170">
        <v>20250416</v>
      </c>
      <c r="C271" s="171" t="s">
        <v>208</v>
      </c>
      <c r="D271" s="172" t="s">
        <v>166</v>
      </c>
      <c r="E271" s="173" t="s">
        <v>632</v>
      </c>
      <c r="F271" s="172" t="s">
        <v>635</v>
      </c>
      <c r="G271" s="172" t="s">
        <v>156</v>
      </c>
      <c r="H271" s="174" t="s">
        <v>700</v>
      </c>
      <c r="I271" s="175">
        <v>2</v>
      </c>
      <c r="J271" s="175">
        <v>11</v>
      </c>
      <c r="K271" s="176">
        <v>0</v>
      </c>
      <c r="L271" s="177">
        <f>33534424-691144</f>
        <v>32843280</v>
      </c>
      <c r="M271" s="172" t="s">
        <v>484</v>
      </c>
      <c r="N271" s="177" t="s">
        <v>701</v>
      </c>
      <c r="O271" s="173" t="s">
        <v>219</v>
      </c>
      <c r="P271" s="178" t="str">
        <f>IFERROR(VLOOKUP(C271,TD!$B$32:$F$36,2,0)," ")</f>
        <v>O230117</v>
      </c>
      <c r="Q271" s="178" t="str">
        <f>IFERROR(VLOOKUP(C271,TD!$B$32:$F$36,3,0)," ")</f>
        <v>4599</v>
      </c>
      <c r="R271" s="178">
        <f>IFERROR(VLOOKUP(C271,TD!$B$32:$F$36,4,0)," ")</f>
        <v>20240207</v>
      </c>
      <c r="S271" s="173" t="s">
        <v>185</v>
      </c>
      <c r="T271" s="178" t="str">
        <f>IFERROR(VLOOKUP(S271,TD!$J$33:$K$43,2,0)," ")</f>
        <v>Infraestructura física, mantenimiento y dotación (Sedes construidas, mantenidas reforzadas)</v>
      </c>
      <c r="U271" s="127" t="str">
        <f>CONCATENATE(S271,"-",T271)</f>
        <v>08-Infraestructura física, mantenimiento y dotación (Sedes construidas, mantenidas reforzadas)</v>
      </c>
      <c r="V271" s="173" t="s">
        <v>238</v>
      </c>
      <c r="W271" s="178" t="str">
        <f>IFERROR(VLOOKUP(V271,TD!$N$33:$O$45,2,0)," ")</f>
        <v>Sedes mantenidas</v>
      </c>
      <c r="X271" s="127" t="str">
        <f>CONCATENATE(V271,"_",W271)</f>
        <v>016_Sedes mantenidas</v>
      </c>
      <c r="Y271" s="127" t="str">
        <f>CONCATENATE(U271," ",X271)</f>
        <v>08-Infraestructura física, mantenimiento y dotación (Sedes construidas, mantenidas reforzadas) 016_Sedes mantenidas</v>
      </c>
      <c r="Z271" s="178" t="str">
        <f>CONCATENATE(P271,Q271,R271,S271,V271)</f>
        <v>O23011745992024020708016</v>
      </c>
      <c r="AA271" s="178" t="str">
        <f>IFERROR(VLOOKUP(Y271,TD!$K$46:$L$64,2,0)," ")</f>
        <v>PM/0131/0108/45990160207</v>
      </c>
      <c r="AB271" s="177" t="s">
        <v>138</v>
      </c>
      <c r="AC271" s="179" t="s">
        <v>204</v>
      </c>
    </row>
    <row r="272" spans="2:29" s="28" customFormat="1" ht="74.25" customHeight="1" x14ac:dyDescent="0.35">
      <c r="B272" s="170">
        <v>20250417</v>
      </c>
      <c r="C272" s="171" t="s">
        <v>208</v>
      </c>
      <c r="D272" s="172" t="s">
        <v>166</v>
      </c>
      <c r="E272" s="173" t="s">
        <v>632</v>
      </c>
      <c r="F272" s="172" t="s">
        <v>635</v>
      </c>
      <c r="G272" s="172" t="s">
        <v>156</v>
      </c>
      <c r="H272" s="174" t="s">
        <v>700</v>
      </c>
      <c r="I272" s="175">
        <v>2</v>
      </c>
      <c r="J272" s="175">
        <v>11</v>
      </c>
      <c r="K272" s="176">
        <v>0</v>
      </c>
      <c r="L272" s="177">
        <f>33534424-691144</f>
        <v>32843280</v>
      </c>
      <c r="M272" s="172" t="s">
        <v>484</v>
      </c>
      <c r="N272" s="177" t="s">
        <v>701</v>
      </c>
      <c r="O272" s="173" t="s">
        <v>219</v>
      </c>
      <c r="P272" s="178" t="str">
        <f>IFERROR(VLOOKUP(C272,TD!$B$32:$F$36,2,0)," ")</f>
        <v>O230117</v>
      </c>
      <c r="Q272" s="178" t="str">
        <f>IFERROR(VLOOKUP(C272,TD!$B$32:$F$36,3,0)," ")</f>
        <v>4599</v>
      </c>
      <c r="R272" s="178">
        <f>IFERROR(VLOOKUP(C272,TD!$B$32:$F$36,4,0)," ")</f>
        <v>20240207</v>
      </c>
      <c r="S272" s="173" t="s">
        <v>185</v>
      </c>
      <c r="T272" s="178" t="str">
        <f>IFERROR(VLOOKUP(S272,TD!$J$33:$K$43,2,0)," ")</f>
        <v>Infraestructura física, mantenimiento y dotación (Sedes construidas, mantenidas reforzadas)</v>
      </c>
      <c r="U272" s="127" t="str">
        <f>CONCATENATE(S272,"-",T272)</f>
        <v>08-Infraestructura física, mantenimiento y dotación (Sedes construidas, mantenidas reforzadas)</v>
      </c>
      <c r="V272" s="173" t="s">
        <v>238</v>
      </c>
      <c r="W272" s="178" t="str">
        <f>IFERROR(VLOOKUP(V272,TD!$N$33:$O$45,2,0)," ")</f>
        <v>Sedes mantenidas</v>
      </c>
      <c r="X272" s="127" t="str">
        <f>CONCATENATE(V272,"_",W272)</f>
        <v>016_Sedes mantenidas</v>
      </c>
      <c r="Y272" s="127" t="str">
        <f>CONCATENATE(U272," ",X272)</f>
        <v>08-Infraestructura física, mantenimiento y dotación (Sedes construidas, mantenidas reforzadas) 016_Sedes mantenidas</v>
      </c>
      <c r="Z272" s="178" t="str">
        <f>CONCATENATE(P272,Q272,R272,S272,V272)</f>
        <v>O23011745992024020708016</v>
      </c>
      <c r="AA272" s="178" t="str">
        <f>IFERROR(VLOOKUP(Y272,TD!$K$46:$L$64,2,0)," ")</f>
        <v>PM/0131/0108/45990160207</v>
      </c>
      <c r="AB272" s="177" t="s">
        <v>138</v>
      </c>
      <c r="AC272" s="179" t="s">
        <v>204</v>
      </c>
    </row>
    <row r="273" spans="2:29" s="28" customFormat="1" ht="74.25" customHeight="1" x14ac:dyDescent="0.35">
      <c r="B273" s="170">
        <v>20250418</v>
      </c>
      <c r="C273" s="171" t="s">
        <v>208</v>
      </c>
      <c r="D273" s="172" t="s">
        <v>166</v>
      </c>
      <c r="E273" s="173" t="s">
        <v>632</v>
      </c>
      <c r="F273" s="172" t="s">
        <v>635</v>
      </c>
      <c r="G273" s="172" t="s">
        <v>156</v>
      </c>
      <c r="H273" s="174" t="s">
        <v>700</v>
      </c>
      <c r="I273" s="175">
        <v>2</v>
      </c>
      <c r="J273" s="175">
        <v>11</v>
      </c>
      <c r="K273" s="176">
        <v>0</v>
      </c>
      <c r="L273" s="177">
        <f>33534424-691144</f>
        <v>32843280</v>
      </c>
      <c r="M273" s="172" t="s">
        <v>484</v>
      </c>
      <c r="N273" s="177" t="s">
        <v>701</v>
      </c>
      <c r="O273" s="173" t="s">
        <v>219</v>
      </c>
      <c r="P273" s="178" t="str">
        <f>IFERROR(VLOOKUP(C273,TD!$B$32:$F$36,2,0)," ")</f>
        <v>O230117</v>
      </c>
      <c r="Q273" s="178" t="str">
        <f>IFERROR(VLOOKUP(C273,TD!$B$32:$F$36,3,0)," ")</f>
        <v>4599</v>
      </c>
      <c r="R273" s="178">
        <f>IFERROR(VLOOKUP(C273,TD!$B$32:$F$36,4,0)," ")</f>
        <v>20240207</v>
      </c>
      <c r="S273" s="173" t="s">
        <v>185</v>
      </c>
      <c r="T273" s="178" t="str">
        <f>IFERROR(VLOOKUP(S273,TD!$J$33:$K$43,2,0)," ")</f>
        <v>Infraestructura física, mantenimiento y dotación (Sedes construidas, mantenidas reforzadas)</v>
      </c>
      <c r="U273" s="127" t="str">
        <f>CONCATENATE(S273,"-",T273)</f>
        <v>08-Infraestructura física, mantenimiento y dotación (Sedes construidas, mantenidas reforzadas)</v>
      </c>
      <c r="V273" s="173" t="s">
        <v>238</v>
      </c>
      <c r="W273" s="178" t="str">
        <f>IFERROR(VLOOKUP(V273,TD!$N$33:$O$45,2,0)," ")</f>
        <v>Sedes mantenidas</v>
      </c>
      <c r="X273" s="127" t="str">
        <f>CONCATENATE(V273,"_",W273)</f>
        <v>016_Sedes mantenidas</v>
      </c>
      <c r="Y273" s="127" t="str">
        <f>CONCATENATE(U273," ",X273)</f>
        <v>08-Infraestructura física, mantenimiento y dotación (Sedes construidas, mantenidas reforzadas) 016_Sedes mantenidas</v>
      </c>
      <c r="Z273" s="178" t="str">
        <f>CONCATENATE(P273,Q273,R273,S273,V273)</f>
        <v>O23011745992024020708016</v>
      </c>
      <c r="AA273" s="178" t="str">
        <f>IFERROR(VLOOKUP(Y273,TD!$K$46:$L$64,2,0)," ")</f>
        <v>PM/0131/0108/45990160207</v>
      </c>
      <c r="AB273" s="177" t="s">
        <v>138</v>
      </c>
      <c r="AC273" s="179" t="s">
        <v>204</v>
      </c>
    </row>
    <row r="274" spans="2:29" s="28" customFormat="1" ht="74.25" customHeight="1" x14ac:dyDescent="0.35">
      <c r="B274" s="170">
        <v>20250419</v>
      </c>
      <c r="C274" s="171" t="s">
        <v>208</v>
      </c>
      <c r="D274" s="172" t="s">
        <v>166</v>
      </c>
      <c r="E274" s="173" t="s">
        <v>632</v>
      </c>
      <c r="F274" s="172" t="s">
        <v>635</v>
      </c>
      <c r="G274" s="172" t="s">
        <v>156</v>
      </c>
      <c r="H274" s="174" t="s">
        <v>700</v>
      </c>
      <c r="I274" s="175">
        <v>2</v>
      </c>
      <c r="J274" s="175">
        <v>11</v>
      </c>
      <c r="K274" s="176">
        <v>0</v>
      </c>
      <c r="L274" s="177">
        <f>33534424-691144</f>
        <v>32843280</v>
      </c>
      <c r="M274" s="172" t="s">
        <v>484</v>
      </c>
      <c r="N274" s="177" t="s">
        <v>701</v>
      </c>
      <c r="O274" s="173" t="s">
        <v>219</v>
      </c>
      <c r="P274" s="178" t="str">
        <f>IFERROR(VLOOKUP(C274,TD!$B$32:$F$36,2,0)," ")</f>
        <v>O230117</v>
      </c>
      <c r="Q274" s="178" t="str">
        <f>IFERROR(VLOOKUP(C274,TD!$B$32:$F$36,3,0)," ")</f>
        <v>4599</v>
      </c>
      <c r="R274" s="178">
        <f>IFERROR(VLOOKUP(C274,TD!$B$32:$F$36,4,0)," ")</f>
        <v>20240207</v>
      </c>
      <c r="S274" s="173" t="s">
        <v>185</v>
      </c>
      <c r="T274" s="178" t="str">
        <f>IFERROR(VLOOKUP(S274,TD!$J$33:$K$43,2,0)," ")</f>
        <v>Infraestructura física, mantenimiento y dotación (Sedes construidas, mantenidas reforzadas)</v>
      </c>
      <c r="U274" s="127" t="str">
        <f>CONCATENATE(S274,"-",T274)</f>
        <v>08-Infraestructura física, mantenimiento y dotación (Sedes construidas, mantenidas reforzadas)</v>
      </c>
      <c r="V274" s="173" t="s">
        <v>238</v>
      </c>
      <c r="W274" s="178" t="str">
        <f>IFERROR(VLOOKUP(V274,TD!$N$33:$O$45,2,0)," ")</f>
        <v>Sedes mantenidas</v>
      </c>
      <c r="X274" s="127" t="str">
        <f>CONCATENATE(V274,"_",W274)</f>
        <v>016_Sedes mantenidas</v>
      </c>
      <c r="Y274" s="127" t="str">
        <f>CONCATENATE(U274," ",X274)</f>
        <v>08-Infraestructura física, mantenimiento y dotación (Sedes construidas, mantenidas reforzadas) 016_Sedes mantenidas</v>
      </c>
      <c r="Z274" s="178" t="str">
        <f>CONCATENATE(P274,Q274,R274,S274,V274)</f>
        <v>O23011745992024020708016</v>
      </c>
      <c r="AA274" s="178" t="str">
        <f>IFERROR(VLOOKUP(Y274,TD!$K$46:$L$64,2,0)," ")</f>
        <v>PM/0131/0108/45990160207</v>
      </c>
      <c r="AB274" s="177" t="s">
        <v>138</v>
      </c>
      <c r="AC274" s="179" t="s">
        <v>204</v>
      </c>
    </row>
    <row r="275" spans="2:29" s="28" customFormat="1" ht="74.25" customHeight="1" x14ac:dyDescent="0.35">
      <c r="B275" s="170">
        <v>20250420</v>
      </c>
      <c r="C275" s="171" t="s">
        <v>208</v>
      </c>
      <c r="D275" s="172" t="s">
        <v>166</v>
      </c>
      <c r="E275" s="173" t="s">
        <v>632</v>
      </c>
      <c r="F275" s="172" t="s">
        <v>635</v>
      </c>
      <c r="G275" s="172" t="s">
        <v>156</v>
      </c>
      <c r="H275" s="174" t="s">
        <v>700</v>
      </c>
      <c r="I275" s="175">
        <v>2</v>
      </c>
      <c r="J275" s="175">
        <v>11</v>
      </c>
      <c r="K275" s="176">
        <v>0</v>
      </c>
      <c r="L275" s="177">
        <f>33534424-691144</f>
        <v>32843280</v>
      </c>
      <c r="M275" s="172" t="s">
        <v>484</v>
      </c>
      <c r="N275" s="177" t="s">
        <v>701</v>
      </c>
      <c r="O275" s="173" t="s">
        <v>219</v>
      </c>
      <c r="P275" s="178" t="str">
        <f>IFERROR(VLOOKUP(C275,TD!$B$32:$F$36,2,0)," ")</f>
        <v>O230117</v>
      </c>
      <c r="Q275" s="178" t="str">
        <f>IFERROR(VLOOKUP(C275,TD!$B$32:$F$36,3,0)," ")</f>
        <v>4599</v>
      </c>
      <c r="R275" s="178">
        <f>IFERROR(VLOOKUP(C275,TD!$B$32:$F$36,4,0)," ")</f>
        <v>20240207</v>
      </c>
      <c r="S275" s="173" t="s">
        <v>185</v>
      </c>
      <c r="T275" s="178" t="str">
        <f>IFERROR(VLOOKUP(S275,TD!$J$33:$K$43,2,0)," ")</f>
        <v>Infraestructura física, mantenimiento y dotación (Sedes construidas, mantenidas reforzadas)</v>
      </c>
      <c r="U275" s="127" t="str">
        <f>CONCATENATE(S275,"-",T275)</f>
        <v>08-Infraestructura física, mantenimiento y dotación (Sedes construidas, mantenidas reforzadas)</v>
      </c>
      <c r="V275" s="173" t="s">
        <v>238</v>
      </c>
      <c r="W275" s="178" t="str">
        <f>IFERROR(VLOOKUP(V275,TD!$N$33:$O$45,2,0)," ")</f>
        <v>Sedes mantenidas</v>
      </c>
      <c r="X275" s="127" t="str">
        <f>CONCATENATE(V275,"_",W275)</f>
        <v>016_Sedes mantenidas</v>
      </c>
      <c r="Y275" s="127" t="str">
        <f>CONCATENATE(U275," ",X275)</f>
        <v>08-Infraestructura física, mantenimiento y dotación (Sedes construidas, mantenidas reforzadas) 016_Sedes mantenidas</v>
      </c>
      <c r="Z275" s="178" t="str">
        <f>CONCATENATE(P275,Q275,R275,S275,V275)</f>
        <v>O23011745992024020708016</v>
      </c>
      <c r="AA275" s="178" t="str">
        <f>IFERROR(VLOOKUP(Y275,TD!$K$46:$L$64,2,0)," ")</f>
        <v>PM/0131/0108/45990160207</v>
      </c>
      <c r="AB275" s="177" t="s">
        <v>138</v>
      </c>
      <c r="AC275" s="179" t="s">
        <v>204</v>
      </c>
    </row>
    <row r="276" spans="2:29" s="28" customFormat="1" ht="74.25" customHeight="1" x14ac:dyDescent="0.35">
      <c r="B276" s="170">
        <v>20250421</v>
      </c>
      <c r="C276" s="171" t="s">
        <v>208</v>
      </c>
      <c r="D276" s="172" t="s">
        <v>166</v>
      </c>
      <c r="E276" s="173" t="s">
        <v>632</v>
      </c>
      <c r="F276" s="172" t="s">
        <v>635</v>
      </c>
      <c r="G276" s="172" t="s">
        <v>156</v>
      </c>
      <c r="H276" s="174" t="s">
        <v>700</v>
      </c>
      <c r="I276" s="175">
        <v>2</v>
      </c>
      <c r="J276" s="175">
        <v>11</v>
      </c>
      <c r="K276" s="176">
        <v>0</v>
      </c>
      <c r="L276" s="177">
        <f>33534424-3975472</f>
        <v>29558952</v>
      </c>
      <c r="M276" s="172" t="s">
        <v>484</v>
      </c>
      <c r="N276" s="177" t="s">
        <v>701</v>
      </c>
      <c r="O276" s="173" t="s">
        <v>219</v>
      </c>
      <c r="P276" s="178" t="str">
        <f>IFERROR(VLOOKUP(C276,TD!$B$32:$F$36,2,0)," ")</f>
        <v>O230117</v>
      </c>
      <c r="Q276" s="178" t="str">
        <f>IFERROR(VLOOKUP(C276,TD!$B$32:$F$36,3,0)," ")</f>
        <v>4599</v>
      </c>
      <c r="R276" s="178">
        <f>IFERROR(VLOOKUP(C276,TD!$B$32:$F$36,4,0)," ")</f>
        <v>20240207</v>
      </c>
      <c r="S276" s="173" t="s">
        <v>185</v>
      </c>
      <c r="T276" s="178" t="str">
        <f>IFERROR(VLOOKUP(S276,TD!$J$33:$K$43,2,0)," ")</f>
        <v>Infraestructura física, mantenimiento y dotación (Sedes construidas, mantenidas reforzadas)</v>
      </c>
      <c r="U276" s="127" t="str">
        <f>CONCATENATE(S276,"-",T276)</f>
        <v>08-Infraestructura física, mantenimiento y dotación (Sedes construidas, mantenidas reforzadas)</v>
      </c>
      <c r="V276" s="173" t="s">
        <v>238</v>
      </c>
      <c r="W276" s="178" t="str">
        <f>IFERROR(VLOOKUP(V276,TD!$N$33:$O$45,2,0)," ")</f>
        <v>Sedes mantenidas</v>
      </c>
      <c r="X276" s="127" t="str">
        <f>CONCATENATE(V276,"_",W276)</f>
        <v>016_Sedes mantenidas</v>
      </c>
      <c r="Y276" s="127" t="str">
        <f>CONCATENATE(U276," ",X276)</f>
        <v>08-Infraestructura física, mantenimiento y dotación (Sedes construidas, mantenidas reforzadas) 016_Sedes mantenidas</v>
      </c>
      <c r="Z276" s="178" t="str">
        <f>CONCATENATE(P276,Q276,R276,S276,V276)</f>
        <v>O23011745992024020708016</v>
      </c>
      <c r="AA276" s="178" t="str">
        <f>IFERROR(VLOOKUP(Y276,TD!$K$46:$L$64,2,0)," ")</f>
        <v>PM/0131/0108/45990160207</v>
      </c>
      <c r="AB276" s="177" t="s">
        <v>138</v>
      </c>
      <c r="AC276" s="179" t="s">
        <v>204</v>
      </c>
    </row>
    <row r="277" spans="2:29" s="28" customFormat="1" ht="74.25" customHeight="1" x14ac:dyDescent="0.35">
      <c r="B277" s="170">
        <v>20250422</v>
      </c>
      <c r="C277" s="171" t="s">
        <v>208</v>
      </c>
      <c r="D277" s="172" t="s">
        <v>166</v>
      </c>
      <c r="E277" s="173" t="s">
        <v>632</v>
      </c>
      <c r="F277" s="172" t="s">
        <v>635</v>
      </c>
      <c r="G277" s="172" t="s">
        <v>156</v>
      </c>
      <c r="H277" s="174" t="s">
        <v>700</v>
      </c>
      <c r="I277" s="175">
        <v>2</v>
      </c>
      <c r="J277" s="175">
        <v>11</v>
      </c>
      <c r="K277" s="176">
        <v>0</v>
      </c>
      <c r="L277" s="177">
        <f>33534424-3975472</f>
        <v>29558952</v>
      </c>
      <c r="M277" s="172" t="s">
        <v>484</v>
      </c>
      <c r="N277" s="177" t="s">
        <v>701</v>
      </c>
      <c r="O277" s="173" t="s">
        <v>219</v>
      </c>
      <c r="P277" s="178" t="str">
        <f>IFERROR(VLOOKUP(C277,TD!$B$32:$F$36,2,0)," ")</f>
        <v>O230117</v>
      </c>
      <c r="Q277" s="178" t="str">
        <f>IFERROR(VLOOKUP(C277,TD!$B$32:$F$36,3,0)," ")</f>
        <v>4599</v>
      </c>
      <c r="R277" s="178">
        <f>IFERROR(VLOOKUP(C277,TD!$B$32:$F$36,4,0)," ")</f>
        <v>20240207</v>
      </c>
      <c r="S277" s="173" t="s">
        <v>185</v>
      </c>
      <c r="T277" s="178" t="str">
        <f>IFERROR(VLOOKUP(S277,TD!$J$33:$K$43,2,0)," ")</f>
        <v>Infraestructura física, mantenimiento y dotación (Sedes construidas, mantenidas reforzadas)</v>
      </c>
      <c r="U277" s="127" t="str">
        <f>CONCATENATE(S277,"-",T277)</f>
        <v>08-Infraestructura física, mantenimiento y dotación (Sedes construidas, mantenidas reforzadas)</v>
      </c>
      <c r="V277" s="173" t="s">
        <v>238</v>
      </c>
      <c r="W277" s="178" t="str">
        <f>IFERROR(VLOOKUP(V277,TD!$N$33:$O$45,2,0)," ")</f>
        <v>Sedes mantenidas</v>
      </c>
      <c r="X277" s="127" t="str">
        <f>CONCATENATE(V277,"_",W277)</f>
        <v>016_Sedes mantenidas</v>
      </c>
      <c r="Y277" s="127" t="str">
        <f>CONCATENATE(U277," ",X277)</f>
        <v>08-Infraestructura física, mantenimiento y dotación (Sedes construidas, mantenidas reforzadas) 016_Sedes mantenidas</v>
      </c>
      <c r="Z277" s="178" t="str">
        <f>CONCATENATE(P277,Q277,R277,S277,V277)</f>
        <v>O23011745992024020708016</v>
      </c>
      <c r="AA277" s="178" t="str">
        <f>IFERROR(VLOOKUP(Y277,TD!$K$46:$L$64,2,0)," ")</f>
        <v>PM/0131/0108/45990160207</v>
      </c>
      <c r="AB277" s="177" t="s">
        <v>138</v>
      </c>
      <c r="AC277" s="179" t="s">
        <v>204</v>
      </c>
    </row>
    <row r="278" spans="2:29" s="28" customFormat="1" ht="74.25" customHeight="1" x14ac:dyDescent="0.35">
      <c r="B278" s="170">
        <v>20250423</v>
      </c>
      <c r="C278" s="171" t="s">
        <v>208</v>
      </c>
      <c r="D278" s="172" t="s">
        <v>166</v>
      </c>
      <c r="E278" s="173" t="s">
        <v>632</v>
      </c>
      <c r="F278" s="172" t="s">
        <v>635</v>
      </c>
      <c r="G278" s="172" t="s">
        <v>156</v>
      </c>
      <c r="H278" s="174" t="s">
        <v>700</v>
      </c>
      <c r="I278" s="175">
        <v>2</v>
      </c>
      <c r="J278" s="175">
        <v>11</v>
      </c>
      <c r="K278" s="176">
        <v>0</v>
      </c>
      <c r="L278" s="177">
        <f>33534424-3975472</f>
        <v>29558952</v>
      </c>
      <c r="M278" s="172" t="s">
        <v>484</v>
      </c>
      <c r="N278" s="177" t="s">
        <v>701</v>
      </c>
      <c r="O278" s="173" t="s">
        <v>219</v>
      </c>
      <c r="P278" s="178" t="str">
        <f>IFERROR(VLOOKUP(C278,TD!$B$32:$F$36,2,0)," ")</f>
        <v>O230117</v>
      </c>
      <c r="Q278" s="178" t="str">
        <f>IFERROR(VLOOKUP(C278,TD!$B$32:$F$36,3,0)," ")</f>
        <v>4599</v>
      </c>
      <c r="R278" s="178">
        <f>IFERROR(VLOOKUP(C278,TD!$B$32:$F$36,4,0)," ")</f>
        <v>20240207</v>
      </c>
      <c r="S278" s="173" t="s">
        <v>185</v>
      </c>
      <c r="T278" s="178" t="str">
        <f>IFERROR(VLOOKUP(S278,TD!$J$33:$K$43,2,0)," ")</f>
        <v>Infraestructura física, mantenimiento y dotación (Sedes construidas, mantenidas reforzadas)</v>
      </c>
      <c r="U278" s="127" t="str">
        <f>CONCATENATE(S278,"-",T278)</f>
        <v>08-Infraestructura física, mantenimiento y dotación (Sedes construidas, mantenidas reforzadas)</v>
      </c>
      <c r="V278" s="173" t="s">
        <v>238</v>
      </c>
      <c r="W278" s="178" t="str">
        <f>IFERROR(VLOOKUP(V278,TD!$N$33:$O$45,2,0)," ")</f>
        <v>Sedes mantenidas</v>
      </c>
      <c r="X278" s="127" t="str">
        <f>CONCATENATE(V278,"_",W278)</f>
        <v>016_Sedes mantenidas</v>
      </c>
      <c r="Y278" s="127" t="str">
        <f>CONCATENATE(U278," ",X278)</f>
        <v>08-Infraestructura física, mantenimiento y dotación (Sedes construidas, mantenidas reforzadas) 016_Sedes mantenidas</v>
      </c>
      <c r="Z278" s="178" t="str">
        <f>CONCATENATE(P278,Q278,R278,S278,V278)</f>
        <v>O23011745992024020708016</v>
      </c>
      <c r="AA278" s="178" t="str">
        <f>IFERROR(VLOOKUP(Y278,TD!$K$46:$L$64,2,0)," ")</f>
        <v>PM/0131/0108/45990160207</v>
      </c>
      <c r="AB278" s="177" t="s">
        <v>138</v>
      </c>
      <c r="AC278" s="179" t="s">
        <v>204</v>
      </c>
    </row>
    <row r="279" spans="2:29" s="28" customFormat="1" ht="74.25" customHeight="1" x14ac:dyDescent="0.35">
      <c r="B279" s="170">
        <v>20250424</v>
      </c>
      <c r="C279" s="171" t="s">
        <v>208</v>
      </c>
      <c r="D279" s="172" t="s">
        <v>166</v>
      </c>
      <c r="E279" s="173" t="s">
        <v>632</v>
      </c>
      <c r="F279" s="172" t="s">
        <v>637</v>
      </c>
      <c r="G279" s="172" t="s">
        <v>155</v>
      </c>
      <c r="H279" s="174" t="s">
        <v>700</v>
      </c>
      <c r="I279" s="175">
        <v>2</v>
      </c>
      <c r="J279" s="175">
        <v>11</v>
      </c>
      <c r="K279" s="176">
        <v>0</v>
      </c>
      <c r="L279" s="177">
        <f>76505000-10148171</f>
        <v>66356829</v>
      </c>
      <c r="M279" s="172" t="s">
        <v>484</v>
      </c>
      <c r="N279" s="177" t="s">
        <v>701</v>
      </c>
      <c r="O279" s="173" t="s">
        <v>219</v>
      </c>
      <c r="P279" s="178" t="str">
        <f>IFERROR(VLOOKUP(C279,TD!$B$32:$F$36,2,0)," ")</f>
        <v>O230117</v>
      </c>
      <c r="Q279" s="178" t="str">
        <f>IFERROR(VLOOKUP(C279,TD!$B$32:$F$36,3,0)," ")</f>
        <v>4599</v>
      </c>
      <c r="R279" s="178">
        <f>IFERROR(VLOOKUP(C279,TD!$B$32:$F$36,4,0)," ")</f>
        <v>20240207</v>
      </c>
      <c r="S279" s="173" t="s">
        <v>185</v>
      </c>
      <c r="T279" s="178" t="str">
        <f>IFERROR(VLOOKUP(S279,TD!$J$33:$K$43,2,0)," ")</f>
        <v>Infraestructura física, mantenimiento y dotación (Sedes construidas, mantenidas reforzadas)</v>
      </c>
      <c r="U279" s="127" t="str">
        <f>CONCATENATE(S279,"-",T279)</f>
        <v>08-Infraestructura física, mantenimiento y dotación (Sedes construidas, mantenidas reforzadas)</v>
      </c>
      <c r="V279" s="173" t="s">
        <v>238</v>
      </c>
      <c r="W279" s="178" t="str">
        <f>IFERROR(VLOOKUP(V279,TD!$N$33:$O$45,2,0)," ")</f>
        <v>Sedes mantenidas</v>
      </c>
      <c r="X279" s="127" t="str">
        <f>CONCATENATE(V279,"_",W279)</f>
        <v>016_Sedes mantenidas</v>
      </c>
      <c r="Y279" s="127" t="str">
        <f>CONCATENATE(U279," ",X279)</f>
        <v>08-Infraestructura física, mantenimiento y dotación (Sedes construidas, mantenidas reforzadas) 016_Sedes mantenidas</v>
      </c>
      <c r="Z279" s="178" t="str">
        <f>CONCATENATE(P279,Q279,R279,S279,V279)</f>
        <v>O23011745992024020708016</v>
      </c>
      <c r="AA279" s="178" t="str">
        <f>IFERROR(VLOOKUP(Y279,TD!$K$46:$L$64,2,0)," ")</f>
        <v>PM/0131/0108/45990160207</v>
      </c>
      <c r="AB279" s="177" t="s">
        <v>138</v>
      </c>
      <c r="AC279" s="179" t="s">
        <v>204</v>
      </c>
    </row>
    <row r="280" spans="2:29" s="28" customFormat="1" ht="74.25" customHeight="1" x14ac:dyDescent="0.35">
      <c r="B280" s="170">
        <v>20250425</v>
      </c>
      <c r="C280" s="171" t="s">
        <v>208</v>
      </c>
      <c r="D280" s="172" t="s">
        <v>166</v>
      </c>
      <c r="E280" s="173" t="s">
        <v>632</v>
      </c>
      <c r="F280" s="172" t="s">
        <v>638</v>
      </c>
      <c r="G280" s="172" t="s">
        <v>156</v>
      </c>
      <c r="H280" s="174" t="s">
        <v>700</v>
      </c>
      <c r="I280" s="175">
        <v>2</v>
      </c>
      <c r="J280" s="175">
        <v>11</v>
      </c>
      <c r="K280" s="176">
        <v>0</v>
      </c>
      <c r="L280" s="177">
        <f>33534424-3506279</f>
        <v>30028145</v>
      </c>
      <c r="M280" s="172" t="s">
        <v>484</v>
      </c>
      <c r="N280" s="177" t="s">
        <v>701</v>
      </c>
      <c r="O280" s="173" t="s">
        <v>219</v>
      </c>
      <c r="P280" s="178" t="str">
        <f>IFERROR(VLOOKUP(C280,TD!$B$32:$F$36,2,0)," ")</f>
        <v>O230117</v>
      </c>
      <c r="Q280" s="178" t="str">
        <f>IFERROR(VLOOKUP(C280,TD!$B$32:$F$36,3,0)," ")</f>
        <v>4599</v>
      </c>
      <c r="R280" s="178">
        <f>IFERROR(VLOOKUP(C280,TD!$B$32:$F$36,4,0)," ")</f>
        <v>20240207</v>
      </c>
      <c r="S280" s="173" t="s">
        <v>185</v>
      </c>
      <c r="T280" s="178" t="str">
        <f>IFERROR(VLOOKUP(S280,TD!$J$33:$K$43,2,0)," ")</f>
        <v>Infraestructura física, mantenimiento y dotación (Sedes construidas, mantenidas reforzadas)</v>
      </c>
      <c r="U280" s="127" t="str">
        <f>CONCATENATE(S280,"-",T280)</f>
        <v>08-Infraestructura física, mantenimiento y dotación (Sedes construidas, mantenidas reforzadas)</v>
      </c>
      <c r="V280" s="173" t="s">
        <v>238</v>
      </c>
      <c r="W280" s="178" t="str">
        <f>IFERROR(VLOOKUP(V280,TD!$N$33:$O$45,2,0)," ")</f>
        <v>Sedes mantenidas</v>
      </c>
      <c r="X280" s="127" t="str">
        <f>CONCATENATE(V280,"_",W280)</f>
        <v>016_Sedes mantenidas</v>
      </c>
      <c r="Y280" s="127" t="str">
        <f>CONCATENATE(U280," ",X280)</f>
        <v>08-Infraestructura física, mantenimiento y dotación (Sedes construidas, mantenidas reforzadas) 016_Sedes mantenidas</v>
      </c>
      <c r="Z280" s="178" t="str">
        <f>CONCATENATE(P280,Q280,R280,S280,V280)</f>
        <v>O23011745992024020708016</v>
      </c>
      <c r="AA280" s="178" t="str">
        <f>IFERROR(VLOOKUP(Y280,TD!$K$46:$L$64,2,0)," ")</f>
        <v>PM/0131/0108/45990160207</v>
      </c>
      <c r="AB280" s="177" t="s">
        <v>138</v>
      </c>
      <c r="AC280" s="179" t="s">
        <v>204</v>
      </c>
    </row>
    <row r="281" spans="2:29" s="28" customFormat="1" ht="74.25" customHeight="1" x14ac:dyDescent="0.35">
      <c r="B281" s="170">
        <v>20250426</v>
      </c>
      <c r="C281" s="171" t="s">
        <v>208</v>
      </c>
      <c r="D281" s="172" t="s">
        <v>166</v>
      </c>
      <c r="E281" s="173" t="s">
        <v>632</v>
      </c>
      <c r="F281" s="172" t="s">
        <v>639</v>
      </c>
      <c r="G281" s="172" t="s">
        <v>155</v>
      </c>
      <c r="H281" s="174" t="s">
        <v>700</v>
      </c>
      <c r="I281" s="175">
        <v>2</v>
      </c>
      <c r="J281" s="175">
        <v>11</v>
      </c>
      <c r="K281" s="176">
        <v>0</v>
      </c>
      <c r="L281" s="177">
        <f>44000000-2711304</f>
        <v>41288696</v>
      </c>
      <c r="M281" s="172" t="s">
        <v>484</v>
      </c>
      <c r="N281" s="177" t="s">
        <v>701</v>
      </c>
      <c r="O281" s="173" t="s">
        <v>219</v>
      </c>
      <c r="P281" s="178" t="str">
        <f>IFERROR(VLOOKUP(C281,TD!$B$32:$F$36,2,0)," ")</f>
        <v>O230117</v>
      </c>
      <c r="Q281" s="178" t="str">
        <f>IFERROR(VLOOKUP(C281,TD!$B$32:$F$36,3,0)," ")</f>
        <v>4599</v>
      </c>
      <c r="R281" s="178">
        <f>IFERROR(VLOOKUP(C281,TD!$B$32:$F$36,4,0)," ")</f>
        <v>20240207</v>
      </c>
      <c r="S281" s="173" t="s">
        <v>185</v>
      </c>
      <c r="T281" s="178" t="str">
        <f>IFERROR(VLOOKUP(S281,TD!$J$33:$K$43,2,0)," ")</f>
        <v>Infraestructura física, mantenimiento y dotación (Sedes construidas, mantenidas reforzadas)</v>
      </c>
      <c r="U281" s="127" t="str">
        <f>CONCATENATE(S281,"-",T281)</f>
        <v>08-Infraestructura física, mantenimiento y dotación (Sedes construidas, mantenidas reforzadas)</v>
      </c>
      <c r="V281" s="173" t="s">
        <v>238</v>
      </c>
      <c r="W281" s="178" t="str">
        <f>IFERROR(VLOOKUP(V281,TD!$N$33:$O$45,2,0)," ")</f>
        <v>Sedes mantenidas</v>
      </c>
      <c r="X281" s="127" t="str">
        <f>CONCATENATE(V281,"_",W281)</f>
        <v>016_Sedes mantenidas</v>
      </c>
      <c r="Y281" s="127" t="str">
        <f>CONCATENATE(U281," ",X281)</f>
        <v>08-Infraestructura física, mantenimiento y dotación (Sedes construidas, mantenidas reforzadas) 016_Sedes mantenidas</v>
      </c>
      <c r="Z281" s="178" t="str">
        <f>CONCATENATE(P281,Q281,R281,S281,V281)</f>
        <v>O23011745992024020708016</v>
      </c>
      <c r="AA281" s="178" t="str">
        <f>IFERROR(VLOOKUP(Y281,TD!$K$46:$L$64,2,0)," ")</f>
        <v>PM/0131/0108/45990160207</v>
      </c>
      <c r="AB281" s="177" t="s">
        <v>138</v>
      </c>
      <c r="AC281" s="179" t="s">
        <v>204</v>
      </c>
    </row>
    <row r="282" spans="2:29" s="28" customFormat="1" ht="74.25" customHeight="1" x14ac:dyDescent="0.35">
      <c r="B282" s="170">
        <v>20250427</v>
      </c>
      <c r="C282" s="171" t="s">
        <v>208</v>
      </c>
      <c r="D282" s="172" t="s">
        <v>166</v>
      </c>
      <c r="E282" s="173" t="s">
        <v>632</v>
      </c>
      <c r="F282" s="172" t="s">
        <v>640</v>
      </c>
      <c r="G282" s="172" t="s">
        <v>156</v>
      </c>
      <c r="H282" s="174" t="s">
        <v>700</v>
      </c>
      <c r="I282" s="175">
        <v>2</v>
      </c>
      <c r="J282" s="175">
        <v>11</v>
      </c>
      <c r="K282" s="176">
        <v>0</v>
      </c>
      <c r="L282" s="177">
        <f>33534424-3975472</f>
        <v>29558952</v>
      </c>
      <c r="M282" s="172" t="s">
        <v>484</v>
      </c>
      <c r="N282" s="177" t="s">
        <v>701</v>
      </c>
      <c r="O282" s="173" t="s">
        <v>219</v>
      </c>
      <c r="P282" s="178" t="str">
        <f>IFERROR(VLOOKUP(C282,TD!$B$32:$F$36,2,0)," ")</f>
        <v>O230117</v>
      </c>
      <c r="Q282" s="178" t="str">
        <f>IFERROR(VLOOKUP(C282,TD!$B$32:$F$36,3,0)," ")</f>
        <v>4599</v>
      </c>
      <c r="R282" s="178">
        <f>IFERROR(VLOOKUP(C282,TD!$B$32:$F$36,4,0)," ")</f>
        <v>20240207</v>
      </c>
      <c r="S282" s="173" t="s">
        <v>185</v>
      </c>
      <c r="T282" s="178" t="str">
        <f>IFERROR(VLOOKUP(S282,TD!$J$33:$K$43,2,0)," ")</f>
        <v>Infraestructura física, mantenimiento y dotación (Sedes construidas, mantenidas reforzadas)</v>
      </c>
      <c r="U282" s="127" t="str">
        <f>CONCATENATE(S282,"-",T282)</f>
        <v>08-Infraestructura física, mantenimiento y dotación (Sedes construidas, mantenidas reforzadas)</v>
      </c>
      <c r="V282" s="173" t="s">
        <v>238</v>
      </c>
      <c r="W282" s="178" t="str">
        <f>IFERROR(VLOOKUP(V282,TD!$N$33:$O$45,2,0)," ")</f>
        <v>Sedes mantenidas</v>
      </c>
      <c r="X282" s="127" t="str">
        <f>CONCATENATE(V282,"_",W282)</f>
        <v>016_Sedes mantenidas</v>
      </c>
      <c r="Y282" s="127" t="str">
        <f>CONCATENATE(U282," ",X282)</f>
        <v>08-Infraestructura física, mantenimiento y dotación (Sedes construidas, mantenidas reforzadas) 016_Sedes mantenidas</v>
      </c>
      <c r="Z282" s="178" t="str">
        <f>CONCATENATE(P282,Q282,R282,S282,V282)</f>
        <v>O23011745992024020708016</v>
      </c>
      <c r="AA282" s="178" t="str">
        <f>IFERROR(VLOOKUP(Y282,TD!$K$46:$L$64,2,0)," ")</f>
        <v>PM/0131/0108/45990160207</v>
      </c>
      <c r="AB282" s="177" t="s">
        <v>138</v>
      </c>
      <c r="AC282" s="179" t="s">
        <v>204</v>
      </c>
    </row>
    <row r="283" spans="2:29" s="28" customFormat="1" ht="74.25" customHeight="1" x14ac:dyDescent="0.35">
      <c r="B283" s="170">
        <v>20250428</v>
      </c>
      <c r="C283" s="171" t="s">
        <v>208</v>
      </c>
      <c r="D283" s="172" t="s">
        <v>166</v>
      </c>
      <c r="E283" s="173" t="s">
        <v>632</v>
      </c>
      <c r="F283" s="172" t="s">
        <v>702</v>
      </c>
      <c r="G283" s="172" t="s">
        <v>155</v>
      </c>
      <c r="H283" s="174" t="s">
        <v>700</v>
      </c>
      <c r="I283" s="175">
        <v>2</v>
      </c>
      <c r="J283" s="175">
        <v>11</v>
      </c>
      <c r="K283" s="176">
        <v>0</v>
      </c>
      <c r="L283" s="177">
        <f>84613760-18256931</f>
        <v>66356829</v>
      </c>
      <c r="M283" s="172" t="s">
        <v>484</v>
      </c>
      <c r="N283" s="177" t="s">
        <v>701</v>
      </c>
      <c r="O283" s="173" t="s">
        <v>219</v>
      </c>
      <c r="P283" s="178" t="str">
        <f>IFERROR(VLOOKUP(C283,TD!$B$32:$F$36,2,0)," ")</f>
        <v>O230117</v>
      </c>
      <c r="Q283" s="178" t="str">
        <f>IFERROR(VLOOKUP(C283,TD!$B$32:$F$36,3,0)," ")</f>
        <v>4599</v>
      </c>
      <c r="R283" s="178">
        <f>IFERROR(VLOOKUP(C283,TD!$B$32:$F$36,4,0)," ")</f>
        <v>20240207</v>
      </c>
      <c r="S283" s="173" t="s">
        <v>185</v>
      </c>
      <c r="T283" s="178" t="str">
        <f>IFERROR(VLOOKUP(S283,TD!$J$33:$K$43,2,0)," ")</f>
        <v>Infraestructura física, mantenimiento y dotación (Sedes construidas, mantenidas reforzadas)</v>
      </c>
      <c r="U283" s="127" t="str">
        <f>CONCATENATE(S283,"-",T283)</f>
        <v>08-Infraestructura física, mantenimiento y dotación (Sedes construidas, mantenidas reforzadas)</v>
      </c>
      <c r="V283" s="173" t="s">
        <v>238</v>
      </c>
      <c r="W283" s="178" t="str">
        <f>IFERROR(VLOOKUP(V283,TD!$N$33:$O$45,2,0)," ")</f>
        <v>Sedes mantenidas</v>
      </c>
      <c r="X283" s="127" t="str">
        <f>CONCATENATE(V283,"_",W283)</f>
        <v>016_Sedes mantenidas</v>
      </c>
      <c r="Y283" s="127" t="str">
        <f>CONCATENATE(U283," ",X283)</f>
        <v>08-Infraestructura física, mantenimiento y dotación (Sedes construidas, mantenidas reforzadas) 016_Sedes mantenidas</v>
      </c>
      <c r="Z283" s="178" t="str">
        <f>CONCATENATE(P283,Q283,R283,S283,V283)</f>
        <v>O23011745992024020708016</v>
      </c>
      <c r="AA283" s="178" t="str">
        <f>IFERROR(VLOOKUP(Y283,TD!$K$46:$L$64,2,0)," ")</f>
        <v>PM/0131/0108/45990160207</v>
      </c>
      <c r="AB283" s="177" t="s">
        <v>138</v>
      </c>
      <c r="AC283" s="179" t="s">
        <v>204</v>
      </c>
    </row>
    <row r="284" spans="2:29" s="28" customFormat="1" ht="74.25" customHeight="1" x14ac:dyDescent="0.35">
      <c r="B284" s="170">
        <v>20250429</v>
      </c>
      <c r="C284" s="171" t="s">
        <v>208</v>
      </c>
      <c r="D284" s="172" t="s">
        <v>166</v>
      </c>
      <c r="E284" s="173" t="s">
        <v>632</v>
      </c>
      <c r="F284" s="172" t="s">
        <v>843</v>
      </c>
      <c r="G284" s="172" t="s">
        <v>155</v>
      </c>
      <c r="H284" s="174" t="s">
        <v>700</v>
      </c>
      <c r="I284" s="175">
        <v>2</v>
      </c>
      <c r="J284" s="175">
        <v>11</v>
      </c>
      <c r="K284" s="176">
        <v>0</v>
      </c>
      <c r="L284" s="177">
        <f>66550000-193171</f>
        <v>66356829</v>
      </c>
      <c r="M284" s="172" t="s">
        <v>484</v>
      </c>
      <c r="N284" s="177" t="s">
        <v>701</v>
      </c>
      <c r="O284" s="173" t="s">
        <v>219</v>
      </c>
      <c r="P284" s="178" t="str">
        <f>IFERROR(VLOOKUP(C284,TD!$B$32:$F$36,2,0)," ")</f>
        <v>O230117</v>
      </c>
      <c r="Q284" s="178" t="str">
        <f>IFERROR(VLOOKUP(C284,TD!$B$32:$F$36,3,0)," ")</f>
        <v>4599</v>
      </c>
      <c r="R284" s="178">
        <f>IFERROR(VLOOKUP(C284,TD!$B$32:$F$36,4,0)," ")</f>
        <v>20240207</v>
      </c>
      <c r="S284" s="173" t="s">
        <v>185</v>
      </c>
      <c r="T284" s="178" t="str">
        <f>IFERROR(VLOOKUP(S284,TD!$J$33:$K$43,2,0)," ")</f>
        <v>Infraestructura física, mantenimiento y dotación (Sedes construidas, mantenidas reforzadas)</v>
      </c>
      <c r="U284" s="127" t="str">
        <f>CONCATENATE(S284,"-",T284)</f>
        <v>08-Infraestructura física, mantenimiento y dotación (Sedes construidas, mantenidas reforzadas)</v>
      </c>
      <c r="V284" s="173" t="s">
        <v>238</v>
      </c>
      <c r="W284" s="178" t="str">
        <f>IFERROR(VLOOKUP(V284,TD!$N$33:$O$45,2,0)," ")</f>
        <v>Sedes mantenidas</v>
      </c>
      <c r="X284" s="127" t="str">
        <f>CONCATENATE(V284,"_",W284)</f>
        <v>016_Sedes mantenidas</v>
      </c>
      <c r="Y284" s="127" t="str">
        <f>CONCATENATE(U284," ",X284)</f>
        <v>08-Infraestructura física, mantenimiento y dotación (Sedes construidas, mantenidas reforzadas) 016_Sedes mantenidas</v>
      </c>
      <c r="Z284" s="178" t="str">
        <f>CONCATENATE(P284,Q284,R284,S284,V284)</f>
        <v>O23011745992024020708016</v>
      </c>
      <c r="AA284" s="178" t="str">
        <f>IFERROR(VLOOKUP(Y284,TD!$K$46:$L$64,2,0)," ")</f>
        <v>PM/0131/0108/45990160207</v>
      </c>
      <c r="AB284" s="177" t="s">
        <v>120</v>
      </c>
      <c r="AC284" s="179" t="s">
        <v>204</v>
      </c>
    </row>
    <row r="285" spans="2:29" s="28" customFormat="1" ht="74.25" customHeight="1" x14ac:dyDescent="0.35">
      <c r="B285" s="170">
        <v>20250430</v>
      </c>
      <c r="C285" s="171" t="s">
        <v>208</v>
      </c>
      <c r="D285" s="172" t="s">
        <v>166</v>
      </c>
      <c r="E285" s="173" t="s">
        <v>632</v>
      </c>
      <c r="F285" s="172" t="s">
        <v>642</v>
      </c>
      <c r="G285" s="172" t="s">
        <v>156</v>
      </c>
      <c r="H285" s="174" t="s">
        <v>700</v>
      </c>
      <c r="I285" s="175">
        <v>2</v>
      </c>
      <c r="J285" s="175">
        <v>11</v>
      </c>
      <c r="K285" s="176">
        <v>0</v>
      </c>
      <c r="L285" s="177">
        <f>33534424-8198173</f>
        <v>25336251</v>
      </c>
      <c r="M285" s="172" t="s">
        <v>484</v>
      </c>
      <c r="N285" s="177" t="s">
        <v>701</v>
      </c>
      <c r="O285" s="173" t="s">
        <v>219</v>
      </c>
      <c r="P285" s="178" t="str">
        <f>IFERROR(VLOOKUP(C285,TD!$B$32:$F$36,2,0)," ")</f>
        <v>O230117</v>
      </c>
      <c r="Q285" s="178" t="str">
        <f>IFERROR(VLOOKUP(C285,TD!$B$32:$F$36,3,0)," ")</f>
        <v>4599</v>
      </c>
      <c r="R285" s="178">
        <f>IFERROR(VLOOKUP(C285,TD!$B$32:$F$36,4,0)," ")</f>
        <v>20240207</v>
      </c>
      <c r="S285" s="173" t="s">
        <v>185</v>
      </c>
      <c r="T285" s="178" t="str">
        <f>IFERROR(VLOOKUP(S285,TD!$J$33:$K$43,2,0)," ")</f>
        <v>Infraestructura física, mantenimiento y dotación (Sedes construidas, mantenidas reforzadas)</v>
      </c>
      <c r="U285" s="127" t="str">
        <f>CONCATENATE(S285,"-",T285)</f>
        <v>08-Infraestructura física, mantenimiento y dotación (Sedes construidas, mantenidas reforzadas)</v>
      </c>
      <c r="V285" s="173" t="s">
        <v>238</v>
      </c>
      <c r="W285" s="178" t="str">
        <f>IFERROR(VLOOKUP(V285,TD!$N$33:$O$45,2,0)," ")</f>
        <v>Sedes mantenidas</v>
      </c>
      <c r="X285" s="127" t="str">
        <f>CONCATENATE(V285,"_",W285)</f>
        <v>016_Sedes mantenidas</v>
      </c>
      <c r="Y285" s="127" t="str">
        <f>CONCATENATE(U285," ",X285)</f>
        <v>08-Infraestructura física, mantenimiento y dotación (Sedes construidas, mantenidas reforzadas) 016_Sedes mantenidas</v>
      </c>
      <c r="Z285" s="178" t="str">
        <f>CONCATENATE(P285,Q285,R285,S285,V285)</f>
        <v>O23011745992024020708016</v>
      </c>
      <c r="AA285" s="178" t="str">
        <f>IFERROR(VLOOKUP(Y285,TD!$K$46:$L$64,2,0)," ")</f>
        <v>PM/0131/0108/45990160207</v>
      </c>
      <c r="AB285" s="177" t="s">
        <v>138</v>
      </c>
      <c r="AC285" s="179" t="s">
        <v>204</v>
      </c>
    </row>
    <row r="286" spans="2:29" s="28" customFormat="1" ht="74.25" customHeight="1" x14ac:dyDescent="0.35">
      <c r="B286" s="170">
        <v>20250431</v>
      </c>
      <c r="C286" s="171" t="s">
        <v>208</v>
      </c>
      <c r="D286" s="172" t="s">
        <v>166</v>
      </c>
      <c r="E286" s="173" t="s">
        <v>632</v>
      </c>
      <c r="F286" s="172" t="s">
        <v>642</v>
      </c>
      <c r="G286" s="172" t="s">
        <v>156</v>
      </c>
      <c r="H286" s="174" t="s">
        <v>700</v>
      </c>
      <c r="I286" s="175">
        <v>2</v>
      </c>
      <c r="J286" s="175">
        <v>11</v>
      </c>
      <c r="K286" s="176">
        <v>0</v>
      </c>
      <c r="L286" s="177">
        <f>33534424-8198173</f>
        <v>25336251</v>
      </c>
      <c r="M286" s="172" t="s">
        <v>484</v>
      </c>
      <c r="N286" s="177" t="s">
        <v>701</v>
      </c>
      <c r="O286" s="173" t="s">
        <v>219</v>
      </c>
      <c r="P286" s="178" t="str">
        <f>IFERROR(VLOOKUP(C286,TD!$B$32:$F$36,2,0)," ")</f>
        <v>O230117</v>
      </c>
      <c r="Q286" s="178" t="str">
        <f>IFERROR(VLOOKUP(C286,TD!$B$32:$F$36,3,0)," ")</f>
        <v>4599</v>
      </c>
      <c r="R286" s="178">
        <f>IFERROR(VLOOKUP(C286,TD!$B$32:$F$36,4,0)," ")</f>
        <v>20240207</v>
      </c>
      <c r="S286" s="173" t="s">
        <v>185</v>
      </c>
      <c r="T286" s="178" t="str">
        <f>IFERROR(VLOOKUP(S286,TD!$J$33:$K$43,2,0)," ")</f>
        <v>Infraestructura física, mantenimiento y dotación (Sedes construidas, mantenidas reforzadas)</v>
      </c>
      <c r="U286" s="127" t="str">
        <f>CONCATENATE(S286,"-",T286)</f>
        <v>08-Infraestructura física, mantenimiento y dotación (Sedes construidas, mantenidas reforzadas)</v>
      </c>
      <c r="V286" s="173" t="s">
        <v>238</v>
      </c>
      <c r="W286" s="178" t="str">
        <f>IFERROR(VLOOKUP(V286,TD!$N$33:$O$45,2,0)," ")</f>
        <v>Sedes mantenidas</v>
      </c>
      <c r="X286" s="127" t="str">
        <f>CONCATENATE(V286,"_",W286)</f>
        <v>016_Sedes mantenidas</v>
      </c>
      <c r="Y286" s="127" t="str">
        <f>CONCATENATE(U286," ",X286)</f>
        <v>08-Infraestructura física, mantenimiento y dotación (Sedes construidas, mantenidas reforzadas) 016_Sedes mantenidas</v>
      </c>
      <c r="Z286" s="178" t="str">
        <f>CONCATENATE(P286,Q286,R286,S286,V286)</f>
        <v>O23011745992024020708016</v>
      </c>
      <c r="AA286" s="178" t="str">
        <f>IFERROR(VLOOKUP(Y286,TD!$K$46:$L$64,2,0)," ")</f>
        <v>PM/0131/0108/45990160207</v>
      </c>
      <c r="AB286" s="177" t="s">
        <v>138</v>
      </c>
      <c r="AC286" s="179" t="s">
        <v>204</v>
      </c>
    </row>
    <row r="287" spans="2:29" s="28" customFormat="1" ht="74.25" customHeight="1" x14ac:dyDescent="0.35">
      <c r="B287" s="170">
        <v>20250432</v>
      </c>
      <c r="C287" s="171" t="s">
        <v>208</v>
      </c>
      <c r="D287" s="172" t="s">
        <v>166</v>
      </c>
      <c r="E287" s="173" t="s">
        <v>632</v>
      </c>
      <c r="F287" s="172" t="s">
        <v>642</v>
      </c>
      <c r="G287" s="172" t="s">
        <v>156</v>
      </c>
      <c r="H287" s="174" t="s">
        <v>700</v>
      </c>
      <c r="I287" s="175">
        <v>2</v>
      </c>
      <c r="J287" s="175">
        <v>11</v>
      </c>
      <c r="K287" s="176">
        <v>0</v>
      </c>
      <c r="L287" s="177">
        <f>33534424-8198173</f>
        <v>25336251</v>
      </c>
      <c r="M287" s="172" t="s">
        <v>484</v>
      </c>
      <c r="N287" s="177" t="s">
        <v>701</v>
      </c>
      <c r="O287" s="173" t="s">
        <v>219</v>
      </c>
      <c r="P287" s="178" t="str">
        <f>IFERROR(VLOOKUP(C287,TD!$B$32:$F$36,2,0)," ")</f>
        <v>O230117</v>
      </c>
      <c r="Q287" s="178" t="str">
        <f>IFERROR(VLOOKUP(C287,TD!$B$32:$F$36,3,0)," ")</f>
        <v>4599</v>
      </c>
      <c r="R287" s="178">
        <f>IFERROR(VLOOKUP(C287,TD!$B$32:$F$36,4,0)," ")</f>
        <v>20240207</v>
      </c>
      <c r="S287" s="173" t="s">
        <v>185</v>
      </c>
      <c r="T287" s="178" t="str">
        <f>IFERROR(VLOOKUP(S287,TD!$J$33:$K$43,2,0)," ")</f>
        <v>Infraestructura física, mantenimiento y dotación (Sedes construidas, mantenidas reforzadas)</v>
      </c>
      <c r="U287" s="127" t="str">
        <f>CONCATENATE(S287,"-",T287)</f>
        <v>08-Infraestructura física, mantenimiento y dotación (Sedes construidas, mantenidas reforzadas)</v>
      </c>
      <c r="V287" s="173" t="s">
        <v>238</v>
      </c>
      <c r="W287" s="178" t="str">
        <f>IFERROR(VLOOKUP(V287,TD!$N$33:$O$45,2,0)," ")</f>
        <v>Sedes mantenidas</v>
      </c>
      <c r="X287" s="127" t="str">
        <f>CONCATENATE(V287,"_",W287)</f>
        <v>016_Sedes mantenidas</v>
      </c>
      <c r="Y287" s="127" t="str">
        <f>CONCATENATE(U287," ",X287)</f>
        <v>08-Infraestructura física, mantenimiento y dotación (Sedes construidas, mantenidas reforzadas) 016_Sedes mantenidas</v>
      </c>
      <c r="Z287" s="178" t="str">
        <f>CONCATENATE(P287,Q287,R287,S287,V287)</f>
        <v>O23011745992024020708016</v>
      </c>
      <c r="AA287" s="178" t="str">
        <f>IFERROR(VLOOKUP(Y287,TD!$K$46:$L$64,2,0)," ")</f>
        <v>PM/0131/0108/45990160207</v>
      </c>
      <c r="AB287" s="177" t="s">
        <v>138</v>
      </c>
      <c r="AC287" s="179" t="s">
        <v>204</v>
      </c>
    </row>
    <row r="288" spans="2:29" s="28" customFormat="1" ht="74.25" customHeight="1" x14ac:dyDescent="0.35">
      <c r="B288" s="170">
        <v>20250433</v>
      </c>
      <c r="C288" s="171" t="s">
        <v>208</v>
      </c>
      <c r="D288" s="172" t="s">
        <v>166</v>
      </c>
      <c r="E288" s="173" t="s">
        <v>632</v>
      </c>
      <c r="F288" s="172" t="s">
        <v>642</v>
      </c>
      <c r="G288" s="172" t="s">
        <v>156</v>
      </c>
      <c r="H288" s="174" t="s">
        <v>700</v>
      </c>
      <c r="I288" s="175">
        <v>2</v>
      </c>
      <c r="J288" s="175">
        <v>11</v>
      </c>
      <c r="K288" s="176">
        <v>0</v>
      </c>
      <c r="L288" s="177">
        <f>33534424-8198173</f>
        <v>25336251</v>
      </c>
      <c r="M288" s="172" t="s">
        <v>484</v>
      </c>
      <c r="N288" s="177" t="s">
        <v>701</v>
      </c>
      <c r="O288" s="173" t="s">
        <v>219</v>
      </c>
      <c r="P288" s="178" t="str">
        <f>IFERROR(VLOOKUP(C288,TD!$B$32:$F$36,2,0)," ")</f>
        <v>O230117</v>
      </c>
      <c r="Q288" s="178" t="str">
        <f>IFERROR(VLOOKUP(C288,TD!$B$32:$F$36,3,0)," ")</f>
        <v>4599</v>
      </c>
      <c r="R288" s="178">
        <f>IFERROR(VLOOKUP(C288,TD!$B$32:$F$36,4,0)," ")</f>
        <v>20240207</v>
      </c>
      <c r="S288" s="173" t="s">
        <v>185</v>
      </c>
      <c r="T288" s="178" t="str">
        <f>IFERROR(VLOOKUP(S288,TD!$J$33:$K$43,2,0)," ")</f>
        <v>Infraestructura física, mantenimiento y dotación (Sedes construidas, mantenidas reforzadas)</v>
      </c>
      <c r="U288" s="127" t="str">
        <f>CONCATENATE(S288,"-",T288)</f>
        <v>08-Infraestructura física, mantenimiento y dotación (Sedes construidas, mantenidas reforzadas)</v>
      </c>
      <c r="V288" s="173" t="s">
        <v>238</v>
      </c>
      <c r="W288" s="178" t="str">
        <f>IFERROR(VLOOKUP(V288,TD!$N$33:$O$45,2,0)," ")</f>
        <v>Sedes mantenidas</v>
      </c>
      <c r="X288" s="127" t="str">
        <f>CONCATENATE(V288,"_",W288)</f>
        <v>016_Sedes mantenidas</v>
      </c>
      <c r="Y288" s="127" t="str">
        <f>CONCATENATE(U288," ",X288)</f>
        <v>08-Infraestructura física, mantenimiento y dotación (Sedes construidas, mantenidas reforzadas) 016_Sedes mantenidas</v>
      </c>
      <c r="Z288" s="178" t="str">
        <f>CONCATENATE(P288,Q288,R288,S288,V288)</f>
        <v>O23011745992024020708016</v>
      </c>
      <c r="AA288" s="178" t="str">
        <f>IFERROR(VLOOKUP(Y288,TD!$K$46:$L$64,2,0)," ")</f>
        <v>PM/0131/0108/45990160207</v>
      </c>
      <c r="AB288" s="177" t="s">
        <v>138</v>
      </c>
      <c r="AC288" s="179" t="s">
        <v>204</v>
      </c>
    </row>
    <row r="289" spans="2:29" s="28" customFormat="1" ht="74.25" customHeight="1" x14ac:dyDescent="0.35">
      <c r="B289" s="170">
        <v>20250434</v>
      </c>
      <c r="C289" s="171" t="s">
        <v>208</v>
      </c>
      <c r="D289" s="172" t="s">
        <v>166</v>
      </c>
      <c r="E289" s="173" t="s">
        <v>632</v>
      </c>
      <c r="F289" s="172" t="s">
        <v>657</v>
      </c>
      <c r="G289" s="172" t="s">
        <v>155</v>
      </c>
      <c r="H289" s="174" t="s">
        <v>700</v>
      </c>
      <c r="I289" s="175">
        <v>2</v>
      </c>
      <c r="J289" s="175">
        <v>11</v>
      </c>
      <c r="K289" s="176">
        <v>0</v>
      </c>
      <c r="L289" s="177">
        <f>88039600-14309790</f>
        <v>73729810</v>
      </c>
      <c r="M289" s="172" t="s">
        <v>484</v>
      </c>
      <c r="N289" s="177" t="s">
        <v>701</v>
      </c>
      <c r="O289" s="173" t="s">
        <v>219</v>
      </c>
      <c r="P289" s="178" t="str">
        <f>IFERROR(VLOOKUP(C289,TD!$B$32:$F$36,2,0)," ")</f>
        <v>O230117</v>
      </c>
      <c r="Q289" s="178" t="str">
        <f>IFERROR(VLOOKUP(C289,TD!$B$32:$F$36,3,0)," ")</f>
        <v>4599</v>
      </c>
      <c r="R289" s="178">
        <f>IFERROR(VLOOKUP(C289,TD!$B$32:$F$36,4,0)," ")</f>
        <v>20240207</v>
      </c>
      <c r="S289" s="173" t="s">
        <v>185</v>
      </c>
      <c r="T289" s="178" t="str">
        <f>IFERROR(VLOOKUP(S289,TD!$J$33:$K$43,2,0)," ")</f>
        <v>Infraestructura física, mantenimiento y dotación (Sedes construidas, mantenidas reforzadas)</v>
      </c>
      <c r="U289" s="127" t="str">
        <f>CONCATENATE(S289,"-",T289)</f>
        <v>08-Infraestructura física, mantenimiento y dotación (Sedes construidas, mantenidas reforzadas)</v>
      </c>
      <c r="V289" s="173" t="s">
        <v>238</v>
      </c>
      <c r="W289" s="178" t="str">
        <f>IFERROR(VLOOKUP(V289,TD!$N$33:$O$45,2,0)," ")</f>
        <v>Sedes mantenidas</v>
      </c>
      <c r="X289" s="127" t="str">
        <f>CONCATENATE(V289,"_",W289)</f>
        <v>016_Sedes mantenidas</v>
      </c>
      <c r="Y289" s="127" t="str">
        <f>CONCATENATE(U289," ",X289)</f>
        <v>08-Infraestructura física, mantenimiento y dotación (Sedes construidas, mantenidas reforzadas) 016_Sedes mantenidas</v>
      </c>
      <c r="Z289" s="178" t="str">
        <f>CONCATENATE(P289,Q289,R289,S289,V289)</f>
        <v>O23011745992024020708016</v>
      </c>
      <c r="AA289" s="178" t="str">
        <f>IFERROR(VLOOKUP(Y289,TD!$K$46:$L$64,2,0)," ")</f>
        <v>PM/0131/0108/45990160207</v>
      </c>
      <c r="AB289" s="177" t="s">
        <v>138</v>
      </c>
      <c r="AC289" s="179" t="s">
        <v>204</v>
      </c>
    </row>
    <row r="290" spans="2:29" s="28" customFormat="1" ht="74.25" customHeight="1" x14ac:dyDescent="0.35">
      <c r="B290" s="170">
        <v>20250435</v>
      </c>
      <c r="C290" s="171" t="s">
        <v>208</v>
      </c>
      <c r="D290" s="172" t="s">
        <v>166</v>
      </c>
      <c r="E290" s="173" t="s">
        <v>632</v>
      </c>
      <c r="F290" s="172" t="s">
        <v>703</v>
      </c>
      <c r="G290" s="172" t="s">
        <v>155</v>
      </c>
      <c r="H290" s="174" t="s">
        <v>700</v>
      </c>
      <c r="I290" s="175">
        <v>2</v>
      </c>
      <c r="J290" s="175">
        <v>11</v>
      </c>
      <c r="K290" s="176">
        <v>0</v>
      </c>
      <c r="L290" s="177">
        <f>48400000-1950217</f>
        <v>46449783</v>
      </c>
      <c r="M290" s="172" t="s">
        <v>484</v>
      </c>
      <c r="N290" s="177" t="s">
        <v>701</v>
      </c>
      <c r="O290" s="173" t="s">
        <v>219</v>
      </c>
      <c r="P290" s="178" t="str">
        <f>IFERROR(VLOOKUP(C290,TD!$B$32:$F$36,2,0)," ")</f>
        <v>O230117</v>
      </c>
      <c r="Q290" s="178" t="str">
        <f>IFERROR(VLOOKUP(C290,TD!$B$32:$F$36,3,0)," ")</f>
        <v>4599</v>
      </c>
      <c r="R290" s="178">
        <f>IFERROR(VLOOKUP(C290,TD!$B$32:$F$36,4,0)," ")</f>
        <v>20240207</v>
      </c>
      <c r="S290" s="173" t="s">
        <v>185</v>
      </c>
      <c r="T290" s="178" t="str">
        <f>IFERROR(VLOOKUP(S290,TD!$J$33:$K$43,2,0)," ")</f>
        <v>Infraestructura física, mantenimiento y dotación (Sedes construidas, mantenidas reforzadas)</v>
      </c>
      <c r="U290" s="127" t="str">
        <f>CONCATENATE(S290,"-",T290)</f>
        <v>08-Infraestructura física, mantenimiento y dotación (Sedes construidas, mantenidas reforzadas)</v>
      </c>
      <c r="V290" s="173" t="s">
        <v>238</v>
      </c>
      <c r="W290" s="178" t="str">
        <f>IFERROR(VLOOKUP(V290,TD!$N$33:$O$45,2,0)," ")</f>
        <v>Sedes mantenidas</v>
      </c>
      <c r="X290" s="127" t="str">
        <f>CONCATENATE(V290,"_",W290)</f>
        <v>016_Sedes mantenidas</v>
      </c>
      <c r="Y290" s="127" t="str">
        <f>CONCATENATE(U290," ",X290)</f>
        <v>08-Infraestructura física, mantenimiento y dotación (Sedes construidas, mantenidas reforzadas) 016_Sedes mantenidas</v>
      </c>
      <c r="Z290" s="178" t="str">
        <f>CONCATENATE(P290,Q290,R290,S290,V290)</f>
        <v>O23011745992024020708016</v>
      </c>
      <c r="AA290" s="178" t="str">
        <f>IFERROR(VLOOKUP(Y290,TD!$K$46:$L$64,2,0)," ")</f>
        <v>PM/0131/0108/45990160207</v>
      </c>
      <c r="AB290" s="177" t="s">
        <v>138</v>
      </c>
      <c r="AC290" s="179" t="s">
        <v>204</v>
      </c>
    </row>
    <row r="291" spans="2:29" s="28" customFormat="1" ht="74.25" customHeight="1" x14ac:dyDescent="0.35">
      <c r="B291" s="170">
        <v>20250436</v>
      </c>
      <c r="C291" s="171" t="s">
        <v>208</v>
      </c>
      <c r="D291" s="172" t="s">
        <v>166</v>
      </c>
      <c r="E291" s="173" t="s">
        <v>632</v>
      </c>
      <c r="F291" s="172" t="s">
        <v>659</v>
      </c>
      <c r="G291" s="172" t="s">
        <v>155</v>
      </c>
      <c r="H291" s="174" t="s">
        <v>700</v>
      </c>
      <c r="I291" s="175">
        <v>2</v>
      </c>
      <c r="J291" s="175">
        <v>11</v>
      </c>
      <c r="K291" s="176">
        <v>0</v>
      </c>
      <c r="L291" s="177">
        <f>82390000-16033171</f>
        <v>66356829</v>
      </c>
      <c r="M291" s="172" t="s">
        <v>484</v>
      </c>
      <c r="N291" s="177" t="s">
        <v>701</v>
      </c>
      <c r="O291" s="173" t="s">
        <v>219</v>
      </c>
      <c r="P291" s="178" t="str">
        <f>IFERROR(VLOOKUP(C291,TD!$B$32:$F$36,2,0)," ")</f>
        <v>O230117</v>
      </c>
      <c r="Q291" s="178" t="str">
        <f>IFERROR(VLOOKUP(C291,TD!$B$32:$F$36,3,0)," ")</f>
        <v>4599</v>
      </c>
      <c r="R291" s="178">
        <f>IFERROR(VLOOKUP(C291,TD!$B$32:$F$36,4,0)," ")</f>
        <v>20240207</v>
      </c>
      <c r="S291" s="173" t="s">
        <v>185</v>
      </c>
      <c r="T291" s="178" t="str">
        <f>IFERROR(VLOOKUP(S291,TD!$J$33:$K$43,2,0)," ")</f>
        <v>Infraestructura física, mantenimiento y dotación (Sedes construidas, mantenidas reforzadas)</v>
      </c>
      <c r="U291" s="127" t="str">
        <f>CONCATENATE(S291,"-",T291)</f>
        <v>08-Infraestructura física, mantenimiento y dotación (Sedes construidas, mantenidas reforzadas)</v>
      </c>
      <c r="V291" s="173" t="s">
        <v>238</v>
      </c>
      <c r="W291" s="178" t="str">
        <f>IFERROR(VLOOKUP(V291,TD!$N$33:$O$45,2,0)," ")</f>
        <v>Sedes mantenidas</v>
      </c>
      <c r="X291" s="127" t="str">
        <f>CONCATENATE(V291,"_",W291)</f>
        <v>016_Sedes mantenidas</v>
      </c>
      <c r="Y291" s="127" t="str">
        <f>CONCATENATE(U291," ",X291)</f>
        <v>08-Infraestructura física, mantenimiento y dotación (Sedes construidas, mantenidas reforzadas) 016_Sedes mantenidas</v>
      </c>
      <c r="Z291" s="178" t="str">
        <f>CONCATENATE(P291,Q291,R291,S291,V291)</f>
        <v>O23011745992024020708016</v>
      </c>
      <c r="AA291" s="178" t="str">
        <f>IFERROR(VLOOKUP(Y291,TD!$K$46:$L$64,2,0)," ")</f>
        <v>PM/0131/0108/45990160207</v>
      </c>
      <c r="AB291" s="177" t="s">
        <v>138</v>
      </c>
      <c r="AC291" s="179" t="s">
        <v>204</v>
      </c>
    </row>
    <row r="292" spans="2:29" s="28" customFormat="1" ht="74.25" customHeight="1" x14ac:dyDescent="0.35">
      <c r="B292" s="170">
        <v>20250437</v>
      </c>
      <c r="C292" s="171" t="s">
        <v>208</v>
      </c>
      <c r="D292" s="172" t="s">
        <v>166</v>
      </c>
      <c r="E292" s="173" t="s">
        <v>632</v>
      </c>
      <c r="F292" s="172" t="s">
        <v>660</v>
      </c>
      <c r="G292" s="172" t="s">
        <v>155</v>
      </c>
      <c r="H292" s="174" t="s">
        <v>700</v>
      </c>
      <c r="I292" s="175">
        <v>2</v>
      </c>
      <c r="J292" s="175">
        <v>11</v>
      </c>
      <c r="K292" s="176">
        <v>0</v>
      </c>
      <c r="L292" s="177">
        <f>77000000-15469124</f>
        <v>61530876</v>
      </c>
      <c r="M292" s="172" t="s">
        <v>484</v>
      </c>
      <c r="N292" s="177" t="s">
        <v>701</v>
      </c>
      <c r="O292" s="173" t="s">
        <v>219</v>
      </c>
      <c r="P292" s="178" t="str">
        <f>IFERROR(VLOOKUP(C292,TD!$B$32:$F$36,2,0)," ")</f>
        <v>O230117</v>
      </c>
      <c r="Q292" s="178" t="str">
        <f>IFERROR(VLOOKUP(C292,TD!$B$32:$F$36,3,0)," ")</f>
        <v>4599</v>
      </c>
      <c r="R292" s="178">
        <f>IFERROR(VLOOKUP(C292,TD!$B$32:$F$36,4,0)," ")</f>
        <v>20240207</v>
      </c>
      <c r="S292" s="173" t="s">
        <v>185</v>
      </c>
      <c r="T292" s="178" t="str">
        <f>IFERROR(VLOOKUP(S292,TD!$J$33:$K$43,2,0)," ")</f>
        <v>Infraestructura física, mantenimiento y dotación (Sedes construidas, mantenidas reforzadas)</v>
      </c>
      <c r="U292" s="127" t="str">
        <f>CONCATENATE(S292,"-",T292)</f>
        <v>08-Infraestructura física, mantenimiento y dotación (Sedes construidas, mantenidas reforzadas)</v>
      </c>
      <c r="V292" s="173" t="s">
        <v>238</v>
      </c>
      <c r="W292" s="178" t="str">
        <f>IFERROR(VLOOKUP(V292,TD!$N$33:$O$45,2,0)," ")</f>
        <v>Sedes mantenidas</v>
      </c>
      <c r="X292" s="127" t="str">
        <f>CONCATENATE(V292,"_",W292)</f>
        <v>016_Sedes mantenidas</v>
      </c>
      <c r="Y292" s="127" t="str">
        <f>CONCATENATE(U292," ",X292)</f>
        <v>08-Infraestructura física, mantenimiento y dotación (Sedes construidas, mantenidas reforzadas) 016_Sedes mantenidas</v>
      </c>
      <c r="Z292" s="178" t="str">
        <f>CONCATENATE(P292,Q292,R292,S292,V292)</f>
        <v>O23011745992024020708016</v>
      </c>
      <c r="AA292" s="178" t="str">
        <f>IFERROR(VLOOKUP(Y292,TD!$K$46:$L$64,2,0)," ")</f>
        <v>PM/0131/0108/45990160207</v>
      </c>
      <c r="AB292" s="177" t="s">
        <v>138</v>
      </c>
      <c r="AC292" s="179" t="s">
        <v>204</v>
      </c>
    </row>
    <row r="293" spans="2:29" s="28" customFormat="1" ht="74.25" customHeight="1" x14ac:dyDescent="0.35">
      <c r="B293" s="170">
        <v>20250438</v>
      </c>
      <c r="C293" s="171" t="s">
        <v>208</v>
      </c>
      <c r="D293" s="172" t="s">
        <v>166</v>
      </c>
      <c r="E293" s="173" t="s">
        <v>632</v>
      </c>
      <c r="F293" s="172" t="s">
        <v>661</v>
      </c>
      <c r="G293" s="172" t="s">
        <v>156</v>
      </c>
      <c r="H293" s="174" t="s">
        <v>700</v>
      </c>
      <c r="I293" s="175">
        <v>2</v>
      </c>
      <c r="J293" s="175">
        <v>11</v>
      </c>
      <c r="K293" s="176">
        <v>0</v>
      </c>
      <c r="L293" s="177">
        <f>33534424-8198173</f>
        <v>25336251</v>
      </c>
      <c r="M293" s="172" t="s">
        <v>484</v>
      </c>
      <c r="N293" s="177" t="s">
        <v>701</v>
      </c>
      <c r="O293" s="173" t="s">
        <v>219</v>
      </c>
      <c r="P293" s="178" t="str">
        <f>IFERROR(VLOOKUP(C293,TD!$B$32:$F$36,2,0)," ")</f>
        <v>O230117</v>
      </c>
      <c r="Q293" s="178" t="str">
        <f>IFERROR(VLOOKUP(C293,TD!$B$32:$F$36,3,0)," ")</f>
        <v>4599</v>
      </c>
      <c r="R293" s="178">
        <f>IFERROR(VLOOKUP(C293,TD!$B$32:$F$36,4,0)," ")</f>
        <v>20240207</v>
      </c>
      <c r="S293" s="173" t="s">
        <v>185</v>
      </c>
      <c r="T293" s="178" t="str">
        <f>IFERROR(VLOOKUP(S293,TD!$J$33:$K$43,2,0)," ")</f>
        <v>Infraestructura física, mantenimiento y dotación (Sedes construidas, mantenidas reforzadas)</v>
      </c>
      <c r="U293" s="127" t="str">
        <f>CONCATENATE(S293,"-",T293)</f>
        <v>08-Infraestructura física, mantenimiento y dotación (Sedes construidas, mantenidas reforzadas)</v>
      </c>
      <c r="V293" s="173" t="s">
        <v>238</v>
      </c>
      <c r="W293" s="178" t="str">
        <f>IFERROR(VLOOKUP(V293,TD!$N$33:$O$45,2,0)," ")</f>
        <v>Sedes mantenidas</v>
      </c>
      <c r="X293" s="127" t="str">
        <f>CONCATENATE(V293,"_",W293)</f>
        <v>016_Sedes mantenidas</v>
      </c>
      <c r="Y293" s="127" t="str">
        <f>CONCATENATE(U293," ",X293)</f>
        <v>08-Infraestructura física, mantenimiento y dotación (Sedes construidas, mantenidas reforzadas) 016_Sedes mantenidas</v>
      </c>
      <c r="Z293" s="178" t="str">
        <f>CONCATENATE(P293,Q293,R293,S293,V293)</f>
        <v>O23011745992024020708016</v>
      </c>
      <c r="AA293" s="178" t="str">
        <f>IFERROR(VLOOKUP(Y293,TD!$K$46:$L$64,2,0)," ")</f>
        <v>PM/0131/0108/45990160207</v>
      </c>
      <c r="AB293" s="177" t="s">
        <v>138</v>
      </c>
      <c r="AC293" s="179" t="s">
        <v>204</v>
      </c>
    </row>
    <row r="294" spans="2:29" s="28" customFormat="1" ht="74.25" customHeight="1" x14ac:dyDescent="0.35">
      <c r="B294" s="170">
        <v>20250439</v>
      </c>
      <c r="C294" s="171" t="s">
        <v>208</v>
      </c>
      <c r="D294" s="172" t="s">
        <v>166</v>
      </c>
      <c r="E294" s="173" t="s">
        <v>632</v>
      </c>
      <c r="F294" s="172" t="s">
        <v>662</v>
      </c>
      <c r="G294" s="172" t="s">
        <v>155</v>
      </c>
      <c r="H294" s="174" t="s">
        <v>700</v>
      </c>
      <c r="I294" s="175">
        <v>2</v>
      </c>
      <c r="J294" s="175">
        <v>11</v>
      </c>
      <c r="K294" s="176">
        <v>0</v>
      </c>
      <c r="L294" s="177">
        <v>54291951</v>
      </c>
      <c r="M294" s="172" t="s">
        <v>484</v>
      </c>
      <c r="N294" s="177" t="s">
        <v>701</v>
      </c>
      <c r="O294" s="173" t="s">
        <v>219</v>
      </c>
      <c r="P294" s="178" t="str">
        <f>IFERROR(VLOOKUP(C294,TD!$B$32:$F$36,2,0)," ")</f>
        <v>O230117</v>
      </c>
      <c r="Q294" s="178" t="str">
        <f>IFERROR(VLOOKUP(C294,TD!$B$32:$F$36,3,0)," ")</f>
        <v>4599</v>
      </c>
      <c r="R294" s="178">
        <f>IFERROR(VLOOKUP(C294,TD!$B$32:$F$36,4,0)," ")</f>
        <v>20240207</v>
      </c>
      <c r="S294" s="173" t="s">
        <v>185</v>
      </c>
      <c r="T294" s="178" t="str">
        <f>IFERROR(VLOOKUP(S294,TD!$J$33:$K$43,2,0)," ")</f>
        <v>Infraestructura física, mantenimiento y dotación (Sedes construidas, mantenidas reforzadas)</v>
      </c>
      <c r="U294" s="127" t="str">
        <f>CONCATENATE(S294,"-",T294)</f>
        <v>08-Infraestructura física, mantenimiento y dotación (Sedes construidas, mantenidas reforzadas)</v>
      </c>
      <c r="V294" s="173" t="s">
        <v>238</v>
      </c>
      <c r="W294" s="178" t="str">
        <f>IFERROR(VLOOKUP(V294,TD!$N$33:$O$45,2,0)," ")</f>
        <v>Sedes mantenidas</v>
      </c>
      <c r="X294" s="127" t="str">
        <f>CONCATENATE(V294,"_",W294)</f>
        <v>016_Sedes mantenidas</v>
      </c>
      <c r="Y294" s="127" t="str">
        <f>CONCATENATE(U294," ",X294)</f>
        <v>08-Infraestructura física, mantenimiento y dotación (Sedes construidas, mantenidas reforzadas) 016_Sedes mantenidas</v>
      </c>
      <c r="Z294" s="178" t="str">
        <f>CONCATENATE(P294,Q294,R294,S294,V294)</f>
        <v>O23011745992024020708016</v>
      </c>
      <c r="AA294" s="178" t="str">
        <f>IFERROR(VLOOKUP(Y294,TD!$K$46:$L$64,2,0)," ")</f>
        <v>PM/0131/0108/45990160207</v>
      </c>
      <c r="AB294" s="177" t="s">
        <v>138</v>
      </c>
      <c r="AC294" s="179" t="s">
        <v>204</v>
      </c>
    </row>
    <row r="295" spans="2:29" s="28" customFormat="1" ht="74.25" customHeight="1" x14ac:dyDescent="0.35">
      <c r="B295" s="170">
        <v>20250440</v>
      </c>
      <c r="C295" s="171" t="s">
        <v>208</v>
      </c>
      <c r="D295" s="172" t="s">
        <v>166</v>
      </c>
      <c r="E295" s="173" t="s">
        <v>632</v>
      </c>
      <c r="F295" s="172" t="s">
        <v>663</v>
      </c>
      <c r="G295" s="172" t="s">
        <v>156</v>
      </c>
      <c r="H295" s="174" t="s">
        <v>700</v>
      </c>
      <c r="I295" s="175">
        <v>2</v>
      </c>
      <c r="J295" s="175">
        <v>11</v>
      </c>
      <c r="K295" s="176">
        <v>0</v>
      </c>
      <c r="L295" s="177">
        <v>33178419</v>
      </c>
      <c r="M295" s="172" t="s">
        <v>484</v>
      </c>
      <c r="N295" s="177" t="s">
        <v>701</v>
      </c>
      <c r="O295" s="173" t="s">
        <v>219</v>
      </c>
      <c r="P295" s="178" t="str">
        <f>IFERROR(VLOOKUP(C295,TD!$B$32:$F$36,2,0)," ")</f>
        <v>O230117</v>
      </c>
      <c r="Q295" s="178" t="str">
        <f>IFERROR(VLOOKUP(C295,TD!$B$32:$F$36,3,0)," ")</f>
        <v>4599</v>
      </c>
      <c r="R295" s="178">
        <f>IFERROR(VLOOKUP(C295,TD!$B$32:$F$36,4,0)," ")</f>
        <v>20240207</v>
      </c>
      <c r="S295" s="173" t="s">
        <v>185</v>
      </c>
      <c r="T295" s="178" t="str">
        <f>IFERROR(VLOOKUP(S295,TD!$J$33:$K$43,2,0)," ")</f>
        <v>Infraestructura física, mantenimiento y dotación (Sedes construidas, mantenidas reforzadas)</v>
      </c>
      <c r="U295" s="127" t="str">
        <f>CONCATENATE(S295,"-",T295)</f>
        <v>08-Infraestructura física, mantenimiento y dotación (Sedes construidas, mantenidas reforzadas)</v>
      </c>
      <c r="V295" s="173" t="s">
        <v>238</v>
      </c>
      <c r="W295" s="178" t="str">
        <f>IFERROR(VLOOKUP(V295,TD!$N$33:$O$45,2,0)," ")</f>
        <v>Sedes mantenidas</v>
      </c>
      <c r="X295" s="127" t="str">
        <f>CONCATENATE(V295,"_",W295)</f>
        <v>016_Sedes mantenidas</v>
      </c>
      <c r="Y295" s="127" t="str">
        <f>CONCATENATE(U295," ",X295)</f>
        <v>08-Infraestructura física, mantenimiento y dotación (Sedes construidas, mantenidas reforzadas) 016_Sedes mantenidas</v>
      </c>
      <c r="Z295" s="178" t="str">
        <f>CONCATENATE(P295,Q295,R295,S295,V295)</f>
        <v>O23011745992024020708016</v>
      </c>
      <c r="AA295" s="178" t="str">
        <f>IFERROR(VLOOKUP(Y295,TD!$K$46:$L$64,2,0)," ")</f>
        <v>PM/0131/0108/45990160207</v>
      </c>
      <c r="AB295" s="177" t="s">
        <v>138</v>
      </c>
      <c r="AC295" s="179" t="s">
        <v>204</v>
      </c>
    </row>
    <row r="296" spans="2:29" s="28" customFormat="1" ht="74.25" customHeight="1" x14ac:dyDescent="0.35">
      <c r="B296" s="170">
        <v>20250441</v>
      </c>
      <c r="C296" s="171" t="s">
        <v>208</v>
      </c>
      <c r="D296" s="172" t="s">
        <v>166</v>
      </c>
      <c r="E296" s="173" t="s">
        <v>632</v>
      </c>
      <c r="F296" s="172" t="s">
        <v>664</v>
      </c>
      <c r="G296" s="172" t="s">
        <v>156</v>
      </c>
      <c r="H296" s="174" t="s">
        <v>700</v>
      </c>
      <c r="I296" s="175">
        <v>2</v>
      </c>
      <c r="J296" s="175">
        <v>11</v>
      </c>
      <c r="K296" s="176">
        <v>0</v>
      </c>
      <c r="L296" s="177">
        <v>25336251</v>
      </c>
      <c r="M296" s="172" t="s">
        <v>484</v>
      </c>
      <c r="N296" s="177" t="s">
        <v>701</v>
      </c>
      <c r="O296" s="173" t="s">
        <v>219</v>
      </c>
      <c r="P296" s="178" t="str">
        <f>IFERROR(VLOOKUP(C296,TD!$B$32:$F$36,2,0)," ")</f>
        <v>O230117</v>
      </c>
      <c r="Q296" s="178" t="str">
        <f>IFERROR(VLOOKUP(C296,TD!$B$32:$F$36,3,0)," ")</f>
        <v>4599</v>
      </c>
      <c r="R296" s="178">
        <f>IFERROR(VLOOKUP(C296,TD!$B$32:$F$36,4,0)," ")</f>
        <v>20240207</v>
      </c>
      <c r="S296" s="173" t="s">
        <v>185</v>
      </c>
      <c r="T296" s="178" t="str">
        <f>IFERROR(VLOOKUP(S296,TD!$J$33:$K$43,2,0)," ")</f>
        <v>Infraestructura física, mantenimiento y dotación (Sedes construidas, mantenidas reforzadas)</v>
      </c>
      <c r="U296" s="127" t="str">
        <f>CONCATENATE(S296,"-",T296)</f>
        <v>08-Infraestructura física, mantenimiento y dotación (Sedes construidas, mantenidas reforzadas)</v>
      </c>
      <c r="V296" s="173" t="s">
        <v>238</v>
      </c>
      <c r="W296" s="178" t="str">
        <f>IFERROR(VLOOKUP(V296,TD!$N$33:$O$45,2,0)," ")</f>
        <v>Sedes mantenidas</v>
      </c>
      <c r="X296" s="127" t="str">
        <f>CONCATENATE(V296,"_",W296)</f>
        <v>016_Sedes mantenidas</v>
      </c>
      <c r="Y296" s="127" t="str">
        <f>CONCATENATE(U296," ",X296)</f>
        <v>08-Infraestructura física, mantenimiento y dotación (Sedes construidas, mantenidas reforzadas) 016_Sedes mantenidas</v>
      </c>
      <c r="Z296" s="178" t="str">
        <f>CONCATENATE(P296,Q296,R296,S296,V296)</f>
        <v>O23011745992024020708016</v>
      </c>
      <c r="AA296" s="178" t="str">
        <f>IFERROR(VLOOKUP(Y296,TD!$K$46:$L$64,2,0)," ")</f>
        <v>PM/0131/0108/45990160207</v>
      </c>
      <c r="AB296" s="177" t="s">
        <v>138</v>
      </c>
      <c r="AC296" s="179" t="s">
        <v>204</v>
      </c>
    </row>
    <row r="297" spans="2:29" s="28" customFormat="1" ht="74.25" customHeight="1" x14ac:dyDescent="0.35">
      <c r="B297" s="170">
        <v>20250442</v>
      </c>
      <c r="C297" s="171" t="s">
        <v>208</v>
      </c>
      <c r="D297" s="172" t="s">
        <v>166</v>
      </c>
      <c r="E297" s="173" t="s">
        <v>632</v>
      </c>
      <c r="F297" s="172" t="s">
        <v>663</v>
      </c>
      <c r="G297" s="172" t="s">
        <v>156</v>
      </c>
      <c r="H297" s="174" t="s">
        <v>700</v>
      </c>
      <c r="I297" s="193">
        <v>2</v>
      </c>
      <c r="J297" s="175">
        <v>11</v>
      </c>
      <c r="K297" s="176">
        <v>0</v>
      </c>
      <c r="L297" s="177">
        <v>19705973</v>
      </c>
      <c r="M297" s="172" t="s">
        <v>484</v>
      </c>
      <c r="N297" s="177" t="s">
        <v>701</v>
      </c>
      <c r="O297" s="173" t="s">
        <v>219</v>
      </c>
      <c r="P297" s="178" t="str">
        <f>IFERROR(VLOOKUP(C297,TD!$B$32:$F$36,2,0)," ")</f>
        <v>O230117</v>
      </c>
      <c r="Q297" s="178" t="str">
        <f>IFERROR(VLOOKUP(C297,TD!$B$32:$F$36,3,0)," ")</f>
        <v>4599</v>
      </c>
      <c r="R297" s="178">
        <f>IFERROR(VLOOKUP(C297,TD!$B$32:$F$36,4,0)," ")</f>
        <v>20240207</v>
      </c>
      <c r="S297" s="173" t="s">
        <v>185</v>
      </c>
      <c r="T297" s="178" t="str">
        <f>IFERROR(VLOOKUP(S297,TD!$J$33:$K$43,2,0)," ")</f>
        <v>Infraestructura física, mantenimiento y dotación (Sedes construidas, mantenidas reforzadas)</v>
      </c>
      <c r="U297" s="127" t="str">
        <f>CONCATENATE(S297,"-",T297)</f>
        <v>08-Infraestructura física, mantenimiento y dotación (Sedes construidas, mantenidas reforzadas)</v>
      </c>
      <c r="V297" s="173" t="s">
        <v>238</v>
      </c>
      <c r="W297" s="178" t="str">
        <f>IFERROR(VLOOKUP(V297,TD!$N$33:$O$45,2,0)," ")</f>
        <v>Sedes mantenidas</v>
      </c>
      <c r="X297" s="127" t="str">
        <f>CONCATENATE(V297,"_",W297)</f>
        <v>016_Sedes mantenidas</v>
      </c>
      <c r="Y297" s="127" t="str">
        <f>CONCATENATE(U297," ",X297)</f>
        <v>08-Infraestructura física, mantenimiento y dotación (Sedes construidas, mantenidas reforzadas) 016_Sedes mantenidas</v>
      </c>
      <c r="Z297" s="178" t="str">
        <f>CONCATENATE(P297,Q297,R297,S297,V297)</f>
        <v>O23011745992024020708016</v>
      </c>
      <c r="AA297" s="178" t="str">
        <f>IFERROR(VLOOKUP(Y297,TD!$K$46:$L$64,2,0)," ")</f>
        <v>PM/0131/0108/45990160207</v>
      </c>
      <c r="AB297" s="177" t="s">
        <v>138</v>
      </c>
      <c r="AC297" s="179" t="s">
        <v>204</v>
      </c>
    </row>
    <row r="298" spans="2:29" s="28" customFormat="1" ht="74.25" customHeight="1" x14ac:dyDescent="0.35">
      <c r="B298" s="170">
        <v>20250443</v>
      </c>
      <c r="C298" s="171" t="s">
        <v>208</v>
      </c>
      <c r="D298" s="172" t="s">
        <v>166</v>
      </c>
      <c r="E298" s="173" t="s">
        <v>632</v>
      </c>
      <c r="F298" s="172" t="s">
        <v>663</v>
      </c>
      <c r="G298" s="172" t="s">
        <v>156</v>
      </c>
      <c r="H298" s="174" t="s">
        <v>700</v>
      </c>
      <c r="I298" s="193">
        <v>2</v>
      </c>
      <c r="J298" s="175">
        <v>11</v>
      </c>
      <c r="K298" s="176">
        <v>0</v>
      </c>
      <c r="L298" s="177">
        <v>25336251</v>
      </c>
      <c r="M298" s="172" t="s">
        <v>484</v>
      </c>
      <c r="N298" s="177" t="s">
        <v>701</v>
      </c>
      <c r="O298" s="173" t="s">
        <v>219</v>
      </c>
      <c r="P298" s="178" t="str">
        <f>IFERROR(VLOOKUP(C298,TD!$B$32:$F$36,2,0)," ")</f>
        <v>O230117</v>
      </c>
      <c r="Q298" s="178" t="str">
        <f>IFERROR(VLOOKUP(C298,TD!$B$32:$F$36,3,0)," ")</f>
        <v>4599</v>
      </c>
      <c r="R298" s="178">
        <f>IFERROR(VLOOKUP(C298,TD!$B$32:$F$36,4,0)," ")</f>
        <v>20240207</v>
      </c>
      <c r="S298" s="173" t="s">
        <v>185</v>
      </c>
      <c r="T298" s="178" t="str">
        <f>IFERROR(VLOOKUP(S298,TD!$J$33:$K$43,2,0)," ")</f>
        <v>Infraestructura física, mantenimiento y dotación (Sedes construidas, mantenidas reforzadas)</v>
      </c>
      <c r="U298" s="127" t="str">
        <f>CONCATENATE(S298,"-",T298)</f>
        <v>08-Infraestructura física, mantenimiento y dotación (Sedes construidas, mantenidas reforzadas)</v>
      </c>
      <c r="V298" s="173" t="s">
        <v>238</v>
      </c>
      <c r="W298" s="178" t="str">
        <f>IFERROR(VLOOKUP(V298,TD!$N$33:$O$45,2,0)," ")</f>
        <v>Sedes mantenidas</v>
      </c>
      <c r="X298" s="127" t="str">
        <f>CONCATENATE(V298,"_",W298)</f>
        <v>016_Sedes mantenidas</v>
      </c>
      <c r="Y298" s="127" t="str">
        <f>CONCATENATE(U298," ",X298)</f>
        <v>08-Infraestructura física, mantenimiento y dotación (Sedes construidas, mantenidas reforzadas) 016_Sedes mantenidas</v>
      </c>
      <c r="Z298" s="178" t="str">
        <f>CONCATENATE(P298,Q298,R298,S298,V298)</f>
        <v>O23011745992024020708016</v>
      </c>
      <c r="AA298" s="178" t="str">
        <f>IFERROR(VLOOKUP(Y298,TD!$K$46:$L$64,2,0)," ")</f>
        <v>PM/0131/0108/45990160207</v>
      </c>
      <c r="AB298" s="177" t="s">
        <v>138</v>
      </c>
      <c r="AC298" s="179" t="s">
        <v>204</v>
      </c>
    </row>
    <row r="299" spans="2:29" s="28" customFormat="1" ht="74.25" customHeight="1" x14ac:dyDescent="0.35">
      <c r="B299" s="170">
        <v>20250444</v>
      </c>
      <c r="C299" s="171" t="s">
        <v>208</v>
      </c>
      <c r="D299" s="172" t="s">
        <v>166</v>
      </c>
      <c r="E299" s="173" t="s">
        <v>632</v>
      </c>
      <c r="F299" s="172" t="s">
        <v>844</v>
      </c>
      <c r="G299" s="172" t="s">
        <v>155</v>
      </c>
      <c r="H299" s="174" t="s">
        <v>700</v>
      </c>
      <c r="I299" s="175">
        <v>2</v>
      </c>
      <c r="J299" s="175">
        <v>11</v>
      </c>
      <c r="K299" s="176">
        <v>0</v>
      </c>
      <c r="L299" s="177">
        <v>46449783</v>
      </c>
      <c r="M299" s="172" t="s">
        <v>484</v>
      </c>
      <c r="N299" s="177" t="s">
        <v>701</v>
      </c>
      <c r="O299" s="173" t="s">
        <v>219</v>
      </c>
      <c r="P299" s="178" t="str">
        <f>IFERROR(VLOOKUP(C299,TD!$B$32:$F$36,2,0)," ")</f>
        <v>O230117</v>
      </c>
      <c r="Q299" s="178" t="str">
        <f>IFERROR(VLOOKUP(C299,TD!$B$32:$F$36,3,0)," ")</f>
        <v>4599</v>
      </c>
      <c r="R299" s="178">
        <f>IFERROR(VLOOKUP(C299,TD!$B$32:$F$36,4,0)," ")</f>
        <v>20240207</v>
      </c>
      <c r="S299" s="173" t="s">
        <v>185</v>
      </c>
      <c r="T299" s="178" t="str">
        <f>IFERROR(VLOOKUP(S299,TD!$J$33:$K$43,2,0)," ")</f>
        <v>Infraestructura física, mantenimiento y dotación (Sedes construidas, mantenidas reforzadas)</v>
      </c>
      <c r="U299" s="127" t="str">
        <f>CONCATENATE(S299,"-",T299)</f>
        <v>08-Infraestructura física, mantenimiento y dotación (Sedes construidas, mantenidas reforzadas)</v>
      </c>
      <c r="V299" s="173" t="s">
        <v>238</v>
      </c>
      <c r="W299" s="178" t="str">
        <f>IFERROR(VLOOKUP(V299,TD!$N$33:$O$45,2,0)," ")</f>
        <v>Sedes mantenidas</v>
      </c>
      <c r="X299" s="127" t="str">
        <f>CONCATENATE(V299,"_",W299)</f>
        <v>016_Sedes mantenidas</v>
      </c>
      <c r="Y299" s="127" t="str">
        <f>CONCATENATE(U299," ",X299)</f>
        <v>08-Infraestructura física, mantenimiento y dotación (Sedes construidas, mantenidas reforzadas) 016_Sedes mantenidas</v>
      </c>
      <c r="Z299" s="178" t="str">
        <f>CONCATENATE(P299,Q299,R299,S299,V299)</f>
        <v>O23011745992024020708016</v>
      </c>
      <c r="AA299" s="178" t="str">
        <f>IFERROR(VLOOKUP(Y299,TD!$K$46:$L$64,2,0)," ")</f>
        <v>PM/0131/0108/45990160207</v>
      </c>
      <c r="AB299" s="177" t="s">
        <v>138</v>
      </c>
      <c r="AC299" s="179" t="s">
        <v>204</v>
      </c>
    </row>
    <row r="300" spans="2:29" s="28" customFormat="1" ht="74.25" customHeight="1" x14ac:dyDescent="0.35">
      <c r="B300" s="170">
        <v>20250445</v>
      </c>
      <c r="C300" s="171" t="s">
        <v>208</v>
      </c>
      <c r="D300" s="172" t="s">
        <v>166</v>
      </c>
      <c r="E300" s="173" t="s">
        <v>632</v>
      </c>
      <c r="F300" s="172" t="s">
        <v>845</v>
      </c>
      <c r="G300" s="172" t="s">
        <v>155</v>
      </c>
      <c r="H300" s="174" t="s">
        <v>700</v>
      </c>
      <c r="I300" s="175">
        <v>2</v>
      </c>
      <c r="J300" s="175">
        <v>11</v>
      </c>
      <c r="K300" s="176">
        <v>0</v>
      </c>
      <c r="L300" s="177">
        <v>46449783</v>
      </c>
      <c r="M300" s="172" t="s">
        <v>484</v>
      </c>
      <c r="N300" s="177" t="s">
        <v>701</v>
      </c>
      <c r="O300" s="173" t="s">
        <v>219</v>
      </c>
      <c r="P300" s="178" t="str">
        <f>IFERROR(VLOOKUP(C300,TD!$B$32:$F$36,2,0)," ")</f>
        <v>O230117</v>
      </c>
      <c r="Q300" s="178" t="str">
        <f>IFERROR(VLOOKUP(C300,TD!$B$32:$F$36,3,0)," ")</f>
        <v>4599</v>
      </c>
      <c r="R300" s="178">
        <f>IFERROR(VLOOKUP(C300,TD!$B$32:$F$36,4,0)," ")</f>
        <v>20240207</v>
      </c>
      <c r="S300" s="173" t="s">
        <v>185</v>
      </c>
      <c r="T300" s="178" t="str">
        <f>IFERROR(VLOOKUP(S300,TD!$J$33:$K$43,2,0)," ")</f>
        <v>Infraestructura física, mantenimiento y dotación (Sedes construidas, mantenidas reforzadas)</v>
      </c>
      <c r="U300" s="127" t="str">
        <f>CONCATENATE(S300,"-",T300)</f>
        <v>08-Infraestructura física, mantenimiento y dotación (Sedes construidas, mantenidas reforzadas)</v>
      </c>
      <c r="V300" s="173" t="s">
        <v>238</v>
      </c>
      <c r="W300" s="178" t="str">
        <f>IFERROR(VLOOKUP(V300,TD!$N$33:$O$45,2,0)," ")</f>
        <v>Sedes mantenidas</v>
      </c>
      <c r="X300" s="127" t="str">
        <f>CONCATENATE(V300,"_",W300)</f>
        <v>016_Sedes mantenidas</v>
      </c>
      <c r="Y300" s="127" t="str">
        <f>CONCATENATE(U300," ",X300)</f>
        <v>08-Infraestructura física, mantenimiento y dotación (Sedes construidas, mantenidas reforzadas) 016_Sedes mantenidas</v>
      </c>
      <c r="Z300" s="178" t="str">
        <f>CONCATENATE(P300,Q300,R300,S300,V300)</f>
        <v>O23011745992024020708016</v>
      </c>
      <c r="AA300" s="178" t="str">
        <f>IFERROR(VLOOKUP(Y300,TD!$K$46:$L$64,2,0)," ")</f>
        <v>PM/0131/0108/45990160207</v>
      </c>
      <c r="AB300" s="177" t="s">
        <v>138</v>
      </c>
      <c r="AC300" s="179" t="s">
        <v>204</v>
      </c>
    </row>
    <row r="301" spans="2:29" s="28" customFormat="1" ht="74.25" customHeight="1" x14ac:dyDescent="0.35">
      <c r="B301" s="170">
        <v>20250446</v>
      </c>
      <c r="C301" s="171" t="s">
        <v>208</v>
      </c>
      <c r="D301" s="172" t="s">
        <v>166</v>
      </c>
      <c r="E301" s="173" t="s">
        <v>632</v>
      </c>
      <c r="F301" s="172" t="s">
        <v>846</v>
      </c>
      <c r="G301" s="172" t="s">
        <v>155</v>
      </c>
      <c r="H301" s="174" t="s">
        <v>700</v>
      </c>
      <c r="I301" s="175">
        <v>2</v>
      </c>
      <c r="J301" s="175">
        <v>11</v>
      </c>
      <c r="K301" s="176">
        <v>0</v>
      </c>
      <c r="L301" s="177">
        <v>46449783</v>
      </c>
      <c r="M301" s="172" t="s">
        <v>484</v>
      </c>
      <c r="N301" s="177" t="s">
        <v>701</v>
      </c>
      <c r="O301" s="173" t="s">
        <v>219</v>
      </c>
      <c r="P301" s="178" t="str">
        <f>IFERROR(VLOOKUP(C301,TD!$B$32:$F$36,2,0)," ")</f>
        <v>O230117</v>
      </c>
      <c r="Q301" s="178" t="str">
        <f>IFERROR(VLOOKUP(C301,TD!$B$32:$F$36,3,0)," ")</f>
        <v>4599</v>
      </c>
      <c r="R301" s="178">
        <f>IFERROR(VLOOKUP(C301,TD!$B$32:$F$36,4,0)," ")</f>
        <v>20240207</v>
      </c>
      <c r="S301" s="173" t="s">
        <v>185</v>
      </c>
      <c r="T301" s="178" t="str">
        <f>IFERROR(VLOOKUP(S301,TD!$J$33:$K$43,2,0)," ")</f>
        <v>Infraestructura física, mantenimiento y dotación (Sedes construidas, mantenidas reforzadas)</v>
      </c>
      <c r="U301" s="127" t="str">
        <f>CONCATENATE(S301,"-",T301)</f>
        <v>08-Infraestructura física, mantenimiento y dotación (Sedes construidas, mantenidas reforzadas)</v>
      </c>
      <c r="V301" s="173" t="s">
        <v>238</v>
      </c>
      <c r="W301" s="178" t="str">
        <f>IFERROR(VLOOKUP(V301,TD!$N$33:$O$45,2,0)," ")</f>
        <v>Sedes mantenidas</v>
      </c>
      <c r="X301" s="127" t="str">
        <f>CONCATENATE(V301,"_",W301)</f>
        <v>016_Sedes mantenidas</v>
      </c>
      <c r="Y301" s="127" t="str">
        <f>CONCATENATE(U301," ",X301)</f>
        <v>08-Infraestructura física, mantenimiento y dotación (Sedes construidas, mantenidas reforzadas) 016_Sedes mantenidas</v>
      </c>
      <c r="Z301" s="178" t="str">
        <f>CONCATENATE(P301,Q301,R301,S301,V301)</f>
        <v>O23011745992024020708016</v>
      </c>
      <c r="AA301" s="178" t="str">
        <f>IFERROR(VLOOKUP(Y301,TD!$K$46:$L$64,2,0)," ")</f>
        <v>PM/0131/0108/45990160207</v>
      </c>
      <c r="AB301" s="177" t="s">
        <v>138</v>
      </c>
      <c r="AC301" s="179" t="s">
        <v>204</v>
      </c>
    </row>
    <row r="302" spans="2:29" s="28" customFormat="1" ht="74.25" customHeight="1" x14ac:dyDescent="0.35">
      <c r="B302" s="170">
        <v>20250447</v>
      </c>
      <c r="C302" s="171" t="s">
        <v>208</v>
      </c>
      <c r="D302" s="172" t="s">
        <v>166</v>
      </c>
      <c r="E302" s="173" t="s">
        <v>632</v>
      </c>
      <c r="F302" s="172" t="s">
        <v>665</v>
      </c>
      <c r="G302" s="172" t="s">
        <v>155</v>
      </c>
      <c r="H302" s="174" t="s">
        <v>700</v>
      </c>
      <c r="I302" s="175">
        <v>2</v>
      </c>
      <c r="J302" s="175">
        <v>11</v>
      </c>
      <c r="K302" s="176">
        <v>0</v>
      </c>
      <c r="L302" s="177">
        <v>46449783</v>
      </c>
      <c r="M302" s="172" t="s">
        <v>484</v>
      </c>
      <c r="N302" s="177" t="s">
        <v>701</v>
      </c>
      <c r="O302" s="173" t="s">
        <v>219</v>
      </c>
      <c r="P302" s="178" t="str">
        <f>IFERROR(VLOOKUP(C302,TD!$B$32:$F$36,2,0)," ")</f>
        <v>O230117</v>
      </c>
      <c r="Q302" s="178" t="str">
        <f>IFERROR(VLOOKUP(C302,TD!$B$32:$F$36,3,0)," ")</f>
        <v>4599</v>
      </c>
      <c r="R302" s="178">
        <f>IFERROR(VLOOKUP(C302,TD!$B$32:$F$36,4,0)," ")</f>
        <v>20240207</v>
      </c>
      <c r="S302" s="173" t="s">
        <v>185</v>
      </c>
      <c r="T302" s="178" t="str">
        <f>IFERROR(VLOOKUP(S302,TD!$J$33:$K$43,2,0)," ")</f>
        <v>Infraestructura física, mantenimiento y dotación (Sedes construidas, mantenidas reforzadas)</v>
      </c>
      <c r="U302" s="127" t="str">
        <f>CONCATENATE(S302,"-",T302)</f>
        <v>08-Infraestructura física, mantenimiento y dotación (Sedes construidas, mantenidas reforzadas)</v>
      </c>
      <c r="V302" s="173" t="s">
        <v>238</v>
      </c>
      <c r="W302" s="178" t="str">
        <f>IFERROR(VLOOKUP(V302,TD!$N$33:$O$45,2,0)," ")</f>
        <v>Sedes mantenidas</v>
      </c>
      <c r="X302" s="127" t="str">
        <f>CONCATENATE(V302,"_",W302)</f>
        <v>016_Sedes mantenidas</v>
      </c>
      <c r="Y302" s="127" t="str">
        <f>CONCATENATE(U302," ",X302)</f>
        <v>08-Infraestructura física, mantenimiento y dotación (Sedes construidas, mantenidas reforzadas) 016_Sedes mantenidas</v>
      </c>
      <c r="Z302" s="178" t="str">
        <f>CONCATENATE(P302,Q302,R302,S302,V302)</f>
        <v>O23011745992024020708016</v>
      </c>
      <c r="AA302" s="178" t="str">
        <f>IFERROR(VLOOKUP(Y302,TD!$K$46:$L$64,2,0)," ")</f>
        <v>PM/0131/0108/45990160207</v>
      </c>
      <c r="AB302" s="177" t="s">
        <v>138</v>
      </c>
      <c r="AC302" s="179" t="s">
        <v>204</v>
      </c>
    </row>
    <row r="303" spans="2:29" s="28" customFormat="1" ht="74.25" customHeight="1" x14ac:dyDescent="0.35">
      <c r="B303" s="170">
        <v>20250448</v>
      </c>
      <c r="C303" s="171" t="s">
        <v>208</v>
      </c>
      <c r="D303" s="172" t="s">
        <v>166</v>
      </c>
      <c r="E303" s="173" t="s">
        <v>632</v>
      </c>
      <c r="F303" s="172" t="s">
        <v>641</v>
      </c>
      <c r="G303" s="172" t="s">
        <v>156</v>
      </c>
      <c r="H303" s="174" t="s">
        <v>700</v>
      </c>
      <c r="I303" s="175">
        <v>2</v>
      </c>
      <c r="J303" s="175">
        <v>11</v>
      </c>
      <c r="K303" s="176">
        <v>0</v>
      </c>
      <c r="L303" s="177">
        <v>65000000</v>
      </c>
      <c r="M303" s="172" t="s">
        <v>484</v>
      </c>
      <c r="N303" s="177" t="s">
        <v>701</v>
      </c>
      <c r="O303" s="173" t="s">
        <v>219</v>
      </c>
      <c r="P303" s="178" t="str">
        <f>IFERROR(VLOOKUP(C303,TD!$B$32:$F$36,2,0)," ")</f>
        <v>O230117</v>
      </c>
      <c r="Q303" s="178" t="str">
        <f>IFERROR(VLOOKUP(C303,TD!$B$32:$F$36,3,0)," ")</f>
        <v>4599</v>
      </c>
      <c r="R303" s="178">
        <f>IFERROR(VLOOKUP(C303,TD!$B$32:$F$36,4,0)," ")</f>
        <v>20240207</v>
      </c>
      <c r="S303" s="173" t="s">
        <v>185</v>
      </c>
      <c r="T303" s="178" t="str">
        <f>IFERROR(VLOOKUP(S303,TD!$J$33:$K$43,2,0)," ")</f>
        <v>Infraestructura física, mantenimiento y dotación (Sedes construidas, mantenidas reforzadas)</v>
      </c>
      <c r="U303" s="127" t="str">
        <f>CONCATENATE(S303,"-",T303)</f>
        <v>08-Infraestructura física, mantenimiento y dotación (Sedes construidas, mantenidas reforzadas)</v>
      </c>
      <c r="V303" s="173" t="s">
        <v>238</v>
      </c>
      <c r="W303" s="178" t="str">
        <f>IFERROR(VLOOKUP(V303,TD!$N$33:$O$45,2,0)," ")</f>
        <v>Sedes mantenidas</v>
      </c>
      <c r="X303" s="127" t="str">
        <f>CONCATENATE(V303,"_",W303)</f>
        <v>016_Sedes mantenidas</v>
      </c>
      <c r="Y303" s="127" t="str">
        <f>CONCATENATE(U303," ",X303)</f>
        <v>08-Infraestructura física, mantenimiento y dotación (Sedes construidas, mantenidas reforzadas) 016_Sedes mantenidas</v>
      </c>
      <c r="Z303" s="178" t="str">
        <f>CONCATENATE(P303,Q303,R303,S303,V303)</f>
        <v>O23011745992024020708016</v>
      </c>
      <c r="AA303" s="178" t="str">
        <f>IFERROR(VLOOKUP(Y303,TD!$K$46:$L$64,2,0)," ")</f>
        <v>PM/0131/0108/45990160207</v>
      </c>
      <c r="AB303" s="177" t="s">
        <v>138</v>
      </c>
      <c r="AC303" s="179" t="s">
        <v>204</v>
      </c>
    </row>
    <row r="304" spans="2:29" s="28" customFormat="1" ht="74.25" customHeight="1" x14ac:dyDescent="0.35">
      <c r="B304" s="170">
        <v>20250449</v>
      </c>
      <c r="C304" s="171" t="s">
        <v>208</v>
      </c>
      <c r="D304" s="172" t="s">
        <v>166</v>
      </c>
      <c r="E304" s="173" t="s">
        <v>632</v>
      </c>
      <c r="F304" s="172" t="s">
        <v>643</v>
      </c>
      <c r="G304" s="172" t="s">
        <v>156</v>
      </c>
      <c r="H304" s="174" t="s">
        <v>700</v>
      </c>
      <c r="I304" s="175">
        <v>2</v>
      </c>
      <c r="J304" s="175">
        <v>11</v>
      </c>
      <c r="K304" s="176">
        <v>0</v>
      </c>
      <c r="L304" s="177">
        <v>34600000</v>
      </c>
      <c r="M304" s="172" t="s">
        <v>484</v>
      </c>
      <c r="N304" s="177" t="s">
        <v>701</v>
      </c>
      <c r="O304" s="173" t="s">
        <v>219</v>
      </c>
      <c r="P304" s="178" t="str">
        <f>IFERROR(VLOOKUP(C304,TD!$B$32:$F$36,2,0)," ")</f>
        <v>O230117</v>
      </c>
      <c r="Q304" s="178" t="str">
        <f>IFERROR(VLOOKUP(C304,TD!$B$32:$F$36,3,0)," ")</f>
        <v>4599</v>
      </c>
      <c r="R304" s="178">
        <f>IFERROR(VLOOKUP(C304,TD!$B$32:$F$36,4,0)," ")</f>
        <v>20240207</v>
      </c>
      <c r="S304" s="173" t="s">
        <v>185</v>
      </c>
      <c r="T304" s="178" t="str">
        <f>IFERROR(VLOOKUP(S304,TD!$J$33:$K$43,2,0)," ")</f>
        <v>Infraestructura física, mantenimiento y dotación (Sedes construidas, mantenidas reforzadas)</v>
      </c>
      <c r="U304" s="127" t="str">
        <f>CONCATENATE(S304,"-",T304)</f>
        <v>08-Infraestructura física, mantenimiento y dotación (Sedes construidas, mantenidas reforzadas)</v>
      </c>
      <c r="V304" s="173" t="s">
        <v>238</v>
      </c>
      <c r="W304" s="178" t="str">
        <f>IFERROR(VLOOKUP(V304,TD!$N$33:$O$45,2,0)," ")</f>
        <v>Sedes mantenidas</v>
      </c>
      <c r="X304" s="127" t="str">
        <f>CONCATENATE(V304,"_",W304)</f>
        <v>016_Sedes mantenidas</v>
      </c>
      <c r="Y304" s="127" t="str">
        <f>CONCATENATE(U304," ",X304)</f>
        <v>08-Infraestructura física, mantenimiento y dotación (Sedes construidas, mantenidas reforzadas) 016_Sedes mantenidas</v>
      </c>
      <c r="Z304" s="178" t="str">
        <f>CONCATENATE(P304,Q304,R304,S304,V304)</f>
        <v>O23011745992024020708016</v>
      </c>
      <c r="AA304" s="178" t="str">
        <f>IFERROR(VLOOKUP(Y304,TD!$K$46:$L$64,2,0)," ")</f>
        <v>PM/0131/0108/45990160207</v>
      </c>
      <c r="AB304" s="177" t="s">
        <v>138</v>
      </c>
      <c r="AC304" s="179" t="s">
        <v>204</v>
      </c>
    </row>
    <row r="305" spans="2:29" s="28" customFormat="1" ht="74.25" customHeight="1" x14ac:dyDescent="0.35">
      <c r="B305" s="170">
        <v>20250450</v>
      </c>
      <c r="C305" s="171" t="s">
        <v>208</v>
      </c>
      <c r="D305" s="172" t="s">
        <v>166</v>
      </c>
      <c r="E305" s="173" t="s">
        <v>632</v>
      </c>
      <c r="F305" s="172" t="s">
        <v>644</v>
      </c>
      <c r="G305" s="172" t="s">
        <v>155</v>
      </c>
      <c r="H305" s="174" t="s">
        <v>700</v>
      </c>
      <c r="I305" s="175">
        <v>2</v>
      </c>
      <c r="J305" s="175">
        <v>11</v>
      </c>
      <c r="K305" s="176">
        <v>0</v>
      </c>
      <c r="L305" s="177">
        <v>33178419</v>
      </c>
      <c r="M305" s="172" t="s">
        <v>484</v>
      </c>
      <c r="N305" s="177" t="s">
        <v>701</v>
      </c>
      <c r="O305" s="173" t="s">
        <v>219</v>
      </c>
      <c r="P305" s="178" t="str">
        <f>IFERROR(VLOOKUP(C305,TD!$B$32:$F$36,2,0)," ")</f>
        <v>O230117</v>
      </c>
      <c r="Q305" s="178" t="str">
        <f>IFERROR(VLOOKUP(C305,TD!$B$32:$F$36,3,0)," ")</f>
        <v>4599</v>
      </c>
      <c r="R305" s="178">
        <f>IFERROR(VLOOKUP(C305,TD!$B$32:$F$36,4,0)," ")</f>
        <v>20240207</v>
      </c>
      <c r="S305" s="173" t="s">
        <v>185</v>
      </c>
      <c r="T305" s="178" t="str">
        <f>IFERROR(VLOOKUP(S305,TD!$J$33:$K$43,2,0)," ")</f>
        <v>Infraestructura física, mantenimiento y dotación (Sedes construidas, mantenidas reforzadas)</v>
      </c>
      <c r="U305" s="127" t="str">
        <f>CONCATENATE(S305,"-",T305)</f>
        <v>08-Infraestructura física, mantenimiento y dotación (Sedes construidas, mantenidas reforzadas)</v>
      </c>
      <c r="V305" s="173" t="s">
        <v>238</v>
      </c>
      <c r="W305" s="178" t="str">
        <f>IFERROR(VLOOKUP(V305,TD!$N$33:$O$45,2,0)," ")</f>
        <v>Sedes mantenidas</v>
      </c>
      <c r="X305" s="127" t="str">
        <f>CONCATENATE(V305,"_",W305)</f>
        <v>016_Sedes mantenidas</v>
      </c>
      <c r="Y305" s="127" t="str">
        <f>CONCATENATE(U305," ",X305)</f>
        <v>08-Infraestructura física, mantenimiento y dotación (Sedes construidas, mantenidas reforzadas) 016_Sedes mantenidas</v>
      </c>
      <c r="Z305" s="178" t="str">
        <f>CONCATENATE(P305,Q305,R305,S305,V305)</f>
        <v>O23011745992024020708016</v>
      </c>
      <c r="AA305" s="178" t="str">
        <f>IFERROR(VLOOKUP(Y305,TD!$K$46:$L$64,2,0)," ")</f>
        <v>PM/0131/0108/45990160207</v>
      </c>
      <c r="AB305" s="177" t="s">
        <v>138</v>
      </c>
      <c r="AC305" s="179" t="s">
        <v>204</v>
      </c>
    </row>
    <row r="306" spans="2:29" s="28" customFormat="1" ht="74.25" customHeight="1" x14ac:dyDescent="0.35">
      <c r="B306" s="170">
        <v>20250451</v>
      </c>
      <c r="C306" s="171" t="s">
        <v>208</v>
      </c>
      <c r="D306" s="172" t="s">
        <v>166</v>
      </c>
      <c r="E306" s="173" t="s">
        <v>632</v>
      </c>
      <c r="F306" s="172" t="s">
        <v>645</v>
      </c>
      <c r="G306" s="172" t="s">
        <v>155</v>
      </c>
      <c r="H306" s="174" t="s">
        <v>700</v>
      </c>
      <c r="I306" s="175">
        <v>2</v>
      </c>
      <c r="J306" s="191">
        <v>11</v>
      </c>
      <c r="K306" s="192">
        <v>0</v>
      </c>
      <c r="L306" s="177">
        <v>63000000</v>
      </c>
      <c r="M306" s="172" t="s">
        <v>484</v>
      </c>
      <c r="N306" s="177" t="s">
        <v>701</v>
      </c>
      <c r="O306" s="173" t="s">
        <v>219</v>
      </c>
      <c r="P306" s="178" t="str">
        <f>IFERROR(VLOOKUP(C306,TD!$B$32:$F$36,2,0)," ")</f>
        <v>O230117</v>
      </c>
      <c r="Q306" s="178" t="str">
        <f>IFERROR(VLOOKUP(C306,TD!$B$32:$F$36,3,0)," ")</f>
        <v>4599</v>
      </c>
      <c r="R306" s="178">
        <f>IFERROR(VLOOKUP(C306,TD!$B$32:$F$36,4,0)," ")</f>
        <v>20240207</v>
      </c>
      <c r="S306" s="173" t="s">
        <v>185</v>
      </c>
      <c r="T306" s="178" t="str">
        <f>IFERROR(VLOOKUP(S306,TD!$J$33:$K$43,2,0)," ")</f>
        <v>Infraestructura física, mantenimiento y dotación (Sedes construidas, mantenidas reforzadas)</v>
      </c>
      <c r="U306" s="127" t="str">
        <f>CONCATENATE(S306,"-",T306)</f>
        <v>08-Infraestructura física, mantenimiento y dotación (Sedes construidas, mantenidas reforzadas)</v>
      </c>
      <c r="V306" s="173" t="s">
        <v>238</v>
      </c>
      <c r="W306" s="178" t="str">
        <f>IFERROR(VLOOKUP(V306,TD!$N$33:$O$45,2,0)," ")</f>
        <v>Sedes mantenidas</v>
      </c>
      <c r="X306" s="127" t="str">
        <f>CONCATENATE(V306,"_",W306)</f>
        <v>016_Sedes mantenidas</v>
      </c>
      <c r="Y306" s="127" t="str">
        <f>CONCATENATE(U306," ",X306)</f>
        <v>08-Infraestructura física, mantenimiento y dotación (Sedes construidas, mantenidas reforzadas) 016_Sedes mantenidas</v>
      </c>
      <c r="Z306" s="178" t="str">
        <f>CONCATENATE(P306,Q306,R306,S306,V306)</f>
        <v>O23011745992024020708016</v>
      </c>
      <c r="AA306" s="178" t="str">
        <f>IFERROR(VLOOKUP(Y306,TD!$K$46:$L$64,2,0)," ")</f>
        <v>PM/0131/0108/45990160207</v>
      </c>
      <c r="AB306" s="177" t="s">
        <v>120</v>
      </c>
      <c r="AC306" s="179" t="s">
        <v>204</v>
      </c>
    </row>
    <row r="307" spans="2:29" s="28" customFormat="1" ht="74.25" customHeight="1" x14ac:dyDescent="0.35">
      <c r="B307" s="170">
        <v>20250452</v>
      </c>
      <c r="C307" s="171" t="s">
        <v>208</v>
      </c>
      <c r="D307" s="172" t="s">
        <v>166</v>
      </c>
      <c r="E307" s="173" t="s">
        <v>632</v>
      </c>
      <c r="F307" s="172" t="s">
        <v>668</v>
      </c>
      <c r="G307" s="172" t="s">
        <v>146</v>
      </c>
      <c r="H307" s="174" t="s">
        <v>848</v>
      </c>
      <c r="I307" s="175">
        <v>3</v>
      </c>
      <c r="J307" s="175">
        <v>8</v>
      </c>
      <c r="K307" s="176">
        <v>0</v>
      </c>
      <c r="L307" s="177">
        <v>60000000</v>
      </c>
      <c r="M307" s="172" t="s">
        <v>484</v>
      </c>
      <c r="N307" s="177" t="s">
        <v>704</v>
      </c>
      <c r="O307" s="173" t="s">
        <v>218</v>
      </c>
      <c r="P307" s="178" t="str">
        <f>IFERROR(VLOOKUP(C307,TD!$B$32:$F$36,2,0)," ")</f>
        <v>O230117</v>
      </c>
      <c r="Q307" s="178" t="str">
        <f>IFERROR(VLOOKUP(C307,TD!$B$32:$F$36,3,0)," ")</f>
        <v>4599</v>
      </c>
      <c r="R307" s="178">
        <f>IFERROR(VLOOKUP(C307,TD!$B$32:$F$36,4,0)," ")</f>
        <v>20240207</v>
      </c>
      <c r="S307" s="173" t="s">
        <v>185</v>
      </c>
      <c r="T307" s="178" t="str">
        <f>IFERROR(VLOOKUP(S307,TD!$J$33:$K$43,2,0)," ")</f>
        <v>Infraestructura física, mantenimiento y dotación (Sedes construidas, mantenidas reforzadas)</v>
      </c>
      <c r="U307" s="127" t="str">
        <f>CONCATENATE(S307,"-",T307)</f>
        <v>08-Infraestructura física, mantenimiento y dotación (Sedes construidas, mantenidas reforzadas)</v>
      </c>
      <c r="V307" s="173" t="s">
        <v>238</v>
      </c>
      <c r="W307" s="178" t="str">
        <f>IFERROR(VLOOKUP(V307,TD!$N$33:$O$45,2,0)," ")</f>
        <v>Sedes mantenidas</v>
      </c>
      <c r="X307" s="127" t="str">
        <f>CONCATENATE(V307,"_",W307)</f>
        <v>016_Sedes mantenidas</v>
      </c>
      <c r="Y307" s="127" t="str">
        <f>CONCATENATE(U307," ",X307)</f>
        <v>08-Infraestructura física, mantenimiento y dotación (Sedes construidas, mantenidas reforzadas) 016_Sedes mantenidas</v>
      </c>
      <c r="Z307" s="178" t="str">
        <f>CONCATENATE(P307,Q307,R307,S307,V307)</f>
        <v>O23011745992024020708016</v>
      </c>
      <c r="AA307" s="178" t="str">
        <f>IFERROR(VLOOKUP(Y307,TD!$K$46:$L$64,2,0)," ")</f>
        <v>PM/0131/0108/45990160207</v>
      </c>
      <c r="AB307" s="177" t="s">
        <v>778</v>
      </c>
      <c r="AC307" s="179" t="s">
        <v>204</v>
      </c>
    </row>
    <row r="308" spans="2:29" s="28" customFormat="1" ht="74.25" customHeight="1" x14ac:dyDescent="0.35">
      <c r="B308" s="170">
        <v>20250453</v>
      </c>
      <c r="C308" s="171" t="s">
        <v>208</v>
      </c>
      <c r="D308" s="172" t="s">
        <v>166</v>
      </c>
      <c r="E308" s="173" t="s">
        <v>632</v>
      </c>
      <c r="F308" s="172" t="s">
        <v>669</v>
      </c>
      <c r="G308" s="172" t="s">
        <v>146</v>
      </c>
      <c r="H308" s="174" t="s">
        <v>847</v>
      </c>
      <c r="I308" s="175">
        <v>3</v>
      </c>
      <c r="J308" s="175">
        <v>8</v>
      </c>
      <c r="K308" s="176">
        <v>0</v>
      </c>
      <c r="L308" s="177">
        <v>60000000</v>
      </c>
      <c r="M308" s="172" t="s">
        <v>484</v>
      </c>
      <c r="N308" s="177" t="s">
        <v>704</v>
      </c>
      <c r="O308" s="173" t="s">
        <v>218</v>
      </c>
      <c r="P308" s="178" t="str">
        <f>IFERROR(VLOOKUP(C308,TD!$B$32:$F$36,2,0)," ")</f>
        <v>O230117</v>
      </c>
      <c r="Q308" s="178" t="str">
        <f>IFERROR(VLOOKUP(C308,TD!$B$32:$F$36,3,0)," ")</f>
        <v>4599</v>
      </c>
      <c r="R308" s="178">
        <f>IFERROR(VLOOKUP(C308,TD!$B$32:$F$36,4,0)," ")</f>
        <v>20240207</v>
      </c>
      <c r="S308" s="173" t="s">
        <v>185</v>
      </c>
      <c r="T308" s="178" t="str">
        <f>IFERROR(VLOOKUP(S308,TD!$J$33:$K$43,2,0)," ")</f>
        <v>Infraestructura física, mantenimiento y dotación (Sedes construidas, mantenidas reforzadas)</v>
      </c>
      <c r="U308" s="127" t="str">
        <f>CONCATENATE(S308,"-",T308)</f>
        <v>08-Infraestructura física, mantenimiento y dotación (Sedes construidas, mantenidas reforzadas)</v>
      </c>
      <c r="V308" s="173" t="s">
        <v>238</v>
      </c>
      <c r="W308" s="178" t="str">
        <f>IFERROR(VLOOKUP(V308,TD!$N$33:$O$45,2,0)," ")</f>
        <v>Sedes mantenidas</v>
      </c>
      <c r="X308" s="127" t="str">
        <f>CONCATENATE(V308,"_",W308)</f>
        <v>016_Sedes mantenidas</v>
      </c>
      <c r="Y308" s="127" t="str">
        <f>CONCATENATE(U308," ",X308)</f>
        <v>08-Infraestructura física, mantenimiento y dotación (Sedes construidas, mantenidas reforzadas) 016_Sedes mantenidas</v>
      </c>
      <c r="Z308" s="178" t="str">
        <f>CONCATENATE(P308,Q308,R308,S308,V308)</f>
        <v>O23011745992024020708016</v>
      </c>
      <c r="AA308" s="178" t="str">
        <f>IFERROR(VLOOKUP(Y308,TD!$K$46:$L$64,2,0)," ")</f>
        <v>PM/0131/0108/45990160207</v>
      </c>
      <c r="AB308" s="177" t="s">
        <v>778</v>
      </c>
      <c r="AC308" s="179" t="s">
        <v>204</v>
      </c>
    </row>
    <row r="309" spans="2:29" s="28" customFormat="1" ht="74.25" customHeight="1" x14ac:dyDescent="0.35">
      <c r="B309" s="170">
        <v>20250454</v>
      </c>
      <c r="C309" s="171" t="s">
        <v>208</v>
      </c>
      <c r="D309" s="172" t="s">
        <v>166</v>
      </c>
      <c r="E309" s="173" t="s">
        <v>632</v>
      </c>
      <c r="F309" s="172" t="s">
        <v>705</v>
      </c>
      <c r="G309" s="172" t="s">
        <v>146</v>
      </c>
      <c r="H309" s="174" t="s">
        <v>706</v>
      </c>
      <c r="I309" s="175">
        <v>8</v>
      </c>
      <c r="J309" s="175">
        <v>8</v>
      </c>
      <c r="K309" s="176">
        <v>0</v>
      </c>
      <c r="L309" s="177">
        <v>12000000</v>
      </c>
      <c r="M309" s="172" t="s">
        <v>484</v>
      </c>
      <c r="N309" s="177" t="s">
        <v>95</v>
      </c>
      <c r="O309" s="173" t="s">
        <v>218</v>
      </c>
      <c r="P309" s="178" t="str">
        <f>IFERROR(VLOOKUP(C309,TD!$B$32:$F$36,2,0)," ")</f>
        <v>O230117</v>
      </c>
      <c r="Q309" s="178" t="str">
        <f>IFERROR(VLOOKUP(C309,TD!$B$32:$F$36,3,0)," ")</f>
        <v>4599</v>
      </c>
      <c r="R309" s="178">
        <f>IFERROR(VLOOKUP(C309,TD!$B$32:$F$36,4,0)," ")</f>
        <v>20240207</v>
      </c>
      <c r="S309" s="173" t="s">
        <v>185</v>
      </c>
      <c r="T309" s="178" t="str">
        <f>IFERROR(VLOOKUP(S309,TD!$J$33:$K$43,2,0)," ")</f>
        <v>Infraestructura física, mantenimiento y dotación (Sedes construidas, mantenidas reforzadas)</v>
      </c>
      <c r="U309" s="127" t="str">
        <f>CONCATENATE(S309,"-",T309)</f>
        <v>08-Infraestructura física, mantenimiento y dotación (Sedes construidas, mantenidas reforzadas)</v>
      </c>
      <c r="V309" s="173" t="s">
        <v>238</v>
      </c>
      <c r="W309" s="178" t="str">
        <f>IFERROR(VLOOKUP(V309,TD!$N$33:$O$45,2,0)," ")</f>
        <v>Sedes mantenidas</v>
      </c>
      <c r="X309" s="127" t="str">
        <f>CONCATENATE(V309,"_",W309)</f>
        <v>016_Sedes mantenidas</v>
      </c>
      <c r="Y309" s="127" t="str">
        <f>CONCATENATE(U309," ",X309)</f>
        <v>08-Infraestructura física, mantenimiento y dotación (Sedes construidas, mantenidas reforzadas) 016_Sedes mantenidas</v>
      </c>
      <c r="Z309" s="178" t="str">
        <f>CONCATENATE(P309,Q309,R309,S309,V309)</f>
        <v>O23011745992024020708016</v>
      </c>
      <c r="AA309" s="178" t="str">
        <f>IFERROR(VLOOKUP(Y309,TD!$K$46:$L$64,2,0)," ")</f>
        <v>PM/0131/0108/45990160207</v>
      </c>
      <c r="AB309" s="177" t="s">
        <v>778</v>
      </c>
      <c r="AC309" s="179" t="s">
        <v>204</v>
      </c>
    </row>
    <row r="310" spans="2:29" s="28" customFormat="1" ht="74.25" customHeight="1" x14ac:dyDescent="0.35">
      <c r="B310" s="170">
        <v>20250455</v>
      </c>
      <c r="C310" s="171" t="s">
        <v>208</v>
      </c>
      <c r="D310" s="172" t="s">
        <v>166</v>
      </c>
      <c r="E310" s="173" t="s">
        <v>632</v>
      </c>
      <c r="F310" s="172" t="s">
        <v>670</v>
      </c>
      <c r="G310" s="172" t="s">
        <v>146</v>
      </c>
      <c r="H310" s="174" t="s">
        <v>849</v>
      </c>
      <c r="I310" s="175">
        <v>8</v>
      </c>
      <c r="J310" s="175">
        <v>8</v>
      </c>
      <c r="K310" s="176">
        <v>0</v>
      </c>
      <c r="L310" s="177">
        <v>80000000</v>
      </c>
      <c r="M310" s="172" t="s">
        <v>484</v>
      </c>
      <c r="N310" s="177" t="s">
        <v>90</v>
      </c>
      <c r="O310" s="173" t="s">
        <v>218</v>
      </c>
      <c r="P310" s="178" t="str">
        <f>IFERROR(VLOOKUP(C310,TD!$B$32:$F$36,2,0)," ")</f>
        <v>O230117</v>
      </c>
      <c r="Q310" s="178" t="str">
        <f>IFERROR(VLOOKUP(C310,TD!$B$32:$F$36,3,0)," ")</f>
        <v>4599</v>
      </c>
      <c r="R310" s="178">
        <f>IFERROR(VLOOKUP(C310,TD!$B$32:$F$36,4,0)," ")</f>
        <v>20240207</v>
      </c>
      <c r="S310" s="173" t="s">
        <v>185</v>
      </c>
      <c r="T310" s="178" t="str">
        <f>IFERROR(VLOOKUP(S310,TD!$J$33:$K$43,2,0)," ")</f>
        <v>Infraestructura física, mantenimiento y dotación (Sedes construidas, mantenidas reforzadas)</v>
      </c>
      <c r="U310" s="127" t="str">
        <f>CONCATENATE(S310,"-",T310)</f>
        <v>08-Infraestructura física, mantenimiento y dotación (Sedes construidas, mantenidas reforzadas)</v>
      </c>
      <c r="V310" s="173" t="s">
        <v>238</v>
      </c>
      <c r="W310" s="178" t="str">
        <f>IFERROR(VLOOKUP(V310,TD!$N$33:$O$45,2,0)," ")</f>
        <v>Sedes mantenidas</v>
      </c>
      <c r="X310" s="127" t="str">
        <f>CONCATENATE(V310,"_",W310)</f>
        <v>016_Sedes mantenidas</v>
      </c>
      <c r="Y310" s="127" t="str">
        <f>CONCATENATE(U310," ",X310)</f>
        <v>08-Infraestructura física, mantenimiento y dotación (Sedes construidas, mantenidas reforzadas) 016_Sedes mantenidas</v>
      </c>
      <c r="Z310" s="178" t="str">
        <f>CONCATENATE(P310,Q310,R310,S310,V310)</f>
        <v>O23011745992024020708016</v>
      </c>
      <c r="AA310" s="178" t="str">
        <f>IFERROR(VLOOKUP(Y310,TD!$K$46:$L$64,2,0)," ")</f>
        <v>PM/0131/0108/45990160207</v>
      </c>
      <c r="AB310" s="177" t="s">
        <v>778</v>
      </c>
      <c r="AC310" s="179" t="s">
        <v>204</v>
      </c>
    </row>
    <row r="311" spans="2:29" s="28" customFormat="1" ht="74.25" customHeight="1" x14ac:dyDescent="0.35">
      <c r="B311" s="170">
        <v>20250456</v>
      </c>
      <c r="C311" s="171" t="s">
        <v>208</v>
      </c>
      <c r="D311" s="172" t="s">
        <v>166</v>
      </c>
      <c r="E311" s="173" t="s">
        <v>632</v>
      </c>
      <c r="F311" s="172" t="s">
        <v>672</v>
      </c>
      <c r="G311" s="172" t="s">
        <v>146</v>
      </c>
      <c r="H311" s="174" t="s">
        <v>707</v>
      </c>
      <c r="I311" s="175">
        <v>4</v>
      </c>
      <c r="J311" s="175">
        <v>10</v>
      </c>
      <c r="K311" s="176">
        <v>0</v>
      </c>
      <c r="L311" s="177">
        <v>70000000</v>
      </c>
      <c r="M311" s="172" t="s">
        <v>484</v>
      </c>
      <c r="N311" s="177" t="s">
        <v>90</v>
      </c>
      <c r="O311" s="173" t="s">
        <v>218</v>
      </c>
      <c r="P311" s="178" t="str">
        <f>IFERROR(VLOOKUP(C311,TD!$B$32:$F$36,2,0)," ")</f>
        <v>O230117</v>
      </c>
      <c r="Q311" s="178" t="str">
        <f>IFERROR(VLOOKUP(C311,TD!$B$32:$F$36,3,0)," ")</f>
        <v>4599</v>
      </c>
      <c r="R311" s="178">
        <f>IFERROR(VLOOKUP(C311,TD!$B$32:$F$36,4,0)," ")</f>
        <v>20240207</v>
      </c>
      <c r="S311" s="173" t="s">
        <v>185</v>
      </c>
      <c r="T311" s="178" t="str">
        <f>IFERROR(VLOOKUP(S311,TD!$J$33:$K$43,2,0)," ")</f>
        <v>Infraestructura física, mantenimiento y dotación (Sedes construidas, mantenidas reforzadas)</v>
      </c>
      <c r="U311" s="127" t="str">
        <f>CONCATENATE(S311,"-",T311)</f>
        <v>08-Infraestructura física, mantenimiento y dotación (Sedes construidas, mantenidas reforzadas)</v>
      </c>
      <c r="V311" s="173" t="s">
        <v>238</v>
      </c>
      <c r="W311" s="178" t="str">
        <f>IFERROR(VLOOKUP(V311,TD!$N$33:$O$45,2,0)," ")</f>
        <v>Sedes mantenidas</v>
      </c>
      <c r="X311" s="127" t="str">
        <f>CONCATENATE(V311,"_",W311)</f>
        <v>016_Sedes mantenidas</v>
      </c>
      <c r="Y311" s="127" t="str">
        <f>CONCATENATE(U311," ",X311)</f>
        <v>08-Infraestructura física, mantenimiento y dotación (Sedes construidas, mantenidas reforzadas) 016_Sedes mantenidas</v>
      </c>
      <c r="Z311" s="178" t="str">
        <f>CONCATENATE(P311,Q311,R311,S311,V311)</f>
        <v>O23011745992024020708016</v>
      </c>
      <c r="AA311" s="178" t="str">
        <f>IFERROR(VLOOKUP(Y311,TD!$K$46:$L$64,2,0)," ")</f>
        <v>PM/0131/0108/45990160207</v>
      </c>
      <c r="AB311" s="177" t="s">
        <v>778</v>
      </c>
      <c r="AC311" s="179" t="s">
        <v>204</v>
      </c>
    </row>
    <row r="312" spans="2:29" s="28" customFormat="1" ht="74.25" customHeight="1" x14ac:dyDescent="0.35">
      <c r="B312" s="170">
        <v>20250457</v>
      </c>
      <c r="C312" s="171" t="s">
        <v>208</v>
      </c>
      <c r="D312" s="172" t="s">
        <v>166</v>
      </c>
      <c r="E312" s="173" t="s">
        <v>632</v>
      </c>
      <c r="F312" s="172" t="s">
        <v>708</v>
      </c>
      <c r="G312" s="172" t="s">
        <v>146</v>
      </c>
      <c r="H312" s="174" t="s">
        <v>709</v>
      </c>
      <c r="I312" s="175">
        <v>1</v>
      </c>
      <c r="J312" s="175">
        <v>9</v>
      </c>
      <c r="K312" s="176">
        <v>0</v>
      </c>
      <c r="L312" s="177">
        <v>100000000</v>
      </c>
      <c r="M312" s="172" t="s">
        <v>484</v>
      </c>
      <c r="N312" s="177" t="s">
        <v>90</v>
      </c>
      <c r="O312" s="173" t="s">
        <v>218</v>
      </c>
      <c r="P312" s="178" t="str">
        <f>IFERROR(VLOOKUP(C312,TD!$B$32:$F$36,2,0)," ")</f>
        <v>O230117</v>
      </c>
      <c r="Q312" s="178" t="str">
        <f>IFERROR(VLOOKUP(C312,TD!$B$32:$F$36,3,0)," ")</f>
        <v>4599</v>
      </c>
      <c r="R312" s="178">
        <f>IFERROR(VLOOKUP(C312,TD!$B$32:$F$36,4,0)," ")</f>
        <v>20240207</v>
      </c>
      <c r="S312" s="173" t="s">
        <v>185</v>
      </c>
      <c r="T312" s="178" t="str">
        <f>IFERROR(VLOOKUP(S312,TD!$J$33:$K$43,2,0)," ")</f>
        <v>Infraestructura física, mantenimiento y dotación (Sedes construidas, mantenidas reforzadas)</v>
      </c>
      <c r="U312" s="127" t="str">
        <f>CONCATENATE(S312,"-",T312)</f>
        <v>08-Infraestructura física, mantenimiento y dotación (Sedes construidas, mantenidas reforzadas)</v>
      </c>
      <c r="V312" s="173" t="s">
        <v>238</v>
      </c>
      <c r="W312" s="178" t="str">
        <f>IFERROR(VLOOKUP(V312,TD!$N$33:$O$45,2,0)," ")</f>
        <v>Sedes mantenidas</v>
      </c>
      <c r="X312" s="127" t="str">
        <f>CONCATENATE(V312,"_",W312)</f>
        <v>016_Sedes mantenidas</v>
      </c>
      <c r="Y312" s="127" t="str">
        <f>CONCATENATE(U312," ",X312)</f>
        <v>08-Infraestructura física, mantenimiento y dotación (Sedes construidas, mantenidas reforzadas) 016_Sedes mantenidas</v>
      </c>
      <c r="Z312" s="178" t="str">
        <f>CONCATENATE(P312,Q312,R312,S312,V312)</f>
        <v>O23011745992024020708016</v>
      </c>
      <c r="AA312" s="178" t="str">
        <f>IFERROR(VLOOKUP(Y312,TD!$K$46:$L$64,2,0)," ")</f>
        <v>PM/0131/0108/45990160207</v>
      </c>
      <c r="AB312" s="177" t="s">
        <v>778</v>
      </c>
      <c r="AC312" s="179" t="s">
        <v>204</v>
      </c>
    </row>
    <row r="313" spans="2:29" s="28" customFormat="1" ht="74.25" customHeight="1" x14ac:dyDescent="0.35">
      <c r="B313" s="170">
        <v>20250458</v>
      </c>
      <c r="C313" s="171" t="s">
        <v>208</v>
      </c>
      <c r="D313" s="172" t="s">
        <v>166</v>
      </c>
      <c r="E313" s="173" t="s">
        <v>632</v>
      </c>
      <c r="F313" s="172" t="s">
        <v>710</v>
      </c>
      <c r="G313" s="172" t="s">
        <v>155</v>
      </c>
      <c r="H313" s="174" t="s">
        <v>700</v>
      </c>
      <c r="I313" s="175">
        <v>2</v>
      </c>
      <c r="J313" s="175">
        <v>11</v>
      </c>
      <c r="K313" s="176">
        <v>0</v>
      </c>
      <c r="L313" s="177">
        <v>3798996</v>
      </c>
      <c r="M313" s="172" t="s">
        <v>484</v>
      </c>
      <c r="N313" s="177" t="s">
        <v>701</v>
      </c>
      <c r="O313" s="173" t="s">
        <v>218</v>
      </c>
      <c r="P313" s="178" t="str">
        <f>IFERROR(VLOOKUP(C313,TD!$B$32:$F$36,2,0)," ")</f>
        <v>O230117</v>
      </c>
      <c r="Q313" s="178" t="str">
        <f>IFERROR(VLOOKUP(C313,TD!$B$32:$F$36,3,0)," ")</f>
        <v>4599</v>
      </c>
      <c r="R313" s="178">
        <f>IFERROR(VLOOKUP(C313,TD!$B$32:$F$36,4,0)," ")</f>
        <v>20240207</v>
      </c>
      <c r="S313" s="173" t="s">
        <v>185</v>
      </c>
      <c r="T313" s="178" t="str">
        <f>IFERROR(VLOOKUP(S313,TD!$J$33:$K$43,2,0)," ")</f>
        <v>Infraestructura física, mantenimiento y dotación (Sedes construidas, mantenidas reforzadas)</v>
      </c>
      <c r="U313" s="127" t="str">
        <f>CONCATENATE(S313,"-",T313)</f>
        <v>08-Infraestructura física, mantenimiento y dotación (Sedes construidas, mantenidas reforzadas)</v>
      </c>
      <c r="V313" s="173" t="s">
        <v>238</v>
      </c>
      <c r="W313" s="178" t="str">
        <f>IFERROR(VLOOKUP(V313,TD!$N$33:$O$45,2,0)," ")</f>
        <v>Sedes mantenidas</v>
      </c>
      <c r="X313" s="127" t="str">
        <f>CONCATENATE(V313,"_",W313)</f>
        <v>016_Sedes mantenidas</v>
      </c>
      <c r="Y313" s="127" t="str">
        <f>CONCATENATE(U313," ",X313)</f>
        <v>08-Infraestructura física, mantenimiento y dotación (Sedes construidas, mantenidas reforzadas) 016_Sedes mantenidas</v>
      </c>
      <c r="Z313" s="178" t="str">
        <f>CONCATENATE(P313,Q313,R313,S313,V313)</f>
        <v>O23011745992024020708016</v>
      </c>
      <c r="AA313" s="178" t="str">
        <f>IFERROR(VLOOKUP(Y313,TD!$K$46:$L$64,2,0)," ")</f>
        <v>PM/0131/0108/45990160207</v>
      </c>
      <c r="AB313" s="177" t="s">
        <v>138</v>
      </c>
      <c r="AC313" s="179" t="s">
        <v>204</v>
      </c>
    </row>
    <row r="314" spans="2:29" s="28" customFormat="1" ht="74.25" customHeight="1" x14ac:dyDescent="0.35">
      <c r="B314" s="170">
        <v>20250459</v>
      </c>
      <c r="C314" s="171" t="s">
        <v>209</v>
      </c>
      <c r="D314" s="172" t="s">
        <v>166</v>
      </c>
      <c r="E314" s="173" t="s">
        <v>632</v>
      </c>
      <c r="F314" s="172" t="s">
        <v>850</v>
      </c>
      <c r="G314" s="172" t="s">
        <v>155</v>
      </c>
      <c r="H314" s="174" t="s">
        <v>700</v>
      </c>
      <c r="I314" s="175">
        <v>2</v>
      </c>
      <c r="J314" s="175">
        <v>11</v>
      </c>
      <c r="K314" s="176">
        <v>0</v>
      </c>
      <c r="L314" s="177">
        <v>93075136</v>
      </c>
      <c r="M314" s="172" t="s">
        <v>484</v>
      </c>
      <c r="N314" s="177" t="s">
        <v>701</v>
      </c>
      <c r="O314" s="173" t="s">
        <v>227</v>
      </c>
      <c r="P314" s="178" t="str">
        <f>IFERROR(VLOOKUP(C314,TD!$B$32:$F$36,2,0)," ")</f>
        <v>O230117</v>
      </c>
      <c r="Q314" s="178" t="str">
        <f>IFERROR(VLOOKUP(C314,TD!$B$32:$F$36,3,0)," ")</f>
        <v>4503</v>
      </c>
      <c r="R314" s="178">
        <f>IFERROR(VLOOKUP(C314,TD!$B$32:$F$36,4,0)," ")</f>
        <v>20240255</v>
      </c>
      <c r="S314" s="173" t="s">
        <v>185</v>
      </c>
      <c r="T314" s="178" t="str">
        <f>IFERROR(VLOOKUP(S314,TD!$J$33:$K$43,2,0)," ")</f>
        <v>Infraestructura física, mantenimiento y dotación (Sedes construidas, mantenidas reforzadas)</v>
      </c>
      <c r="U314" s="127" t="str">
        <f>CONCATENATE(S314,"-",T314)</f>
        <v>08-Infraestructura física, mantenimiento y dotación (Sedes construidas, mantenidas reforzadas)</v>
      </c>
      <c r="V314" s="173" t="s">
        <v>236</v>
      </c>
      <c r="W314" s="178" t="str">
        <f>IFERROR(VLOOKUP(V314,TD!$N$33:$O$45,2,0)," ")</f>
        <v>Estaciones de bomberos adecuadas</v>
      </c>
      <c r="X314" s="127" t="str">
        <f>CONCATENATE(V314,"_",W314)</f>
        <v>014_Estaciones de bomberos adecuadas</v>
      </c>
      <c r="Y314" s="127" t="str">
        <f>CONCATENATE(U314," ",X314)</f>
        <v>08-Infraestructura física, mantenimiento y dotación (Sedes construidas, mantenidas reforzadas) 014_Estaciones de bomberos adecuadas</v>
      </c>
      <c r="Z314" s="178" t="str">
        <f>CONCATENATE(P314,Q314,R314,S314,V314)</f>
        <v>O23011745032024025508014</v>
      </c>
      <c r="AA314" s="178" t="str">
        <f>IFERROR(VLOOKUP(Y314,TD!$K$46:$L$64,2,0)," ")</f>
        <v>PM/0131/0108/45030140255</v>
      </c>
      <c r="AB314" s="177" t="s">
        <v>777</v>
      </c>
      <c r="AC314" s="179" t="s">
        <v>204</v>
      </c>
    </row>
    <row r="315" spans="2:29" s="28" customFormat="1" ht="74.25" customHeight="1" x14ac:dyDescent="0.35">
      <c r="B315" s="170">
        <v>20250460</v>
      </c>
      <c r="C315" s="171" t="s">
        <v>209</v>
      </c>
      <c r="D315" s="172" t="s">
        <v>166</v>
      </c>
      <c r="E315" s="173" t="s">
        <v>632</v>
      </c>
      <c r="F315" s="172" t="s">
        <v>851</v>
      </c>
      <c r="G315" s="172" t="s">
        <v>155</v>
      </c>
      <c r="H315" s="174" t="s">
        <v>700</v>
      </c>
      <c r="I315" s="175">
        <v>2</v>
      </c>
      <c r="J315" s="175">
        <v>11</v>
      </c>
      <c r="K315" s="176">
        <v>0</v>
      </c>
      <c r="L315" s="177">
        <v>99918896</v>
      </c>
      <c r="M315" s="172" t="s">
        <v>484</v>
      </c>
      <c r="N315" s="177" t="s">
        <v>701</v>
      </c>
      <c r="O315" s="173" t="s">
        <v>227</v>
      </c>
      <c r="P315" s="178" t="str">
        <f>IFERROR(VLOOKUP(C315,TD!$B$32:$F$36,2,0)," ")</f>
        <v>O230117</v>
      </c>
      <c r="Q315" s="178" t="str">
        <f>IFERROR(VLOOKUP(C315,TD!$B$32:$F$36,3,0)," ")</f>
        <v>4503</v>
      </c>
      <c r="R315" s="178">
        <f>IFERROR(VLOOKUP(C315,TD!$B$32:$F$36,4,0)," ")</f>
        <v>20240255</v>
      </c>
      <c r="S315" s="173" t="s">
        <v>185</v>
      </c>
      <c r="T315" s="178" t="str">
        <f>IFERROR(VLOOKUP(S315,TD!$J$33:$K$43,2,0)," ")</f>
        <v>Infraestructura física, mantenimiento y dotación (Sedes construidas, mantenidas reforzadas)</v>
      </c>
      <c r="U315" s="127" t="str">
        <f>CONCATENATE(S315,"-",T315)</f>
        <v>08-Infraestructura física, mantenimiento y dotación (Sedes construidas, mantenidas reforzadas)</v>
      </c>
      <c r="V315" s="173" t="s">
        <v>236</v>
      </c>
      <c r="W315" s="178" t="str">
        <f>IFERROR(VLOOKUP(V315,TD!$N$33:$O$45,2,0)," ")</f>
        <v>Estaciones de bomberos adecuadas</v>
      </c>
      <c r="X315" s="127" t="str">
        <f>CONCATENATE(V315,"_",W315)</f>
        <v>014_Estaciones de bomberos adecuadas</v>
      </c>
      <c r="Y315" s="127" t="str">
        <f>CONCATENATE(U315," ",X315)</f>
        <v>08-Infraestructura física, mantenimiento y dotación (Sedes construidas, mantenidas reforzadas) 014_Estaciones de bomberos adecuadas</v>
      </c>
      <c r="Z315" s="178" t="str">
        <f>CONCATENATE(P315,Q315,R315,S315,V315)</f>
        <v>O23011745032024025508014</v>
      </c>
      <c r="AA315" s="178" t="str">
        <f>IFERROR(VLOOKUP(Y315,TD!$K$46:$L$64,2,0)," ")</f>
        <v>PM/0131/0108/45030140255</v>
      </c>
      <c r="AB315" s="177" t="s">
        <v>777</v>
      </c>
      <c r="AC315" s="179" t="s">
        <v>204</v>
      </c>
    </row>
    <row r="316" spans="2:29" s="28" customFormat="1" ht="74.25" customHeight="1" x14ac:dyDescent="0.35">
      <c r="B316" s="170">
        <v>20250461</v>
      </c>
      <c r="C316" s="171" t="s">
        <v>209</v>
      </c>
      <c r="D316" s="172" t="s">
        <v>166</v>
      </c>
      <c r="E316" s="173" t="s">
        <v>632</v>
      </c>
      <c r="F316" s="172" t="s">
        <v>851</v>
      </c>
      <c r="G316" s="172" t="s">
        <v>155</v>
      </c>
      <c r="H316" s="174" t="s">
        <v>700</v>
      </c>
      <c r="I316" s="175">
        <v>2</v>
      </c>
      <c r="J316" s="175">
        <v>11</v>
      </c>
      <c r="K316" s="176">
        <v>0</v>
      </c>
      <c r="L316" s="177">
        <v>93075136</v>
      </c>
      <c r="M316" s="172" t="s">
        <v>484</v>
      </c>
      <c r="N316" s="177" t="s">
        <v>701</v>
      </c>
      <c r="O316" s="173" t="s">
        <v>227</v>
      </c>
      <c r="P316" s="178" t="str">
        <f>IFERROR(VLOOKUP(C316,TD!$B$32:$F$36,2,0)," ")</f>
        <v>O230117</v>
      </c>
      <c r="Q316" s="178" t="str">
        <f>IFERROR(VLOOKUP(C316,TD!$B$32:$F$36,3,0)," ")</f>
        <v>4503</v>
      </c>
      <c r="R316" s="178">
        <f>IFERROR(VLOOKUP(C316,TD!$B$32:$F$36,4,0)," ")</f>
        <v>20240255</v>
      </c>
      <c r="S316" s="173" t="s">
        <v>185</v>
      </c>
      <c r="T316" s="178" t="str">
        <f>IFERROR(VLOOKUP(S316,TD!$J$33:$K$43,2,0)," ")</f>
        <v>Infraestructura física, mantenimiento y dotación (Sedes construidas, mantenidas reforzadas)</v>
      </c>
      <c r="U316" s="127" t="str">
        <f>CONCATENATE(S316,"-",T316)</f>
        <v>08-Infraestructura física, mantenimiento y dotación (Sedes construidas, mantenidas reforzadas)</v>
      </c>
      <c r="V316" s="173" t="s">
        <v>236</v>
      </c>
      <c r="W316" s="178" t="str">
        <f>IFERROR(VLOOKUP(V316,TD!$N$33:$O$45,2,0)," ")</f>
        <v>Estaciones de bomberos adecuadas</v>
      </c>
      <c r="X316" s="127" t="str">
        <f>CONCATENATE(V316,"_",W316)</f>
        <v>014_Estaciones de bomberos adecuadas</v>
      </c>
      <c r="Y316" s="127" t="str">
        <f>CONCATENATE(U316," ",X316)</f>
        <v>08-Infraestructura física, mantenimiento y dotación (Sedes construidas, mantenidas reforzadas) 014_Estaciones de bomberos adecuadas</v>
      </c>
      <c r="Z316" s="178" t="str">
        <f>CONCATENATE(P316,Q316,R316,S316,V316)</f>
        <v>O23011745032024025508014</v>
      </c>
      <c r="AA316" s="178" t="str">
        <f>IFERROR(VLOOKUP(Y316,TD!$K$46:$L$64,2,0)," ")</f>
        <v>PM/0131/0108/45030140255</v>
      </c>
      <c r="AB316" s="177" t="s">
        <v>777</v>
      </c>
      <c r="AC316" s="179" t="s">
        <v>204</v>
      </c>
    </row>
    <row r="317" spans="2:29" s="28" customFormat="1" ht="74.25" customHeight="1" x14ac:dyDescent="0.35">
      <c r="B317" s="170">
        <v>20250462</v>
      </c>
      <c r="C317" s="171" t="s">
        <v>208</v>
      </c>
      <c r="D317" s="172" t="s">
        <v>166</v>
      </c>
      <c r="E317" s="173" t="s">
        <v>632</v>
      </c>
      <c r="F317" s="172" t="s">
        <v>646</v>
      </c>
      <c r="G317" s="172" t="s">
        <v>155</v>
      </c>
      <c r="H317" s="174" t="s">
        <v>700</v>
      </c>
      <c r="I317" s="175">
        <v>2</v>
      </c>
      <c r="J317" s="175">
        <v>11</v>
      </c>
      <c r="K317" s="176">
        <v>0</v>
      </c>
      <c r="L317" s="177">
        <v>84700000</v>
      </c>
      <c r="M317" s="172" t="s">
        <v>484</v>
      </c>
      <c r="N317" s="177" t="s">
        <v>701</v>
      </c>
      <c r="O317" s="173" t="s">
        <v>218</v>
      </c>
      <c r="P317" s="178" t="str">
        <f>IFERROR(VLOOKUP(C317,TD!$B$32:$F$36,2,0)," ")</f>
        <v>O230117</v>
      </c>
      <c r="Q317" s="178" t="str">
        <f>IFERROR(VLOOKUP(C317,TD!$B$32:$F$36,3,0)," ")</f>
        <v>4599</v>
      </c>
      <c r="R317" s="178">
        <f>IFERROR(VLOOKUP(C317,TD!$B$32:$F$36,4,0)," ")</f>
        <v>20240207</v>
      </c>
      <c r="S317" s="173" t="s">
        <v>185</v>
      </c>
      <c r="T317" s="178" t="str">
        <f>IFERROR(VLOOKUP(S317,TD!$J$33:$K$43,2,0)," ")</f>
        <v>Infraestructura física, mantenimiento y dotación (Sedes construidas, mantenidas reforzadas)</v>
      </c>
      <c r="U317" s="127" t="str">
        <f>CONCATENATE(S317,"-",T317)</f>
        <v>08-Infraestructura física, mantenimiento y dotación (Sedes construidas, mantenidas reforzadas)</v>
      </c>
      <c r="V317" s="173" t="s">
        <v>238</v>
      </c>
      <c r="W317" s="178" t="str">
        <f>IFERROR(VLOOKUP(V317,TD!$N$33:$O$45,2,0)," ")</f>
        <v>Sedes mantenidas</v>
      </c>
      <c r="X317" s="127" t="str">
        <f>CONCATENATE(V317,"_",W317)</f>
        <v>016_Sedes mantenidas</v>
      </c>
      <c r="Y317" s="127" t="str">
        <f>CONCATENATE(U317," ",X317)</f>
        <v>08-Infraestructura física, mantenimiento y dotación (Sedes construidas, mantenidas reforzadas) 016_Sedes mantenidas</v>
      </c>
      <c r="Z317" s="178" t="str">
        <f>CONCATENATE(P317,Q317,R317,S317,V317)</f>
        <v>O23011745992024020708016</v>
      </c>
      <c r="AA317" s="178" t="str">
        <f>IFERROR(VLOOKUP(Y317,TD!$K$46:$L$64,2,0)," ")</f>
        <v>PM/0131/0108/45990160207</v>
      </c>
      <c r="AB317" s="177" t="s">
        <v>138</v>
      </c>
      <c r="AC317" s="179" t="s">
        <v>204</v>
      </c>
    </row>
    <row r="318" spans="2:29" s="28" customFormat="1" ht="74.25" customHeight="1" x14ac:dyDescent="0.35">
      <c r="B318" s="170">
        <v>20250463</v>
      </c>
      <c r="C318" s="171" t="s">
        <v>208</v>
      </c>
      <c r="D318" s="172" t="s">
        <v>166</v>
      </c>
      <c r="E318" s="173" t="s">
        <v>632</v>
      </c>
      <c r="F318" s="172" t="s">
        <v>711</v>
      </c>
      <c r="G318" s="172" t="s">
        <v>155</v>
      </c>
      <c r="H318" s="174" t="s">
        <v>700</v>
      </c>
      <c r="I318" s="175">
        <v>2</v>
      </c>
      <c r="J318" s="175">
        <v>11</v>
      </c>
      <c r="K318" s="176">
        <v>0</v>
      </c>
      <c r="L318" s="177">
        <v>112237664</v>
      </c>
      <c r="M318" s="172" t="s">
        <v>484</v>
      </c>
      <c r="N318" s="177" t="s">
        <v>701</v>
      </c>
      <c r="O318" s="173" t="s">
        <v>218</v>
      </c>
      <c r="P318" s="178" t="str">
        <f>IFERROR(VLOOKUP(C318,TD!$B$32:$F$36,2,0)," ")</f>
        <v>O230117</v>
      </c>
      <c r="Q318" s="178" t="str">
        <f>IFERROR(VLOOKUP(C318,TD!$B$32:$F$36,3,0)," ")</f>
        <v>4599</v>
      </c>
      <c r="R318" s="178">
        <f>IFERROR(VLOOKUP(C318,TD!$B$32:$F$36,4,0)," ")</f>
        <v>20240207</v>
      </c>
      <c r="S318" s="173" t="s">
        <v>185</v>
      </c>
      <c r="T318" s="178" t="str">
        <f>IFERROR(VLOOKUP(S318,TD!$J$33:$K$43,2,0)," ")</f>
        <v>Infraestructura física, mantenimiento y dotación (Sedes construidas, mantenidas reforzadas)</v>
      </c>
      <c r="U318" s="127" t="str">
        <f>CONCATENATE(S318,"-",T318)</f>
        <v>08-Infraestructura física, mantenimiento y dotación (Sedes construidas, mantenidas reforzadas)</v>
      </c>
      <c r="V318" s="173" t="s">
        <v>238</v>
      </c>
      <c r="W318" s="178" t="str">
        <f>IFERROR(VLOOKUP(V318,TD!$N$33:$O$45,2,0)," ")</f>
        <v>Sedes mantenidas</v>
      </c>
      <c r="X318" s="127" t="str">
        <f>CONCATENATE(V318,"_",W318)</f>
        <v>016_Sedes mantenidas</v>
      </c>
      <c r="Y318" s="127" t="str">
        <f>CONCATENATE(U318," ",X318)</f>
        <v>08-Infraestructura física, mantenimiento y dotación (Sedes construidas, mantenidas reforzadas) 016_Sedes mantenidas</v>
      </c>
      <c r="Z318" s="178" t="str">
        <f>CONCATENATE(P318,Q318,R318,S318,V318)</f>
        <v>O23011745992024020708016</v>
      </c>
      <c r="AA318" s="178" t="str">
        <f>IFERROR(VLOOKUP(Y318,TD!$K$46:$L$64,2,0)," ")</f>
        <v>PM/0131/0108/45990160207</v>
      </c>
      <c r="AB318" s="177" t="s">
        <v>138</v>
      </c>
      <c r="AC318" s="179" t="s">
        <v>204</v>
      </c>
    </row>
    <row r="319" spans="2:29" s="28" customFormat="1" ht="74.25" customHeight="1" x14ac:dyDescent="0.35">
      <c r="B319" s="170">
        <v>20250464</v>
      </c>
      <c r="C319" s="171" t="s">
        <v>208</v>
      </c>
      <c r="D319" s="172" t="s">
        <v>166</v>
      </c>
      <c r="E319" s="173" t="s">
        <v>632</v>
      </c>
      <c r="F319" s="172" t="s">
        <v>647</v>
      </c>
      <c r="G319" s="172" t="s">
        <v>155</v>
      </c>
      <c r="H319" s="174" t="s">
        <v>700</v>
      </c>
      <c r="I319" s="175">
        <v>2</v>
      </c>
      <c r="J319" s="175">
        <v>11</v>
      </c>
      <c r="K319" s="176">
        <v>0</v>
      </c>
      <c r="L319" s="177">
        <v>99918896</v>
      </c>
      <c r="M319" s="172" t="s">
        <v>484</v>
      </c>
      <c r="N319" s="177" t="s">
        <v>701</v>
      </c>
      <c r="O319" s="173" t="s">
        <v>218</v>
      </c>
      <c r="P319" s="178" t="str">
        <f>IFERROR(VLOOKUP(C319,TD!$B$32:$F$36,2,0)," ")</f>
        <v>O230117</v>
      </c>
      <c r="Q319" s="178" t="str">
        <f>IFERROR(VLOOKUP(C319,TD!$B$32:$F$36,3,0)," ")</f>
        <v>4599</v>
      </c>
      <c r="R319" s="178">
        <f>IFERROR(VLOOKUP(C319,TD!$B$32:$F$36,4,0)," ")</f>
        <v>20240207</v>
      </c>
      <c r="S319" s="173" t="s">
        <v>185</v>
      </c>
      <c r="T319" s="178" t="str">
        <f>IFERROR(VLOOKUP(S319,TD!$J$33:$K$43,2,0)," ")</f>
        <v>Infraestructura física, mantenimiento y dotación (Sedes construidas, mantenidas reforzadas)</v>
      </c>
      <c r="U319" s="127" t="str">
        <f>CONCATENATE(S319,"-",T319)</f>
        <v>08-Infraestructura física, mantenimiento y dotación (Sedes construidas, mantenidas reforzadas)</v>
      </c>
      <c r="V319" s="173" t="s">
        <v>238</v>
      </c>
      <c r="W319" s="178" t="str">
        <f>IFERROR(VLOOKUP(V319,TD!$N$33:$O$45,2,0)," ")</f>
        <v>Sedes mantenidas</v>
      </c>
      <c r="X319" s="127" t="str">
        <f>CONCATENATE(V319,"_",W319)</f>
        <v>016_Sedes mantenidas</v>
      </c>
      <c r="Y319" s="127" t="str">
        <f>CONCATENATE(U319," ",X319)</f>
        <v>08-Infraestructura física, mantenimiento y dotación (Sedes construidas, mantenidas reforzadas) 016_Sedes mantenidas</v>
      </c>
      <c r="Z319" s="178" t="str">
        <f>CONCATENATE(P319,Q319,R319,S319,V319)</f>
        <v>O23011745992024020708016</v>
      </c>
      <c r="AA319" s="178" t="str">
        <f>IFERROR(VLOOKUP(Y319,TD!$K$46:$L$64,2,0)," ")</f>
        <v>PM/0131/0108/45990160207</v>
      </c>
      <c r="AB319" s="177" t="s">
        <v>138</v>
      </c>
      <c r="AC319" s="179" t="s">
        <v>204</v>
      </c>
    </row>
    <row r="320" spans="2:29" s="28" customFormat="1" ht="74.25" customHeight="1" x14ac:dyDescent="0.35">
      <c r="B320" s="170">
        <v>20250465</v>
      </c>
      <c r="C320" s="171" t="s">
        <v>209</v>
      </c>
      <c r="D320" s="172" t="s">
        <v>166</v>
      </c>
      <c r="E320" s="173" t="s">
        <v>632</v>
      </c>
      <c r="F320" s="172" t="s">
        <v>843</v>
      </c>
      <c r="G320" s="172" t="s">
        <v>155</v>
      </c>
      <c r="H320" s="174" t="s">
        <v>700</v>
      </c>
      <c r="I320" s="175">
        <v>2</v>
      </c>
      <c r="J320" s="175">
        <v>11</v>
      </c>
      <c r="K320" s="176">
        <v>0</v>
      </c>
      <c r="L320" s="177">
        <v>72600000</v>
      </c>
      <c r="M320" s="172" t="s">
        <v>484</v>
      </c>
      <c r="N320" s="177" t="s">
        <v>701</v>
      </c>
      <c r="O320" s="173" t="s">
        <v>227</v>
      </c>
      <c r="P320" s="178" t="str">
        <f>IFERROR(VLOOKUP(C320,TD!$B$32:$F$36,2,0)," ")</f>
        <v>O230117</v>
      </c>
      <c r="Q320" s="178" t="str">
        <f>IFERROR(VLOOKUP(C320,TD!$B$32:$F$36,3,0)," ")</f>
        <v>4503</v>
      </c>
      <c r="R320" s="178">
        <f>IFERROR(VLOOKUP(C320,TD!$B$32:$F$36,4,0)," ")</f>
        <v>20240255</v>
      </c>
      <c r="S320" s="173" t="s">
        <v>185</v>
      </c>
      <c r="T320" s="178" t="str">
        <f>IFERROR(VLOOKUP(S320,TD!$J$33:$K$43,2,0)," ")</f>
        <v>Infraestructura física, mantenimiento y dotación (Sedes construidas, mantenidas reforzadas)</v>
      </c>
      <c r="U320" s="127" t="str">
        <f>CONCATENATE(S320,"-",T320)</f>
        <v>08-Infraestructura física, mantenimiento y dotación (Sedes construidas, mantenidas reforzadas)</v>
      </c>
      <c r="V320" s="173" t="s">
        <v>236</v>
      </c>
      <c r="W320" s="178" t="str">
        <f>IFERROR(VLOOKUP(V320,TD!$N$33:$O$45,2,0)," ")</f>
        <v>Estaciones de bomberos adecuadas</v>
      </c>
      <c r="X320" s="127" t="str">
        <f>CONCATENATE(V320,"_",W320)</f>
        <v>014_Estaciones de bomberos adecuadas</v>
      </c>
      <c r="Y320" s="127" t="str">
        <f>CONCATENATE(U320," ",X320)</f>
        <v>08-Infraestructura física, mantenimiento y dotación (Sedes construidas, mantenidas reforzadas) 014_Estaciones de bomberos adecuadas</v>
      </c>
      <c r="Z320" s="178" t="str">
        <f>CONCATENATE(P320,Q320,R320,S320,V320)</f>
        <v>O23011745032024025508014</v>
      </c>
      <c r="AA320" s="178" t="str">
        <f>IFERROR(VLOOKUP(Y320,TD!$K$46:$L$64,2,0)," ")</f>
        <v>PM/0131/0108/45030140255</v>
      </c>
      <c r="AB320" s="177" t="s">
        <v>120</v>
      </c>
      <c r="AC320" s="179" t="s">
        <v>204</v>
      </c>
    </row>
    <row r="321" spans="2:29" s="28" customFormat="1" ht="74.25" customHeight="1" x14ac:dyDescent="0.35">
      <c r="B321" s="170">
        <v>20250466</v>
      </c>
      <c r="C321" s="171" t="s">
        <v>208</v>
      </c>
      <c r="D321" s="172" t="s">
        <v>166</v>
      </c>
      <c r="E321" s="173" t="s">
        <v>632</v>
      </c>
      <c r="F321" s="172" t="s">
        <v>648</v>
      </c>
      <c r="G321" s="172" t="s">
        <v>155</v>
      </c>
      <c r="H321" s="174" t="s">
        <v>700</v>
      </c>
      <c r="I321" s="175">
        <v>2</v>
      </c>
      <c r="J321" s="175">
        <v>11</v>
      </c>
      <c r="K321" s="176">
        <v>0</v>
      </c>
      <c r="L321" s="177">
        <v>82280000</v>
      </c>
      <c r="M321" s="172" t="s">
        <v>484</v>
      </c>
      <c r="N321" s="177" t="s">
        <v>701</v>
      </c>
      <c r="O321" s="173" t="s">
        <v>218</v>
      </c>
      <c r="P321" s="178" t="str">
        <f>IFERROR(VLOOKUP(C321,TD!$B$32:$F$36,2,0)," ")</f>
        <v>O230117</v>
      </c>
      <c r="Q321" s="178" t="str">
        <f>IFERROR(VLOOKUP(C321,TD!$B$32:$F$36,3,0)," ")</f>
        <v>4599</v>
      </c>
      <c r="R321" s="178">
        <f>IFERROR(VLOOKUP(C321,TD!$B$32:$F$36,4,0)," ")</f>
        <v>20240207</v>
      </c>
      <c r="S321" s="173" t="s">
        <v>185</v>
      </c>
      <c r="T321" s="178" t="str">
        <f>IFERROR(VLOOKUP(S321,TD!$J$33:$K$43,2,0)," ")</f>
        <v>Infraestructura física, mantenimiento y dotación (Sedes construidas, mantenidas reforzadas)</v>
      </c>
      <c r="U321" s="127" t="str">
        <f>CONCATENATE(S321,"-",T321)</f>
        <v>08-Infraestructura física, mantenimiento y dotación (Sedes construidas, mantenidas reforzadas)</v>
      </c>
      <c r="V321" s="173" t="s">
        <v>238</v>
      </c>
      <c r="W321" s="178" t="str">
        <f>IFERROR(VLOOKUP(V321,TD!$N$33:$O$45,2,0)," ")</f>
        <v>Sedes mantenidas</v>
      </c>
      <c r="X321" s="127" t="str">
        <f>CONCATENATE(V321,"_",W321)</f>
        <v>016_Sedes mantenidas</v>
      </c>
      <c r="Y321" s="127" t="str">
        <f>CONCATENATE(U321," ",X321)</f>
        <v>08-Infraestructura física, mantenimiento y dotación (Sedes construidas, mantenidas reforzadas) 016_Sedes mantenidas</v>
      </c>
      <c r="Z321" s="178" t="str">
        <f>CONCATENATE(P321,Q321,R321,S321,V321)</f>
        <v>O23011745992024020708016</v>
      </c>
      <c r="AA321" s="178" t="str">
        <f>IFERROR(VLOOKUP(Y321,TD!$K$46:$L$64,2,0)," ")</f>
        <v>PM/0131/0108/45990160207</v>
      </c>
      <c r="AB321" s="177" t="s">
        <v>138</v>
      </c>
      <c r="AC321" s="179" t="s">
        <v>204</v>
      </c>
    </row>
    <row r="322" spans="2:29" s="28" customFormat="1" ht="74.25" customHeight="1" x14ac:dyDescent="0.35">
      <c r="B322" s="170">
        <v>20250467</v>
      </c>
      <c r="C322" s="171" t="s">
        <v>208</v>
      </c>
      <c r="D322" s="172" t="s">
        <v>166</v>
      </c>
      <c r="E322" s="173" t="s">
        <v>632</v>
      </c>
      <c r="F322" s="172" t="s">
        <v>649</v>
      </c>
      <c r="G322" s="172" t="s">
        <v>155</v>
      </c>
      <c r="H322" s="174" t="s">
        <v>700</v>
      </c>
      <c r="I322" s="175">
        <v>2</v>
      </c>
      <c r="J322" s="175">
        <v>11</v>
      </c>
      <c r="K322" s="176">
        <v>0</v>
      </c>
      <c r="L322" s="177">
        <v>82280000</v>
      </c>
      <c r="M322" s="172" t="s">
        <v>484</v>
      </c>
      <c r="N322" s="177" t="s">
        <v>701</v>
      </c>
      <c r="O322" s="173" t="s">
        <v>218</v>
      </c>
      <c r="P322" s="178" t="str">
        <f>IFERROR(VLOOKUP(C322,TD!$B$32:$F$36,2,0)," ")</f>
        <v>O230117</v>
      </c>
      <c r="Q322" s="178" t="str">
        <f>IFERROR(VLOOKUP(C322,TD!$B$32:$F$36,3,0)," ")</f>
        <v>4599</v>
      </c>
      <c r="R322" s="178">
        <f>IFERROR(VLOOKUP(C322,TD!$B$32:$F$36,4,0)," ")</f>
        <v>20240207</v>
      </c>
      <c r="S322" s="173" t="s">
        <v>185</v>
      </c>
      <c r="T322" s="178" t="str">
        <f>IFERROR(VLOOKUP(S322,TD!$J$33:$K$43,2,0)," ")</f>
        <v>Infraestructura física, mantenimiento y dotación (Sedes construidas, mantenidas reforzadas)</v>
      </c>
      <c r="U322" s="127" t="str">
        <f>CONCATENATE(S322,"-",T322)</f>
        <v>08-Infraestructura física, mantenimiento y dotación (Sedes construidas, mantenidas reforzadas)</v>
      </c>
      <c r="V322" s="173" t="s">
        <v>238</v>
      </c>
      <c r="W322" s="178" t="str">
        <f>IFERROR(VLOOKUP(V322,TD!$N$33:$O$45,2,0)," ")</f>
        <v>Sedes mantenidas</v>
      </c>
      <c r="X322" s="127" t="str">
        <f>CONCATENATE(V322,"_",W322)</f>
        <v>016_Sedes mantenidas</v>
      </c>
      <c r="Y322" s="127" t="str">
        <f>CONCATENATE(U322," ",X322)</f>
        <v>08-Infraestructura física, mantenimiento y dotación (Sedes construidas, mantenidas reforzadas) 016_Sedes mantenidas</v>
      </c>
      <c r="Z322" s="178" t="str">
        <f>CONCATENATE(P322,Q322,R322,S322,V322)</f>
        <v>O23011745992024020708016</v>
      </c>
      <c r="AA322" s="178" t="str">
        <f>IFERROR(VLOOKUP(Y322,TD!$K$46:$L$64,2,0)," ")</f>
        <v>PM/0131/0108/45990160207</v>
      </c>
      <c r="AB322" s="177" t="s">
        <v>138</v>
      </c>
      <c r="AC322" s="179" t="s">
        <v>204</v>
      </c>
    </row>
    <row r="323" spans="2:29" s="28" customFormat="1" ht="74.25" customHeight="1" x14ac:dyDescent="0.35">
      <c r="B323" s="170">
        <v>20250468</v>
      </c>
      <c r="C323" s="171" t="s">
        <v>208</v>
      </c>
      <c r="D323" s="172" t="s">
        <v>166</v>
      </c>
      <c r="E323" s="173" t="s">
        <v>632</v>
      </c>
      <c r="F323" s="172" t="s">
        <v>666</v>
      </c>
      <c r="G323" s="172" t="s">
        <v>155</v>
      </c>
      <c r="H323" s="174" t="s">
        <v>700</v>
      </c>
      <c r="I323" s="175">
        <v>2</v>
      </c>
      <c r="J323" s="175">
        <v>11</v>
      </c>
      <c r="K323" s="176">
        <v>0</v>
      </c>
      <c r="L323" s="177">
        <v>75281360</v>
      </c>
      <c r="M323" s="172" t="s">
        <v>484</v>
      </c>
      <c r="N323" s="177" t="s">
        <v>701</v>
      </c>
      <c r="O323" s="173" t="s">
        <v>218</v>
      </c>
      <c r="P323" s="178" t="str">
        <f>IFERROR(VLOOKUP(C323,TD!$B$32:$F$36,2,0)," ")</f>
        <v>O230117</v>
      </c>
      <c r="Q323" s="178" t="str">
        <f>IFERROR(VLOOKUP(C323,TD!$B$32:$F$36,3,0)," ")</f>
        <v>4599</v>
      </c>
      <c r="R323" s="178">
        <f>IFERROR(VLOOKUP(C323,TD!$B$32:$F$36,4,0)," ")</f>
        <v>20240207</v>
      </c>
      <c r="S323" s="173" t="s">
        <v>185</v>
      </c>
      <c r="T323" s="178" t="str">
        <f>IFERROR(VLOOKUP(S323,TD!$J$33:$K$43,2,0)," ")</f>
        <v>Infraestructura física, mantenimiento y dotación (Sedes construidas, mantenidas reforzadas)</v>
      </c>
      <c r="U323" s="127" t="str">
        <f>CONCATENATE(S323,"-",T323)</f>
        <v>08-Infraestructura física, mantenimiento y dotación (Sedes construidas, mantenidas reforzadas)</v>
      </c>
      <c r="V323" s="173" t="s">
        <v>238</v>
      </c>
      <c r="W323" s="178" t="str">
        <f>IFERROR(VLOOKUP(V323,TD!$N$33:$O$45,2,0)," ")</f>
        <v>Sedes mantenidas</v>
      </c>
      <c r="X323" s="127" t="str">
        <f>CONCATENATE(V323,"_",W323)</f>
        <v>016_Sedes mantenidas</v>
      </c>
      <c r="Y323" s="127" t="str">
        <f>CONCATENATE(U323," ",X323)</f>
        <v>08-Infraestructura física, mantenimiento y dotación (Sedes construidas, mantenidas reforzadas) 016_Sedes mantenidas</v>
      </c>
      <c r="Z323" s="178" t="str">
        <f>CONCATENATE(P323,Q323,R323,S323,V323)</f>
        <v>O23011745992024020708016</v>
      </c>
      <c r="AA323" s="178" t="str">
        <f>IFERROR(VLOOKUP(Y323,TD!$K$46:$L$64,2,0)," ")</f>
        <v>PM/0131/0108/45990160207</v>
      </c>
      <c r="AB323" s="177" t="s">
        <v>138</v>
      </c>
      <c r="AC323" s="179" t="s">
        <v>204</v>
      </c>
    </row>
    <row r="324" spans="2:29" s="28" customFormat="1" ht="74.25" customHeight="1" x14ac:dyDescent="0.35">
      <c r="B324" s="170">
        <v>20250469</v>
      </c>
      <c r="C324" s="171" t="s">
        <v>208</v>
      </c>
      <c r="D324" s="172" t="s">
        <v>166</v>
      </c>
      <c r="E324" s="173" t="s">
        <v>632</v>
      </c>
      <c r="F324" s="172" t="s">
        <v>852</v>
      </c>
      <c r="G324" s="172" t="s">
        <v>155</v>
      </c>
      <c r="H324" s="174" t="s">
        <v>700</v>
      </c>
      <c r="I324" s="175">
        <v>2</v>
      </c>
      <c r="J324" s="175">
        <v>11</v>
      </c>
      <c r="K324" s="176">
        <v>0</v>
      </c>
      <c r="L324" s="177">
        <v>112237664</v>
      </c>
      <c r="M324" s="172" t="s">
        <v>484</v>
      </c>
      <c r="N324" s="177" t="s">
        <v>701</v>
      </c>
      <c r="O324" s="173" t="s">
        <v>218</v>
      </c>
      <c r="P324" s="178" t="str">
        <f>IFERROR(VLOOKUP(C324,TD!$B$32:$F$36,2,0)," ")</f>
        <v>O230117</v>
      </c>
      <c r="Q324" s="178" t="str">
        <f>IFERROR(VLOOKUP(C324,TD!$B$32:$F$36,3,0)," ")</f>
        <v>4599</v>
      </c>
      <c r="R324" s="178">
        <f>IFERROR(VLOOKUP(C324,TD!$B$32:$F$36,4,0)," ")</f>
        <v>20240207</v>
      </c>
      <c r="S324" s="173" t="s">
        <v>185</v>
      </c>
      <c r="T324" s="178" t="str">
        <f>IFERROR(VLOOKUP(S324,TD!$J$33:$K$43,2,0)," ")</f>
        <v>Infraestructura física, mantenimiento y dotación (Sedes construidas, mantenidas reforzadas)</v>
      </c>
      <c r="U324" s="127" t="str">
        <f>CONCATENATE(S324,"-",T324)</f>
        <v>08-Infraestructura física, mantenimiento y dotación (Sedes construidas, mantenidas reforzadas)</v>
      </c>
      <c r="V324" s="173" t="s">
        <v>238</v>
      </c>
      <c r="W324" s="178" t="str">
        <f>IFERROR(VLOOKUP(V324,TD!$N$33:$O$45,2,0)," ")</f>
        <v>Sedes mantenidas</v>
      </c>
      <c r="X324" s="127" t="str">
        <f>CONCATENATE(V324,"_",W324)</f>
        <v>016_Sedes mantenidas</v>
      </c>
      <c r="Y324" s="127" t="str">
        <f>CONCATENATE(U324," ",X324)</f>
        <v>08-Infraestructura física, mantenimiento y dotación (Sedes construidas, mantenidas reforzadas) 016_Sedes mantenidas</v>
      </c>
      <c r="Z324" s="178" t="str">
        <f>CONCATENATE(P324,Q324,R324,S324,V324)</f>
        <v>O23011745992024020708016</v>
      </c>
      <c r="AA324" s="178" t="str">
        <f>IFERROR(VLOOKUP(Y324,TD!$K$46:$L$64,2,0)," ")</f>
        <v>PM/0131/0108/45990160207</v>
      </c>
      <c r="AB324" s="177" t="s">
        <v>120</v>
      </c>
      <c r="AC324" s="179" t="s">
        <v>204</v>
      </c>
    </row>
    <row r="325" spans="2:29" s="28" customFormat="1" ht="74.25" customHeight="1" x14ac:dyDescent="0.35">
      <c r="B325" s="170">
        <v>20250470</v>
      </c>
      <c r="C325" s="171" t="s">
        <v>208</v>
      </c>
      <c r="D325" s="172" t="s">
        <v>166</v>
      </c>
      <c r="E325" s="173" t="s">
        <v>632</v>
      </c>
      <c r="F325" s="172" t="s">
        <v>710</v>
      </c>
      <c r="G325" s="172" t="s">
        <v>155</v>
      </c>
      <c r="H325" s="174" t="s">
        <v>700</v>
      </c>
      <c r="I325" s="175">
        <v>2</v>
      </c>
      <c r="J325" s="175">
        <v>11</v>
      </c>
      <c r="K325" s="176">
        <v>0</v>
      </c>
      <c r="L325" s="177">
        <v>84700000</v>
      </c>
      <c r="M325" s="172" t="s">
        <v>484</v>
      </c>
      <c r="N325" s="177" t="s">
        <v>701</v>
      </c>
      <c r="O325" s="173" t="s">
        <v>218</v>
      </c>
      <c r="P325" s="178" t="str">
        <f>IFERROR(VLOOKUP(C325,TD!$B$32:$F$36,2,0)," ")</f>
        <v>O230117</v>
      </c>
      <c r="Q325" s="178" t="str">
        <f>IFERROR(VLOOKUP(C325,TD!$B$32:$F$36,3,0)," ")</f>
        <v>4599</v>
      </c>
      <c r="R325" s="178">
        <f>IFERROR(VLOOKUP(C325,TD!$B$32:$F$36,4,0)," ")</f>
        <v>20240207</v>
      </c>
      <c r="S325" s="173" t="s">
        <v>185</v>
      </c>
      <c r="T325" s="178" t="str">
        <f>IFERROR(VLOOKUP(S325,TD!$J$33:$K$43,2,0)," ")</f>
        <v>Infraestructura física, mantenimiento y dotación (Sedes construidas, mantenidas reforzadas)</v>
      </c>
      <c r="U325" s="127" t="str">
        <f>CONCATENATE(S325,"-",T325)</f>
        <v>08-Infraestructura física, mantenimiento y dotación (Sedes construidas, mantenidas reforzadas)</v>
      </c>
      <c r="V325" s="173" t="s">
        <v>238</v>
      </c>
      <c r="W325" s="178" t="str">
        <f>IFERROR(VLOOKUP(V325,TD!$N$33:$O$45,2,0)," ")</f>
        <v>Sedes mantenidas</v>
      </c>
      <c r="X325" s="127" t="str">
        <f>CONCATENATE(V325,"_",W325)</f>
        <v>016_Sedes mantenidas</v>
      </c>
      <c r="Y325" s="127" t="str">
        <f>CONCATENATE(U325," ",X325)</f>
        <v>08-Infraestructura física, mantenimiento y dotación (Sedes construidas, mantenidas reforzadas) 016_Sedes mantenidas</v>
      </c>
      <c r="Z325" s="178" t="str">
        <f>CONCATENATE(P325,Q325,R325,S325,V325)</f>
        <v>O23011745992024020708016</v>
      </c>
      <c r="AA325" s="178" t="str">
        <f>IFERROR(VLOOKUP(Y325,TD!$K$46:$L$64,2,0)," ")</f>
        <v>PM/0131/0108/45990160207</v>
      </c>
      <c r="AB325" s="177" t="s">
        <v>138</v>
      </c>
      <c r="AC325" s="179" t="s">
        <v>204</v>
      </c>
    </row>
    <row r="326" spans="2:29" s="28" customFormat="1" ht="74.25" customHeight="1" x14ac:dyDescent="0.35">
      <c r="B326" s="170">
        <v>20250471</v>
      </c>
      <c r="C326" s="171" t="s">
        <v>208</v>
      </c>
      <c r="D326" s="172" t="s">
        <v>166</v>
      </c>
      <c r="E326" s="173" t="s">
        <v>632</v>
      </c>
      <c r="F326" s="172" t="s">
        <v>652</v>
      </c>
      <c r="G326" s="172" t="s">
        <v>155</v>
      </c>
      <c r="H326" s="174" t="s">
        <v>700</v>
      </c>
      <c r="I326" s="175">
        <v>2</v>
      </c>
      <c r="J326" s="175">
        <v>11</v>
      </c>
      <c r="K326" s="176">
        <v>0</v>
      </c>
      <c r="L326" s="177">
        <v>58261500</v>
      </c>
      <c r="M326" s="172" t="s">
        <v>484</v>
      </c>
      <c r="N326" s="177" t="s">
        <v>701</v>
      </c>
      <c r="O326" s="173" t="s">
        <v>218</v>
      </c>
      <c r="P326" s="178" t="str">
        <f>IFERROR(VLOOKUP(C326,TD!$B$32:$F$36,2,0)," ")</f>
        <v>O230117</v>
      </c>
      <c r="Q326" s="178" t="str">
        <f>IFERROR(VLOOKUP(C326,TD!$B$32:$F$36,3,0)," ")</f>
        <v>4599</v>
      </c>
      <c r="R326" s="178">
        <f>IFERROR(VLOOKUP(C326,TD!$B$32:$F$36,4,0)," ")</f>
        <v>20240207</v>
      </c>
      <c r="S326" s="173" t="s">
        <v>185</v>
      </c>
      <c r="T326" s="178" t="str">
        <f>IFERROR(VLOOKUP(S326,TD!$J$33:$K$43,2,0)," ")</f>
        <v>Infraestructura física, mantenimiento y dotación (Sedes construidas, mantenidas reforzadas)</v>
      </c>
      <c r="U326" s="127" t="str">
        <f>CONCATENATE(S326,"-",T326)</f>
        <v>08-Infraestructura física, mantenimiento y dotación (Sedes construidas, mantenidas reforzadas)</v>
      </c>
      <c r="V326" s="173" t="s">
        <v>238</v>
      </c>
      <c r="W326" s="178" t="str">
        <f>IFERROR(VLOOKUP(V326,TD!$N$33:$O$45,2,0)," ")</f>
        <v>Sedes mantenidas</v>
      </c>
      <c r="X326" s="127" t="str">
        <f>CONCATENATE(V326,"_",W326)</f>
        <v>016_Sedes mantenidas</v>
      </c>
      <c r="Y326" s="127" t="str">
        <f>CONCATENATE(U326," ",X326)</f>
        <v>08-Infraestructura física, mantenimiento y dotación (Sedes construidas, mantenidas reforzadas) 016_Sedes mantenidas</v>
      </c>
      <c r="Z326" s="178" t="str">
        <f>CONCATENATE(P326,Q326,R326,S326,V326)</f>
        <v>O23011745992024020708016</v>
      </c>
      <c r="AA326" s="178" t="str">
        <f>IFERROR(VLOOKUP(Y326,TD!$K$46:$L$64,2,0)," ")</f>
        <v>PM/0131/0108/45990160207</v>
      </c>
      <c r="AB326" s="177" t="s">
        <v>138</v>
      </c>
      <c r="AC326" s="179" t="s">
        <v>204</v>
      </c>
    </row>
    <row r="327" spans="2:29" s="28" customFormat="1" ht="74.25" customHeight="1" x14ac:dyDescent="0.35">
      <c r="B327" s="170">
        <v>20250472</v>
      </c>
      <c r="C327" s="171" t="s">
        <v>208</v>
      </c>
      <c r="D327" s="172" t="s">
        <v>166</v>
      </c>
      <c r="E327" s="173" t="s">
        <v>632</v>
      </c>
      <c r="F327" s="172" t="s">
        <v>641</v>
      </c>
      <c r="G327" s="172" t="s">
        <v>156</v>
      </c>
      <c r="H327" s="174" t="s">
        <v>700</v>
      </c>
      <c r="I327" s="175">
        <v>2</v>
      </c>
      <c r="J327" s="175">
        <v>11</v>
      </c>
      <c r="K327" s="176">
        <v>0</v>
      </c>
      <c r="L327" s="177">
        <v>38325056</v>
      </c>
      <c r="M327" s="172" t="s">
        <v>484</v>
      </c>
      <c r="N327" s="177" t="s">
        <v>701</v>
      </c>
      <c r="O327" s="173" t="s">
        <v>218</v>
      </c>
      <c r="P327" s="178" t="str">
        <f>IFERROR(VLOOKUP(C327,TD!$B$32:$F$36,2,0)," ")</f>
        <v>O230117</v>
      </c>
      <c r="Q327" s="178" t="str">
        <f>IFERROR(VLOOKUP(C327,TD!$B$32:$F$36,3,0)," ")</f>
        <v>4599</v>
      </c>
      <c r="R327" s="178">
        <f>IFERROR(VLOOKUP(C327,TD!$B$32:$F$36,4,0)," ")</f>
        <v>20240207</v>
      </c>
      <c r="S327" s="173" t="s">
        <v>185</v>
      </c>
      <c r="T327" s="178" t="str">
        <f>IFERROR(VLOOKUP(S327,TD!$J$33:$K$43,2,0)," ")</f>
        <v>Infraestructura física, mantenimiento y dotación (Sedes construidas, mantenidas reforzadas)</v>
      </c>
      <c r="U327" s="127" t="str">
        <f>CONCATENATE(S327,"-",T327)</f>
        <v>08-Infraestructura física, mantenimiento y dotación (Sedes construidas, mantenidas reforzadas)</v>
      </c>
      <c r="V327" s="173" t="s">
        <v>238</v>
      </c>
      <c r="W327" s="178" t="str">
        <f>IFERROR(VLOOKUP(V327,TD!$N$33:$O$45,2,0)," ")</f>
        <v>Sedes mantenidas</v>
      </c>
      <c r="X327" s="127" t="str">
        <f>CONCATENATE(V327,"_",W327)</f>
        <v>016_Sedes mantenidas</v>
      </c>
      <c r="Y327" s="127" t="str">
        <f>CONCATENATE(U327," ",X327)</f>
        <v>08-Infraestructura física, mantenimiento y dotación (Sedes construidas, mantenidas reforzadas) 016_Sedes mantenidas</v>
      </c>
      <c r="Z327" s="178" t="str">
        <f>CONCATENATE(P327,Q327,R327,S327,V327)</f>
        <v>O23011745992024020708016</v>
      </c>
      <c r="AA327" s="178" t="str">
        <f>IFERROR(VLOOKUP(Y327,TD!$K$46:$L$64,2,0)," ")</f>
        <v>PM/0131/0108/45990160207</v>
      </c>
      <c r="AB327" s="177" t="s">
        <v>138</v>
      </c>
      <c r="AC327" s="179" t="s">
        <v>204</v>
      </c>
    </row>
    <row r="328" spans="2:29" s="28" customFormat="1" ht="74.25" customHeight="1" x14ac:dyDescent="0.35">
      <c r="B328" s="170">
        <v>20250473</v>
      </c>
      <c r="C328" s="171" t="s">
        <v>208</v>
      </c>
      <c r="D328" s="172" t="s">
        <v>166</v>
      </c>
      <c r="E328" s="173" t="s">
        <v>632</v>
      </c>
      <c r="F328" s="172" t="s">
        <v>653</v>
      </c>
      <c r="G328" s="172" t="s">
        <v>156</v>
      </c>
      <c r="H328" s="174" t="s">
        <v>700</v>
      </c>
      <c r="I328" s="175">
        <v>2</v>
      </c>
      <c r="J328" s="175">
        <v>0</v>
      </c>
      <c r="K328" s="176">
        <v>11</v>
      </c>
      <c r="L328" s="177">
        <v>33534424</v>
      </c>
      <c r="M328" s="172" t="s">
        <v>484</v>
      </c>
      <c r="N328" s="177" t="s">
        <v>701</v>
      </c>
      <c r="O328" s="173" t="s">
        <v>218</v>
      </c>
      <c r="P328" s="178" t="str">
        <f>IFERROR(VLOOKUP(C328,TD!$B$32:$F$36,2,0)," ")</f>
        <v>O230117</v>
      </c>
      <c r="Q328" s="178" t="str">
        <f>IFERROR(VLOOKUP(C328,TD!$B$32:$F$36,3,0)," ")</f>
        <v>4599</v>
      </c>
      <c r="R328" s="178">
        <f>IFERROR(VLOOKUP(C328,TD!$B$32:$F$36,4,0)," ")</f>
        <v>20240207</v>
      </c>
      <c r="S328" s="173" t="s">
        <v>185</v>
      </c>
      <c r="T328" s="178" t="str">
        <f>IFERROR(VLOOKUP(S328,TD!$J$33:$K$43,2,0)," ")</f>
        <v>Infraestructura física, mantenimiento y dotación (Sedes construidas, mantenidas reforzadas)</v>
      </c>
      <c r="U328" s="127" t="str">
        <f>CONCATENATE(S328,"-",T328)</f>
        <v>08-Infraestructura física, mantenimiento y dotación (Sedes construidas, mantenidas reforzadas)</v>
      </c>
      <c r="V328" s="173" t="s">
        <v>238</v>
      </c>
      <c r="W328" s="178" t="str">
        <f>IFERROR(VLOOKUP(V328,TD!$N$33:$O$45,2,0)," ")</f>
        <v>Sedes mantenidas</v>
      </c>
      <c r="X328" s="127" t="str">
        <f>CONCATENATE(V328,"_",W328)</f>
        <v>016_Sedes mantenidas</v>
      </c>
      <c r="Y328" s="127" t="str">
        <f>CONCATENATE(U328," ",X328)</f>
        <v>08-Infraestructura física, mantenimiento y dotación (Sedes construidas, mantenidas reforzadas) 016_Sedes mantenidas</v>
      </c>
      <c r="Z328" s="178" t="str">
        <f>CONCATENATE(P328,Q328,R328,S328,V328)</f>
        <v>O23011745992024020708016</v>
      </c>
      <c r="AA328" s="178" t="str">
        <f>IFERROR(VLOOKUP(Y328,TD!$K$46:$L$64,2,0)," ")</f>
        <v>PM/0131/0108/45990160207</v>
      </c>
      <c r="AB328" s="177" t="s">
        <v>138</v>
      </c>
      <c r="AC328" s="179" t="s">
        <v>204</v>
      </c>
    </row>
    <row r="329" spans="2:29" s="28" customFormat="1" ht="74.25" customHeight="1" x14ac:dyDescent="0.35">
      <c r="B329" s="170">
        <v>20250474</v>
      </c>
      <c r="C329" s="171" t="s">
        <v>208</v>
      </c>
      <c r="D329" s="172" t="s">
        <v>166</v>
      </c>
      <c r="E329" s="173" t="s">
        <v>632</v>
      </c>
      <c r="F329" s="172" t="s">
        <v>653</v>
      </c>
      <c r="G329" s="172" t="s">
        <v>156</v>
      </c>
      <c r="H329" s="174" t="s">
        <v>700</v>
      </c>
      <c r="I329" s="175">
        <v>2</v>
      </c>
      <c r="J329" s="175">
        <v>11</v>
      </c>
      <c r="K329" s="176">
        <v>0</v>
      </c>
      <c r="L329" s="177">
        <v>33534424</v>
      </c>
      <c r="M329" s="172" t="s">
        <v>484</v>
      </c>
      <c r="N329" s="177" t="s">
        <v>701</v>
      </c>
      <c r="O329" s="173" t="s">
        <v>218</v>
      </c>
      <c r="P329" s="178" t="str">
        <f>IFERROR(VLOOKUP(C329,TD!$B$32:$F$36,2,0)," ")</f>
        <v>O230117</v>
      </c>
      <c r="Q329" s="178" t="str">
        <f>IFERROR(VLOOKUP(C329,TD!$B$32:$F$36,3,0)," ")</f>
        <v>4599</v>
      </c>
      <c r="R329" s="178">
        <f>IFERROR(VLOOKUP(C329,TD!$B$32:$F$36,4,0)," ")</f>
        <v>20240207</v>
      </c>
      <c r="S329" s="173" t="s">
        <v>185</v>
      </c>
      <c r="T329" s="178" t="str">
        <f>IFERROR(VLOOKUP(S329,TD!$J$33:$K$43,2,0)," ")</f>
        <v>Infraestructura física, mantenimiento y dotación (Sedes construidas, mantenidas reforzadas)</v>
      </c>
      <c r="U329" s="127" t="str">
        <f>CONCATENATE(S329,"-",T329)</f>
        <v>08-Infraestructura física, mantenimiento y dotación (Sedes construidas, mantenidas reforzadas)</v>
      </c>
      <c r="V329" s="173" t="s">
        <v>238</v>
      </c>
      <c r="W329" s="178" t="str">
        <f>IFERROR(VLOOKUP(V329,TD!$N$33:$O$45,2,0)," ")</f>
        <v>Sedes mantenidas</v>
      </c>
      <c r="X329" s="127" t="str">
        <f>CONCATENATE(V329,"_",W329)</f>
        <v>016_Sedes mantenidas</v>
      </c>
      <c r="Y329" s="127" t="str">
        <f>CONCATENATE(U329," ",X329)</f>
        <v>08-Infraestructura física, mantenimiento y dotación (Sedes construidas, mantenidas reforzadas) 016_Sedes mantenidas</v>
      </c>
      <c r="Z329" s="178" t="str">
        <f>CONCATENATE(P329,Q329,R329,S329,V329)</f>
        <v>O23011745992024020708016</v>
      </c>
      <c r="AA329" s="178" t="str">
        <f>IFERROR(VLOOKUP(Y329,TD!$K$46:$L$64,2,0)," ")</f>
        <v>PM/0131/0108/45990160207</v>
      </c>
      <c r="AB329" s="177" t="s">
        <v>138</v>
      </c>
      <c r="AC329" s="179" t="s">
        <v>204</v>
      </c>
    </row>
    <row r="330" spans="2:29" s="28" customFormat="1" ht="74.25" customHeight="1" x14ac:dyDescent="0.35">
      <c r="B330" s="170">
        <v>20250475</v>
      </c>
      <c r="C330" s="171" t="s">
        <v>208</v>
      </c>
      <c r="D330" s="172" t="s">
        <v>166</v>
      </c>
      <c r="E330" s="173" t="s">
        <v>632</v>
      </c>
      <c r="F330" s="172" t="s">
        <v>653</v>
      </c>
      <c r="G330" s="172" t="s">
        <v>156</v>
      </c>
      <c r="H330" s="174" t="s">
        <v>700</v>
      </c>
      <c r="I330" s="175">
        <v>2</v>
      </c>
      <c r="J330" s="175">
        <v>11</v>
      </c>
      <c r="K330" s="176">
        <v>0</v>
      </c>
      <c r="L330" s="177">
        <v>33534424</v>
      </c>
      <c r="M330" s="172" t="s">
        <v>484</v>
      </c>
      <c r="N330" s="177" t="s">
        <v>701</v>
      </c>
      <c r="O330" s="173" t="s">
        <v>218</v>
      </c>
      <c r="P330" s="178" t="str">
        <f>IFERROR(VLOOKUP(C330,TD!$B$32:$F$36,2,0)," ")</f>
        <v>O230117</v>
      </c>
      <c r="Q330" s="178" t="str">
        <f>IFERROR(VLOOKUP(C330,TD!$B$32:$F$36,3,0)," ")</f>
        <v>4599</v>
      </c>
      <c r="R330" s="178">
        <f>IFERROR(VLOOKUP(C330,TD!$B$32:$F$36,4,0)," ")</f>
        <v>20240207</v>
      </c>
      <c r="S330" s="173" t="s">
        <v>185</v>
      </c>
      <c r="T330" s="178" t="str">
        <f>IFERROR(VLOOKUP(S330,TD!$J$33:$K$43,2,0)," ")</f>
        <v>Infraestructura física, mantenimiento y dotación (Sedes construidas, mantenidas reforzadas)</v>
      </c>
      <c r="U330" s="127" t="str">
        <f>CONCATENATE(S330,"-",T330)</f>
        <v>08-Infraestructura física, mantenimiento y dotación (Sedes construidas, mantenidas reforzadas)</v>
      </c>
      <c r="V330" s="173" t="s">
        <v>238</v>
      </c>
      <c r="W330" s="178" t="str">
        <f>IFERROR(VLOOKUP(V330,TD!$N$33:$O$45,2,0)," ")</f>
        <v>Sedes mantenidas</v>
      </c>
      <c r="X330" s="127" t="str">
        <f>CONCATENATE(V330,"_",W330)</f>
        <v>016_Sedes mantenidas</v>
      </c>
      <c r="Y330" s="127" t="str">
        <f>CONCATENATE(U330," ",X330)</f>
        <v>08-Infraestructura física, mantenimiento y dotación (Sedes construidas, mantenidas reforzadas) 016_Sedes mantenidas</v>
      </c>
      <c r="Z330" s="178" t="str">
        <f>CONCATENATE(P330,Q330,R330,S330,V330)</f>
        <v>O23011745992024020708016</v>
      </c>
      <c r="AA330" s="178" t="str">
        <f>IFERROR(VLOOKUP(Y330,TD!$K$46:$L$64,2,0)," ")</f>
        <v>PM/0131/0108/45990160207</v>
      </c>
      <c r="AB330" s="177" t="s">
        <v>138</v>
      </c>
      <c r="AC330" s="179" t="s">
        <v>204</v>
      </c>
    </row>
    <row r="331" spans="2:29" s="28" customFormat="1" ht="74.25" customHeight="1" x14ac:dyDescent="0.35">
      <c r="B331" s="170">
        <v>20250476</v>
      </c>
      <c r="C331" s="171" t="s">
        <v>208</v>
      </c>
      <c r="D331" s="172" t="s">
        <v>166</v>
      </c>
      <c r="E331" s="173" t="s">
        <v>632</v>
      </c>
      <c r="F331" s="172" t="s">
        <v>654</v>
      </c>
      <c r="G331" s="172" t="s">
        <v>155</v>
      </c>
      <c r="H331" s="174" t="s">
        <v>700</v>
      </c>
      <c r="I331" s="175">
        <v>2</v>
      </c>
      <c r="J331" s="175">
        <v>11</v>
      </c>
      <c r="K331" s="176">
        <v>0</v>
      </c>
      <c r="L331" s="177">
        <v>60500000</v>
      </c>
      <c r="M331" s="172" t="s">
        <v>484</v>
      </c>
      <c r="N331" s="177" t="s">
        <v>701</v>
      </c>
      <c r="O331" s="173" t="s">
        <v>218</v>
      </c>
      <c r="P331" s="178" t="str">
        <f>IFERROR(VLOOKUP(C331,TD!$B$32:$F$36,2,0)," ")</f>
        <v>O230117</v>
      </c>
      <c r="Q331" s="178" t="str">
        <f>IFERROR(VLOOKUP(C331,TD!$B$32:$F$36,3,0)," ")</f>
        <v>4599</v>
      </c>
      <c r="R331" s="178">
        <f>IFERROR(VLOOKUP(C331,TD!$B$32:$F$36,4,0)," ")</f>
        <v>20240207</v>
      </c>
      <c r="S331" s="173" t="s">
        <v>185</v>
      </c>
      <c r="T331" s="178" t="str">
        <f>IFERROR(VLOOKUP(S331,TD!$J$33:$K$43,2,0)," ")</f>
        <v>Infraestructura física, mantenimiento y dotación (Sedes construidas, mantenidas reforzadas)</v>
      </c>
      <c r="U331" s="127" t="str">
        <f>CONCATENATE(S331,"-",T331)</f>
        <v>08-Infraestructura física, mantenimiento y dotación (Sedes construidas, mantenidas reforzadas)</v>
      </c>
      <c r="V331" s="173" t="s">
        <v>238</v>
      </c>
      <c r="W331" s="178" t="str">
        <f>IFERROR(VLOOKUP(V331,TD!$N$33:$O$45,2,0)," ")</f>
        <v>Sedes mantenidas</v>
      </c>
      <c r="X331" s="127" t="str">
        <f>CONCATENATE(V331,"_",W331)</f>
        <v>016_Sedes mantenidas</v>
      </c>
      <c r="Y331" s="127" t="str">
        <f>CONCATENATE(U331," ",X331)</f>
        <v>08-Infraestructura física, mantenimiento y dotación (Sedes construidas, mantenidas reforzadas) 016_Sedes mantenidas</v>
      </c>
      <c r="Z331" s="178" t="str">
        <f>CONCATENATE(P331,Q331,R331,S331,V331)</f>
        <v>O23011745992024020708016</v>
      </c>
      <c r="AA331" s="178" t="str">
        <f>IFERROR(VLOOKUP(Y331,TD!$K$46:$L$64,2,0)," ")</f>
        <v>PM/0131/0108/45990160207</v>
      </c>
      <c r="AB331" s="177" t="s">
        <v>138</v>
      </c>
      <c r="AC331" s="179" t="s">
        <v>204</v>
      </c>
    </row>
    <row r="332" spans="2:29" s="28" customFormat="1" ht="74.25" customHeight="1" x14ac:dyDescent="0.35">
      <c r="B332" s="170">
        <v>20250477</v>
      </c>
      <c r="C332" s="171" t="s">
        <v>208</v>
      </c>
      <c r="D332" s="172" t="s">
        <v>166</v>
      </c>
      <c r="E332" s="173" t="s">
        <v>632</v>
      </c>
      <c r="F332" s="172" t="s">
        <v>653</v>
      </c>
      <c r="G332" s="172" t="s">
        <v>156</v>
      </c>
      <c r="H332" s="174" t="s">
        <v>700</v>
      </c>
      <c r="I332" s="175">
        <v>2</v>
      </c>
      <c r="J332" s="175">
        <v>11</v>
      </c>
      <c r="K332" s="176">
        <v>0</v>
      </c>
      <c r="L332" s="177">
        <v>33534424</v>
      </c>
      <c r="M332" s="172" t="s">
        <v>484</v>
      </c>
      <c r="N332" s="177" t="s">
        <v>701</v>
      </c>
      <c r="O332" s="173" t="s">
        <v>218</v>
      </c>
      <c r="P332" s="178" t="str">
        <f>IFERROR(VLOOKUP(C332,TD!$B$32:$F$36,2,0)," ")</f>
        <v>O230117</v>
      </c>
      <c r="Q332" s="178" t="str">
        <f>IFERROR(VLOOKUP(C332,TD!$B$32:$F$36,3,0)," ")</f>
        <v>4599</v>
      </c>
      <c r="R332" s="178">
        <f>IFERROR(VLOOKUP(C332,TD!$B$32:$F$36,4,0)," ")</f>
        <v>20240207</v>
      </c>
      <c r="S332" s="173" t="s">
        <v>185</v>
      </c>
      <c r="T332" s="178" t="str">
        <f>IFERROR(VLOOKUP(S332,TD!$J$33:$K$43,2,0)," ")</f>
        <v>Infraestructura física, mantenimiento y dotación (Sedes construidas, mantenidas reforzadas)</v>
      </c>
      <c r="U332" s="127" t="str">
        <f>CONCATENATE(S332,"-",T332)</f>
        <v>08-Infraestructura física, mantenimiento y dotación (Sedes construidas, mantenidas reforzadas)</v>
      </c>
      <c r="V332" s="173" t="s">
        <v>238</v>
      </c>
      <c r="W332" s="178" t="str">
        <f>IFERROR(VLOOKUP(V332,TD!$N$33:$O$45,2,0)," ")</f>
        <v>Sedes mantenidas</v>
      </c>
      <c r="X332" s="127" t="str">
        <f>CONCATENATE(V332,"_",W332)</f>
        <v>016_Sedes mantenidas</v>
      </c>
      <c r="Y332" s="127" t="str">
        <f>CONCATENATE(U332," ",X332)</f>
        <v>08-Infraestructura física, mantenimiento y dotación (Sedes construidas, mantenidas reforzadas) 016_Sedes mantenidas</v>
      </c>
      <c r="Z332" s="178" t="str">
        <f>CONCATENATE(P332,Q332,R332,S332,V332)</f>
        <v>O23011745992024020708016</v>
      </c>
      <c r="AA332" s="178" t="str">
        <f>IFERROR(VLOOKUP(Y332,TD!$K$46:$L$64,2,0)," ")</f>
        <v>PM/0131/0108/45990160207</v>
      </c>
      <c r="AB332" s="177" t="s">
        <v>138</v>
      </c>
      <c r="AC332" s="179" t="s">
        <v>204</v>
      </c>
    </row>
    <row r="333" spans="2:29" s="28" customFormat="1" ht="74.25" customHeight="1" x14ac:dyDescent="0.35">
      <c r="B333" s="170">
        <v>20250478</v>
      </c>
      <c r="C333" s="171" t="s">
        <v>208</v>
      </c>
      <c r="D333" s="172" t="s">
        <v>166</v>
      </c>
      <c r="E333" s="173" t="s">
        <v>632</v>
      </c>
      <c r="F333" s="172" t="s">
        <v>712</v>
      </c>
      <c r="G333" s="172" t="s">
        <v>155</v>
      </c>
      <c r="H333" s="174" t="s">
        <v>700</v>
      </c>
      <c r="I333" s="175">
        <v>2</v>
      </c>
      <c r="J333" s="175">
        <v>11</v>
      </c>
      <c r="K333" s="176">
        <v>0</v>
      </c>
      <c r="L333" s="177">
        <v>77000000</v>
      </c>
      <c r="M333" s="172" t="s">
        <v>484</v>
      </c>
      <c r="N333" s="177" t="s">
        <v>701</v>
      </c>
      <c r="O333" s="173" t="s">
        <v>219</v>
      </c>
      <c r="P333" s="178" t="str">
        <f>IFERROR(VLOOKUP(C333,TD!$B$32:$F$36,2,0)," ")</f>
        <v>O230117</v>
      </c>
      <c r="Q333" s="178" t="str">
        <f>IFERROR(VLOOKUP(C333,TD!$B$32:$F$36,3,0)," ")</f>
        <v>4599</v>
      </c>
      <c r="R333" s="178">
        <f>IFERROR(VLOOKUP(C333,TD!$B$32:$F$36,4,0)," ")</f>
        <v>20240207</v>
      </c>
      <c r="S333" s="173" t="s">
        <v>185</v>
      </c>
      <c r="T333" s="178" t="str">
        <f>IFERROR(VLOOKUP(S333,TD!$J$33:$K$43,2,0)," ")</f>
        <v>Infraestructura física, mantenimiento y dotación (Sedes construidas, mantenidas reforzadas)</v>
      </c>
      <c r="U333" s="127" t="str">
        <f>CONCATENATE(S333,"-",T333)</f>
        <v>08-Infraestructura física, mantenimiento y dotación (Sedes construidas, mantenidas reforzadas)</v>
      </c>
      <c r="V333" s="173" t="s">
        <v>238</v>
      </c>
      <c r="W333" s="178" t="str">
        <f>IFERROR(VLOOKUP(V333,TD!$N$33:$O$45,2,0)," ")</f>
        <v>Sedes mantenidas</v>
      </c>
      <c r="X333" s="127" t="str">
        <f>CONCATENATE(V333,"_",W333)</f>
        <v>016_Sedes mantenidas</v>
      </c>
      <c r="Y333" s="127" t="str">
        <f>CONCATENATE(U333," ",X333)</f>
        <v>08-Infraestructura física, mantenimiento y dotación (Sedes construidas, mantenidas reforzadas) 016_Sedes mantenidas</v>
      </c>
      <c r="Z333" s="178" t="str">
        <f>CONCATENATE(P333,Q333,R333,S333,V333)</f>
        <v>O23011745992024020708016</v>
      </c>
      <c r="AA333" s="178" t="str">
        <f>IFERROR(VLOOKUP(Y333,TD!$K$46:$L$64,2,0)," ")</f>
        <v>PM/0131/0108/45990160207</v>
      </c>
      <c r="AB333" s="177" t="s">
        <v>138</v>
      </c>
      <c r="AC333" s="179" t="s">
        <v>204</v>
      </c>
    </row>
    <row r="334" spans="2:29" s="28" customFormat="1" ht="74.25" customHeight="1" x14ac:dyDescent="0.35">
      <c r="B334" s="170">
        <v>20250479</v>
      </c>
      <c r="C334" s="171" t="s">
        <v>208</v>
      </c>
      <c r="D334" s="172" t="s">
        <v>166</v>
      </c>
      <c r="E334" s="173" t="s">
        <v>632</v>
      </c>
      <c r="F334" s="172" t="s">
        <v>712</v>
      </c>
      <c r="G334" s="172" t="s">
        <v>155</v>
      </c>
      <c r="H334" s="174" t="s">
        <v>700</v>
      </c>
      <c r="I334" s="175">
        <v>2</v>
      </c>
      <c r="J334" s="175">
        <v>11</v>
      </c>
      <c r="K334" s="176">
        <v>0</v>
      </c>
      <c r="L334" s="177">
        <v>77000000</v>
      </c>
      <c r="M334" s="172" t="s">
        <v>484</v>
      </c>
      <c r="N334" s="177" t="s">
        <v>701</v>
      </c>
      <c r="O334" s="173" t="s">
        <v>219</v>
      </c>
      <c r="P334" s="178" t="str">
        <f>IFERROR(VLOOKUP(C334,TD!$B$32:$F$36,2,0)," ")</f>
        <v>O230117</v>
      </c>
      <c r="Q334" s="178" t="str">
        <f>IFERROR(VLOOKUP(C334,TD!$B$32:$F$36,3,0)," ")</f>
        <v>4599</v>
      </c>
      <c r="R334" s="178">
        <f>IFERROR(VLOOKUP(C334,TD!$B$32:$F$36,4,0)," ")</f>
        <v>20240207</v>
      </c>
      <c r="S334" s="173" t="s">
        <v>185</v>
      </c>
      <c r="T334" s="178" t="str">
        <f>IFERROR(VLOOKUP(S334,TD!$J$33:$K$43,2,0)," ")</f>
        <v>Infraestructura física, mantenimiento y dotación (Sedes construidas, mantenidas reforzadas)</v>
      </c>
      <c r="U334" s="127" t="str">
        <f>CONCATENATE(S334,"-",T334)</f>
        <v>08-Infraestructura física, mantenimiento y dotación (Sedes construidas, mantenidas reforzadas)</v>
      </c>
      <c r="V334" s="173" t="s">
        <v>238</v>
      </c>
      <c r="W334" s="178" t="str">
        <f>IFERROR(VLOOKUP(V334,TD!$N$33:$O$45,2,0)," ")</f>
        <v>Sedes mantenidas</v>
      </c>
      <c r="X334" s="127" t="str">
        <f>CONCATENATE(V334,"_",W334)</f>
        <v>016_Sedes mantenidas</v>
      </c>
      <c r="Y334" s="127" t="str">
        <f>CONCATENATE(U334," ",X334)</f>
        <v>08-Infraestructura física, mantenimiento y dotación (Sedes construidas, mantenidas reforzadas) 016_Sedes mantenidas</v>
      </c>
      <c r="Z334" s="178" t="str">
        <f>CONCATENATE(P334,Q334,R334,S334,V334)</f>
        <v>O23011745992024020708016</v>
      </c>
      <c r="AA334" s="178" t="str">
        <f>IFERROR(VLOOKUP(Y334,TD!$K$46:$L$64,2,0)," ")</f>
        <v>PM/0131/0108/45990160207</v>
      </c>
      <c r="AB334" s="177" t="s">
        <v>138</v>
      </c>
      <c r="AC334" s="179" t="s">
        <v>204</v>
      </c>
    </row>
    <row r="335" spans="2:29" s="28" customFormat="1" ht="74.25" customHeight="1" x14ac:dyDescent="0.35">
      <c r="B335" s="170">
        <v>20250480</v>
      </c>
      <c r="C335" s="171" t="s">
        <v>208</v>
      </c>
      <c r="D335" s="172" t="s">
        <v>166</v>
      </c>
      <c r="E335" s="173" t="s">
        <v>632</v>
      </c>
      <c r="F335" s="172" t="s">
        <v>656</v>
      </c>
      <c r="G335" s="172" t="s">
        <v>156</v>
      </c>
      <c r="H335" s="174" t="s">
        <v>700</v>
      </c>
      <c r="I335" s="175">
        <v>2</v>
      </c>
      <c r="J335" s="194">
        <v>11</v>
      </c>
      <c r="K335" s="195">
        <v>0</v>
      </c>
      <c r="L335" s="177">
        <v>45853192</v>
      </c>
      <c r="M335" s="172" t="s">
        <v>484</v>
      </c>
      <c r="N335" s="177" t="s">
        <v>701</v>
      </c>
      <c r="O335" s="173" t="s">
        <v>219</v>
      </c>
      <c r="P335" s="178" t="str">
        <f>IFERROR(VLOOKUP(C335,TD!$B$32:$F$36,2,0)," ")</f>
        <v>O230117</v>
      </c>
      <c r="Q335" s="178" t="str">
        <f>IFERROR(VLOOKUP(C335,TD!$B$32:$F$36,3,0)," ")</f>
        <v>4599</v>
      </c>
      <c r="R335" s="178">
        <f>IFERROR(VLOOKUP(C335,TD!$B$32:$F$36,4,0)," ")</f>
        <v>20240207</v>
      </c>
      <c r="S335" s="173" t="s">
        <v>185</v>
      </c>
      <c r="T335" s="178" t="str">
        <f>IFERROR(VLOOKUP(S335,TD!$J$33:$K$43,2,0)," ")</f>
        <v>Infraestructura física, mantenimiento y dotación (Sedes construidas, mantenidas reforzadas)</v>
      </c>
      <c r="U335" s="127" t="str">
        <f>CONCATENATE(S335,"-",T335)</f>
        <v>08-Infraestructura física, mantenimiento y dotación (Sedes construidas, mantenidas reforzadas)</v>
      </c>
      <c r="V335" s="173" t="s">
        <v>238</v>
      </c>
      <c r="W335" s="178" t="str">
        <f>IFERROR(VLOOKUP(V335,TD!$N$33:$O$45,2,0)," ")</f>
        <v>Sedes mantenidas</v>
      </c>
      <c r="X335" s="127" t="str">
        <f>CONCATENATE(V335,"_",W335)</f>
        <v>016_Sedes mantenidas</v>
      </c>
      <c r="Y335" s="127" t="str">
        <f>CONCATENATE(U335," ",X335)</f>
        <v>08-Infraestructura física, mantenimiento y dotación (Sedes construidas, mantenidas reforzadas) 016_Sedes mantenidas</v>
      </c>
      <c r="Z335" s="178" t="str">
        <f>CONCATENATE(P335,Q335,R335,S335,V335)</f>
        <v>O23011745992024020708016</v>
      </c>
      <c r="AA335" s="178" t="str">
        <f>IFERROR(VLOOKUP(Y335,TD!$K$46:$L$64,2,0)," ")</f>
        <v>PM/0131/0108/45990160207</v>
      </c>
      <c r="AB335" s="177" t="s">
        <v>138</v>
      </c>
      <c r="AC335" s="179" t="s">
        <v>204</v>
      </c>
    </row>
    <row r="336" spans="2:29" s="28" customFormat="1" ht="101.5" customHeight="1" x14ac:dyDescent="0.35">
      <c r="B336" s="170">
        <v>20250481</v>
      </c>
      <c r="C336" s="171" t="s">
        <v>208</v>
      </c>
      <c r="D336" s="172" t="s">
        <v>166</v>
      </c>
      <c r="E336" s="173" t="s">
        <v>632</v>
      </c>
      <c r="F336" s="172" t="s">
        <v>658</v>
      </c>
      <c r="G336" s="172" t="s">
        <v>155</v>
      </c>
      <c r="H336" s="174" t="s">
        <v>700</v>
      </c>
      <c r="I336" s="175">
        <v>2</v>
      </c>
      <c r="J336" s="175">
        <v>11</v>
      </c>
      <c r="K336" s="176">
        <v>0</v>
      </c>
      <c r="L336" s="177">
        <v>77000000</v>
      </c>
      <c r="M336" s="172" t="s">
        <v>484</v>
      </c>
      <c r="N336" s="177" t="s">
        <v>701</v>
      </c>
      <c r="O336" s="173" t="s">
        <v>219</v>
      </c>
      <c r="P336" s="178" t="str">
        <f>IFERROR(VLOOKUP(C336,TD!$B$32:$F$36,2,0)," ")</f>
        <v>O230117</v>
      </c>
      <c r="Q336" s="178" t="str">
        <f>IFERROR(VLOOKUP(C336,TD!$B$32:$F$36,3,0)," ")</f>
        <v>4599</v>
      </c>
      <c r="R336" s="178">
        <f>IFERROR(VLOOKUP(C336,TD!$B$32:$F$36,4,0)," ")</f>
        <v>20240207</v>
      </c>
      <c r="S336" s="173" t="s">
        <v>185</v>
      </c>
      <c r="T336" s="178" t="str">
        <f>IFERROR(VLOOKUP(S336,TD!$J$33:$K$43,2,0)," ")</f>
        <v>Infraestructura física, mantenimiento y dotación (Sedes construidas, mantenidas reforzadas)</v>
      </c>
      <c r="U336" s="127" t="str">
        <f>CONCATENATE(S336,"-",T336)</f>
        <v>08-Infraestructura física, mantenimiento y dotación (Sedes construidas, mantenidas reforzadas)</v>
      </c>
      <c r="V336" s="173" t="s">
        <v>238</v>
      </c>
      <c r="W336" s="178" t="str">
        <f>IFERROR(VLOOKUP(V336,TD!$N$33:$O$45,2,0)," ")</f>
        <v>Sedes mantenidas</v>
      </c>
      <c r="X336" s="127" t="str">
        <f>CONCATENATE(V336,"_",W336)</f>
        <v>016_Sedes mantenidas</v>
      </c>
      <c r="Y336" s="127" t="str">
        <f>CONCATENATE(U336," ",X336)</f>
        <v>08-Infraestructura física, mantenimiento y dotación (Sedes construidas, mantenidas reforzadas) 016_Sedes mantenidas</v>
      </c>
      <c r="Z336" s="178" t="str">
        <f>CONCATENATE(P336,Q336,R336,S336,V336)</f>
        <v>O23011745992024020708016</v>
      </c>
      <c r="AA336" s="178" t="str">
        <f>IFERROR(VLOOKUP(Y336,TD!$K$46:$L$64,2,0)," ")</f>
        <v>PM/0131/0108/45990160207</v>
      </c>
      <c r="AB336" s="177" t="s">
        <v>138</v>
      </c>
      <c r="AC336" s="179" t="s">
        <v>204</v>
      </c>
    </row>
    <row r="337" spans="2:29" s="28" customFormat="1" ht="74.25" customHeight="1" x14ac:dyDescent="0.35">
      <c r="B337" s="170">
        <v>20250482</v>
      </c>
      <c r="C337" s="171" t="s">
        <v>346</v>
      </c>
      <c r="D337" s="172" t="s">
        <v>166</v>
      </c>
      <c r="E337" s="173" t="s">
        <v>632</v>
      </c>
      <c r="F337" s="172" t="s">
        <v>713</v>
      </c>
      <c r="G337" s="172" t="s">
        <v>133</v>
      </c>
      <c r="H337" s="174" t="s">
        <v>714</v>
      </c>
      <c r="I337" s="175">
        <v>5</v>
      </c>
      <c r="J337" s="175">
        <v>10</v>
      </c>
      <c r="K337" s="176">
        <v>0</v>
      </c>
      <c r="L337" s="177">
        <v>129996120</v>
      </c>
      <c r="M337" s="172" t="s">
        <v>172</v>
      </c>
      <c r="N337" s="177" t="s">
        <v>704</v>
      </c>
      <c r="O337" s="173" t="s">
        <v>347</v>
      </c>
      <c r="P337" s="178" t="str">
        <f>IFERROR(VLOOKUP(C337,TD!$B$32:$F$36,2,0)," ")</f>
        <v>NA</v>
      </c>
      <c r="Q337" s="178" t="str">
        <f>IFERROR(VLOOKUP(C337,TD!$B$32:$F$36,3,0)," ")</f>
        <v>NA</v>
      </c>
      <c r="R337" s="178" t="str">
        <f>IFERROR(VLOOKUP(C337,TD!$B$32:$F$36,4,0)," ")</f>
        <v>NA</v>
      </c>
      <c r="S337" s="183" t="s">
        <v>409</v>
      </c>
      <c r="T337" s="178" t="str">
        <f>IFERROR(VLOOKUP(S337,TD!$J$33:$K$43,2,0)," ")</f>
        <v>N/A</v>
      </c>
      <c r="U337" s="127" t="str">
        <f>CONCATENATE(S337,"-",T337)</f>
        <v>N/A-N/A</v>
      </c>
      <c r="V337" s="173" t="s">
        <v>409</v>
      </c>
      <c r="W337" s="178" t="str">
        <f>IFERROR(VLOOKUP(V337,TD!$N$33:$O$45,2,0)," ")</f>
        <v>N/A</v>
      </c>
      <c r="X337" s="127" t="str">
        <f>CONCATENATE(V337,"_",W337)</f>
        <v>N/A_N/A</v>
      </c>
      <c r="Y337" s="127" t="str">
        <f>CONCATENATE(U337," ",X337)</f>
        <v>N/A-N/A N/A_N/A</v>
      </c>
      <c r="Z337" s="178" t="str">
        <f>CONCATENATE(P337,Q337,R337,S337,V337)</f>
        <v>NANANAN/AN/A</v>
      </c>
      <c r="AA337" s="178" t="str">
        <f>IFERROR(VLOOKUP(Y337,TD!$K$46:$L$64,2,0)," ")</f>
        <v>N/A</v>
      </c>
      <c r="AB337" s="177" t="s">
        <v>779</v>
      </c>
      <c r="AC337" s="179" t="s">
        <v>204</v>
      </c>
    </row>
    <row r="338" spans="2:29" s="28" customFormat="1" ht="74.25" customHeight="1" x14ac:dyDescent="0.35">
      <c r="B338" s="170">
        <v>20250483</v>
      </c>
      <c r="C338" s="171" t="s">
        <v>346</v>
      </c>
      <c r="D338" s="172" t="s">
        <v>166</v>
      </c>
      <c r="E338" s="173" t="s">
        <v>632</v>
      </c>
      <c r="F338" s="172" t="s">
        <v>715</v>
      </c>
      <c r="G338" s="172" t="s">
        <v>96</v>
      </c>
      <c r="H338" s="174" t="s">
        <v>716</v>
      </c>
      <c r="I338" s="175">
        <v>1</v>
      </c>
      <c r="J338" s="175">
        <v>10</v>
      </c>
      <c r="K338" s="176">
        <v>0</v>
      </c>
      <c r="L338" s="177">
        <v>240000000</v>
      </c>
      <c r="M338" s="172" t="s">
        <v>172</v>
      </c>
      <c r="N338" s="177" t="s">
        <v>717</v>
      </c>
      <c r="O338" s="173" t="s">
        <v>347</v>
      </c>
      <c r="P338" s="178" t="str">
        <f>IFERROR(VLOOKUP(C338,TD!$B$32:$F$36,2,0)," ")</f>
        <v>NA</v>
      </c>
      <c r="Q338" s="178" t="str">
        <f>IFERROR(VLOOKUP(C338,TD!$B$32:$F$36,3,0)," ")</f>
        <v>NA</v>
      </c>
      <c r="R338" s="178" t="str">
        <f>IFERROR(VLOOKUP(C338,TD!$B$32:$F$36,4,0)," ")</f>
        <v>NA</v>
      </c>
      <c r="S338" s="173" t="s">
        <v>409</v>
      </c>
      <c r="T338" s="178" t="str">
        <f>IFERROR(VLOOKUP(S338,TD!$J$33:$K$43,2,0)," ")</f>
        <v>N/A</v>
      </c>
      <c r="U338" s="127" t="str">
        <f>CONCATENATE(S338,"-",T338)</f>
        <v>N/A-N/A</v>
      </c>
      <c r="V338" s="173" t="s">
        <v>409</v>
      </c>
      <c r="W338" s="178" t="str">
        <f>IFERROR(VLOOKUP(V338,TD!$N$33:$O$45,2,0)," ")</f>
        <v>N/A</v>
      </c>
      <c r="X338" s="127" t="str">
        <f>CONCATENATE(V338,"_",W338)</f>
        <v>N/A_N/A</v>
      </c>
      <c r="Y338" s="127" t="str">
        <f>CONCATENATE(U338," ",X338)</f>
        <v>N/A-N/A N/A_N/A</v>
      </c>
      <c r="Z338" s="178" t="str">
        <f>CONCATENATE(P338,Q338,R338,S338,V338)</f>
        <v>NANANAN/AN/A</v>
      </c>
      <c r="AA338" s="178" t="str">
        <f>IFERROR(VLOOKUP(Y338,TD!$K$46:$L$64,2,0)," ")</f>
        <v>N/A</v>
      </c>
      <c r="AB338" s="177" t="s">
        <v>779</v>
      </c>
      <c r="AC338" s="179" t="s">
        <v>204</v>
      </c>
    </row>
    <row r="339" spans="2:29" s="28" customFormat="1" ht="109.5" customHeight="1" x14ac:dyDescent="0.35">
      <c r="B339" s="170">
        <v>20250484</v>
      </c>
      <c r="C339" s="171" t="s">
        <v>346</v>
      </c>
      <c r="D339" s="172" t="s">
        <v>166</v>
      </c>
      <c r="E339" s="173" t="s">
        <v>632</v>
      </c>
      <c r="F339" s="172" t="s">
        <v>633</v>
      </c>
      <c r="G339" s="172" t="s">
        <v>96</v>
      </c>
      <c r="H339" s="174" t="s">
        <v>634</v>
      </c>
      <c r="I339" s="175">
        <v>2</v>
      </c>
      <c r="J339" s="175">
        <v>11</v>
      </c>
      <c r="K339" s="176">
        <v>0</v>
      </c>
      <c r="L339" s="177">
        <v>272011000</v>
      </c>
      <c r="M339" s="172" t="s">
        <v>172</v>
      </c>
      <c r="N339" s="177" t="s">
        <v>699</v>
      </c>
      <c r="O339" s="173" t="s">
        <v>347</v>
      </c>
      <c r="P339" s="178" t="str">
        <f>IFERROR(VLOOKUP(C339,TD!$B$32:$F$36,2,0)," ")</f>
        <v>NA</v>
      </c>
      <c r="Q339" s="178" t="str">
        <f>IFERROR(VLOOKUP(C339,TD!$B$32:$F$36,3,0)," ")</f>
        <v>NA</v>
      </c>
      <c r="R339" s="178" t="str">
        <f>IFERROR(VLOOKUP(C339,TD!$B$32:$F$36,4,0)," ")</f>
        <v>NA</v>
      </c>
      <c r="S339" s="173" t="s">
        <v>409</v>
      </c>
      <c r="T339" s="178" t="str">
        <f>IFERROR(VLOOKUP(S339,TD!$J$33:$K$43,2,0)," ")</f>
        <v>N/A</v>
      </c>
      <c r="U339" s="127" t="str">
        <f>CONCATENATE(S339,"-",T339)</f>
        <v>N/A-N/A</v>
      </c>
      <c r="V339" s="173" t="s">
        <v>409</v>
      </c>
      <c r="W339" s="178" t="str">
        <f>IFERROR(VLOOKUP(V339,TD!$N$33:$O$45,2,0)," ")</f>
        <v>N/A</v>
      </c>
      <c r="X339" s="127" t="str">
        <f>CONCATENATE(V339,"_",W339)</f>
        <v>N/A_N/A</v>
      </c>
      <c r="Y339" s="127" t="str">
        <f>CONCATENATE(U339," ",X339)</f>
        <v>N/A-N/A N/A_N/A</v>
      </c>
      <c r="Z339" s="178" t="str">
        <f>CONCATENATE(P339,Q339,R339,S339,V339)</f>
        <v>NANANAN/AN/A</v>
      </c>
      <c r="AA339" s="178" t="str">
        <f>IFERROR(VLOOKUP(Y339,TD!$K$46:$L$64,2,0)," ")</f>
        <v>N/A</v>
      </c>
      <c r="AB339" s="177" t="s">
        <v>779</v>
      </c>
      <c r="AC339" s="179" t="s">
        <v>204</v>
      </c>
    </row>
    <row r="340" spans="2:29" s="28" customFormat="1" ht="74.25" customHeight="1" x14ac:dyDescent="0.35">
      <c r="B340" s="170">
        <v>20250485</v>
      </c>
      <c r="C340" s="171" t="s">
        <v>346</v>
      </c>
      <c r="D340" s="172" t="s">
        <v>166</v>
      </c>
      <c r="E340" s="173" t="s">
        <v>632</v>
      </c>
      <c r="F340" s="172" t="s">
        <v>633</v>
      </c>
      <c r="G340" s="172" t="s">
        <v>96</v>
      </c>
      <c r="H340" s="174" t="s">
        <v>634</v>
      </c>
      <c r="I340" s="175">
        <v>2</v>
      </c>
      <c r="J340" s="175">
        <v>11</v>
      </c>
      <c r="K340" s="176">
        <v>0</v>
      </c>
      <c r="L340" s="177">
        <v>500000000</v>
      </c>
      <c r="M340" s="172" t="s">
        <v>172</v>
      </c>
      <c r="N340" s="177" t="s">
        <v>699</v>
      </c>
      <c r="O340" s="173" t="s">
        <v>347</v>
      </c>
      <c r="P340" s="178" t="str">
        <f>IFERROR(VLOOKUP(C340,TD!$B$32:$F$36,2,0)," ")</f>
        <v>NA</v>
      </c>
      <c r="Q340" s="178" t="str">
        <f>IFERROR(VLOOKUP(C340,TD!$B$32:$F$36,3,0)," ")</f>
        <v>NA</v>
      </c>
      <c r="R340" s="178" t="str">
        <f>IFERROR(VLOOKUP(C340,TD!$B$32:$F$36,4,0)," ")</f>
        <v>NA</v>
      </c>
      <c r="S340" s="173" t="s">
        <v>409</v>
      </c>
      <c r="T340" s="178" t="str">
        <f>IFERROR(VLOOKUP(S340,TD!$J$33:$K$43,2,0)," ")</f>
        <v>N/A</v>
      </c>
      <c r="U340" s="127" t="str">
        <f>CONCATENATE(S340,"-",T340)</f>
        <v>N/A-N/A</v>
      </c>
      <c r="V340" s="173" t="s">
        <v>409</v>
      </c>
      <c r="W340" s="178" t="str">
        <f>IFERROR(VLOOKUP(V340,TD!$N$33:$O$45,2,0)," ")</f>
        <v>N/A</v>
      </c>
      <c r="X340" s="127" t="str">
        <f>CONCATENATE(V340,"_",W340)</f>
        <v>N/A_N/A</v>
      </c>
      <c r="Y340" s="127" t="str">
        <f>CONCATENATE(U340," ",X340)</f>
        <v>N/A-N/A N/A_N/A</v>
      </c>
      <c r="Z340" s="178" t="str">
        <f>CONCATENATE(P340,Q340,R340,S340,V340)</f>
        <v>NANANAN/AN/A</v>
      </c>
      <c r="AA340" s="178" t="str">
        <f>IFERROR(VLOOKUP(Y340,TD!$K$46:$L$64,2,0)," ")</f>
        <v>N/A</v>
      </c>
      <c r="AB340" s="177" t="s">
        <v>779</v>
      </c>
      <c r="AC340" s="179" t="s">
        <v>204</v>
      </c>
    </row>
    <row r="341" spans="2:29" s="28" customFormat="1" ht="74.25" customHeight="1" x14ac:dyDescent="0.35">
      <c r="B341" s="170">
        <v>20250486</v>
      </c>
      <c r="C341" s="171" t="s">
        <v>346</v>
      </c>
      <c r="D341" s="172" t="s">
        <v>166</v>
      </c>
      <c r="E341" s="173" t="s">
        <v>632</v>
      </c>
      <c r="F341" s="172" t="s">
        <v>718</v>
      </c>
      <c r="G341" s="172" t="s">
        <v>114</v>
      </c>
      <c r="H341" s="174" t="s">
        <v>719</v>
      </c>
      <c r="I341" s="175">
        <v>1</v>
      </c>
      <c r="J341" s="175">
        <v>12</v>
      </c>
      <c r="K341" s="176">
        <v>0</v>
      </c>
      <c r="L341" s="177">
        <v>160000000</v>
      </c>
      <c r="M341" s="172" t="s">
        <v>172</v>
      </c>
      <c r="N341" s="177" t="s">
        <v>701</v>
      </c>
      <c r="O341" s="173" t="s">
        <v>347</v>
      </c>
      <c r="P341" s="178" t="str">
        <f>IFERROR(VLOOKUP(C341,TD!$B$32:$F$36,2,0)," ")</f>
        <v>NA</v>
      </c>
      <c r="Q341" s="178" t="str">
        <f>IFERROR(VLOOKUP(C341,TD!$B$32:$F$36,3,0)," ")</f>
        <v>NA</v>
      </c>
      <c r="R341" s="178" t="str">
        <f>IFERROR(VLOOKUP(C341,TD!$B$32:$F$36,4,0)," ")</f>
        <v>NA</v>
      </c>
      <c r="S341" s="173" t="s">
        <v>409</v>
      </c>
      <c r="T341" s="178" t="str">
        <f>IFERROR(VLOOKUP(S341,TD!$J$33:$K$43,2,0)," ")</f>
        <v>N/A</v>
      </c>
      <c r="U341" s="127" t="str">
        <f>CONCATENATE(S341,"-",T341)</f>
        <v>N/A-N/A</v>
      </c>
      <c r="V341" s="173" t="s">
        <v>409</v>
      </c>
      <c r="W341" s="178" t="str">
        <f>IFERROR(VLOOKUP(V341,TD!$N$33:$O$45,2,0)," ")</f>
        <v>N/A</v>
      </c>
      <c r="X341" s="127" t="str">
        <f>CONCATENATE(V341,"_",W341)</f>
        <v>N/A_N/A</v>
      </c>
      <c r="Y341" s="127" t="str">
        <f>CONCATENATE(U341," ",X341)</f>
        <v>N/A-N/A N/A_N/A</v>
      </c>
      <c r="Z341" s="178" t="str">
        <f>CONCATENATE(P341,Q341,R341,S341,V341)</f>
        <v>NANANAN/AN/A</v>
      </c>
      <c r="AA341" s="178" t="str">
        <f>IFERROR(VLOOKUP(Y341,TD!$K$46:$L$64,2,0)," ")</f>
        <v>N/A</v>
      </c>
      <c r="AB341" s="177" t="s">
        <v>779</v>
      </c>
      <c r="AC341" s="179" t="s">
        <v>204</v>
      </c>
    </row>
    <row r="342" spans="2:29" s="28" customFormat="1" ht="74.25" customHeight="1" x14ac:dyDescent="0.35">
      <c r="B342" s="170">
        <v>20250487</v>
      </c>
      <c r="C342" s="171" t="s">
        <v>346</v>
      </c>
      <c r="D342" s="172" t="s">
        <v>166</v>
      </c>
      <c r="E342" s="173" t="s">
        <v>632</v>
      </c>
      <c r="F342" s="172" t="s">
        <v>720</v>
      </c>
      <c r="G342" s="172" t="s">
        <v>96</v>
      </c>
      <c r="H342" s="174" t="s">
        <v>721</v>
      </c>
      <c r="I342" s="175">
        <v>3</v>
      </c>
      <c r="J342" s="175">
        <v>12</v>
      </c>
      <c r="K342" s="176">
        <v>0</v>
      </c>
      <c r="L342" s="177">
        <v>164000000</v>
      </c>
      <c r="M342" s="172" t="s">
        <v>172</v>
      </c>
      <c r="N342" s="177" t="s">
        <v>701</v>
      </c>
      <c r="O342" s="173" t="s">
        <v>347</v>
      </c>
      <c r="P342" s="178" t="str">
        <f>IFERROR(VLOOKUP(C342,TD!$B$32:$F$36,2,0)," ")</f>
        <v>NA</v>
      </c>
      <c r="Q342" s="178" t="str">
        <f>IFERROR(VLOOKUP(C342,TD!$B$32:$F$36,3,0)," ")</f>
        <v>NA</v>
      </c>
      <c r="R342" s="178" t="str">
        <f>IFERROR(VLOOKUP(C342,TD!$B$32:$F$36,4,0)," ")</f>
        <v>NA</v>
      </c>
      <c r="S342" s="173" t="s">
        <v>409</v>
      </c>
      <c r="T342" s="178" t="str">
        <f>IFERROR(VLOOKUP(S342,TD!$J$33:$K$43,2,0)," ")</f>
        <v>N/A</v>
      </c>
      <c r="U342" s="127" t="str">
        <f>CONCATENATE(S342,"-",T342)</f>
        <v>N/A-N/A</v>
      </c>
      <c r="V342" s="173" t="s">
        <v>409</v>
      </c>
      <c r="W342" s="178" t="str">
        <f>IFERROR(VLOOKUP(V342,TD!$N$33:$O$45,2,0)," ")</f>
        <v>N/A</v>
      </c>
      <c r="X342" s="127" t="str">
        <f>CONCATENATE(V342,"_",W342)</f>
        <v>N/A_N/A</v>
      </c>
      <c r="Y342" s="127" t="str">
        <f>CONCATENATE(U342," ",X342)</f>
        <v>N/A-N/A N/A_N/A</v>
      </c>
      <c r="Z342" s="178" t="str">
        <f>CONCATENATE(P342,Q342,R342,S342,V342)</f>
        <v>NANANAN/AN/A</v>
      </c>
      <c r="AA342" s="178" t="str">
        <f>IFERROR(VLOOKUP(Y342,TD!$K$46:$L$64,2,0)," ")</f>
        <v>N/A</v>
      </c>
      <c r="AB342" s="177" t="s">
        <v>779</v>
      </c>
      <c r="AC342" s="179" t="s">
        <v>204</v>
      </c>
    </row>
    <row r="343" spans="2:29" s="28" customFormat="1" ht="28" customHeight="1" x14ac:dyDescent="0.35">
      <c r="B343" s="170">
        <v>20250488</v>
      </c>
      <c r="C343" s="171" t="s">
        <v>346</v>
      </c>
      <c r="D343" s="172" t="s">
        <v>166</v>
      </c>
      <c r="E343" s="173" t="s">
        <v>632</v>
      </c>
      <c r="F343" s="172" t="s">
        <v>722</v>
      </c>
      <c r="G343" s="172" t="s">
        <v>119</v>
      </c>
      <c r="H343" s="174" t="s">
        <v>723</v>
      </c>
      <c r="I343" s="175">
        <v>4</v>
      </c>
      <c r="J343" s="175">
        <v>8</v>
      </c>
      <c r="K343" s="176">
        <v>0</v>
      </c>
      <c r="L343" s="177">
        <v>72917000</v>
      </c>
      <c r="M343" s="172" t="s">
        <v>172</v>
      </c>
      <c r="N343" s="177" t="s">
        <v>95</v>
      </c>
      <c r="O343" s="173" t="s">
        <v>347</v>
      </c>
      <c r="P343" s="178" t="str">
        <f>IFERROR(VLOOKUP(C343,TD!$B$32:$F$36,2,0)," ")</f>
        <v>NA</v>
      </c>
      <c r="Q343" s="178" t="str">
        <f>IFERROR(VLOOKUP(C343,TD!$B$32:$F$36,3,0)," ")</f>
        <v>NA</v>
      </c>
      <c r="R343" s="178" t="str">
        <f>IFERROR(VLOOKUP(C343,TD!$B$32:$F$36,4,0)," ")</f>
        <v>NA</v>
      </c>
      <c r="S343" s="173" t="s">
        <v>409</v>
      </c>
      <c r="T343" s="178" t="str">
        <f>IFERROR(VLOOKUP(S343,TD!$J$33:$K$43,2,0)," ")</f>
        <v>N/A</v>
      </c>
      <c r="U343" s="127" t="str">
        <f>CONCATENATE(S343,"-",T343)</f>
        <v>N/A-N/A</v>
      </c>
      <c r="V343" s="173" t="s">
        <v>409</v>
      </c>
      <c r="W343" s="178" t="str">
        <f>IFERROR(VLOOKUP(V343,TD!$N$33:$O$45,2,0)," ")</f>
        <v>N/A</v>
      </c>
      <c r="X343" s="127" t="str">
        <f>CONCATENATE(V343,"_",W343)</f>
        <v>N/A_N/A</v>
      </c>
      <c r="Y343" s="127" t="str">
        <f>CONCATENATE(U343," ",X343)</f>
        <v>N/A-N/A N/A_N/A</v>
      </c>
      <c r="Z343" s="178" t="str">
        <f>CONCATENATE(P343,Q343,R343,S343,V343)</f>
        <v>NANANAN/AN/A</v>
      </c>
      <c r="AA343" s="178" t="str">
        <f>IFERROR(VLOOKUP(Y343,TD!$K$46:$L$64,2,0)," ")</f>
        <v>N/A</v>
      </c>
      <c r="AB343" s="177" t="s">
        <v>779</v>
      </c>
      <c r="AC343" s="179" t="s">
        <v>204</v>
      </c>
    </row>
    <row r="344" spans="2:29" s="28" customFormat="1" ht="74.25" customHeight="1" x14ac:dyDescent="0.35">
      <c r="B344" s="170">
        <v>20250489</v>
      </c>
      <c r="C344" s="171" t="s">
        <v>346</v>
      </c>
      <c r="D344" s="172" t="s">
        <v>166</v>
      </c>
      <c r="E344" s="173" t="s">
        <v>632</v>
      </c>
      <c r="F344" s="172" t="s">
        <v>724</v>
      </c>
      <c r="G344" s="172" t="s">
        <v>119</v>
      </c>
      <c r="H344" s="174" t="s">
        <v>725</v>
      </c>
      <c r="I344" s="175">
        <v>3</v>
      </c>
      <c r="J344" s="175">
        <v>9</v>
      </c>
      <c r="K344" s="176">
        <v>0</v>
      </c>
      <c r="L344" s="177">
        <v>80000000</v>
      </c>
      <c r="M344" s="172" t="s">
        <v>172</v>
      </c>
      <c r="N344" s="177" t="s">
        <v>95</v>
      </c>
      <c r="O344" s="173" t="s">
        <v>347</v>
      </c>
      <c r="P344" s="178" t="str">
        <f>IFERROR(VLOOKUP(C344,TD!$B$32:$F$36,2,0)," ")</f>
        <v>NA</v>
      </c>
      <c r="Q344" s="178" t="str">
        <f>IFERROR(VLOOKUP(C344,TD!$B$32:$F$36,3,0)," ")</f>
        <v>NA</v>
      </c>
      <c r="R344" s="178" t="str">
        <f>IFERROR(VLOOKUP(C344,TD!$B$32:$F$36,4,0)," ")</f>
        <v>NA</v>
      </c>
      <c r="S344" s="173" t="s">
        <v>409</v>
      </c>
      <c r="T344" s="178" t="str">
        <f>IFERROR(VLOOKUP(S344,TD!$J$33:$K$43,2,0)," ")</f>
        <v>N/A</v>
      </c>
      <c r="U344" s="127" t="str">
        <f>CONCATENATE(S344,"-",T344)</f>
        <v>N/A-N/A</v>
      </c>
      <c r="V344" s="173" t="s">
        <v>409</v>
      </c>
      <c r="W344" s="178" t="str">
        <f>IFERROR(VLOOKUP(V344,TD!$N$33:$O$45,2,0)," ")</f>
        <v>N/A</v>
      </c>
      <c r="X344" s="127" t="str">
        <f>CONCATENATE(V344,"_",W344)</f>
        <v>N/A_N/A</v>
      </c>
      <c r="Y344" s="127" t="str">
        <f>CONCATENATE(U344," ",X344)</f>
        <v>N/A-N/A N/A_N/A</v>
      </c>
      <c r="Z344" s="178" t="str">
        <f>CONCATENATE(P344,Q344,R344,S344,V344)</f>
        <v>NANANAN/AN/A</v>
      </c>
      <c r="AA344" s="178" t="str">
        <f>IFERROR(VLOOKUP(Y344,TD!$K$46:$L$64,2,0)," ")</f>
        <v>N/A</v>
      </c>
      <c r="AB344" s="177" t="s">
        <v>779</v>
      </c>
      <c r="AC344" s="179" t="s">
        <v>204</v>
      </c>
    </row>
    <row r="345" spans="2:29" s="28" customFormat="1" ht="74.25" customHeight="1" x14ac:dyDescent="0.35">
      <c r="B345" s="170">
        <v>20250490</v>
      </c>
      <c r="C345" s="171" t="s">
        <v>346</v>
      </c>
      <c r="D345" s="172" t="s">
        <v>166</v>
      </c>
      <c r="E345" s="173" t="s">
        <v>632</v>
      </c>
      <c r="F345" s="172" t="s">
        <v>726</v>
      </c>
      <c r="G345" s="172" t="s">
        <v>114</v>
      </c>
      <c r="H345" s="174" t="s">
        <v>719</v>
      </c>
      <c r="I345" s="175">
        <v>4</v>
      </c>
      <c r="J345" s="175">
        <v>10</v>
      </c>
      <c r="K345" s="176">
        <v>0</v>
      </c>
      <c r="L345" s="177">
        <v>160000000</v>
      </c>
      <c r="M345" s="172" t="s">
        <v>172</v>
      </c>
      <c r="N345" s="177" t="s">
        <v>701</v>
      </c>
      <c r="O345" s="173" t="s">
        <v>347</v>
      </c>
      <c r="P345" s="178" t="str">
        <f>IFERROR(VLOOKUP(C345,TD!$B$32:$F$36,2,0)," ")</f>
        <v>NA</v>
      </c>
      <c r="Q345" s="178" t="str">
        <f>IFERROR(VLOOKUP(C345,TD!$B$32:$F$36,3,0)," ")</f>
        <v>NA</v>
      </c>
      <c r="R345" s="178" t="str">
        <f>IFERROR(VLOOKUP(C345,TD!$B$32:$F$36,4,0)," ")</f>
        <v>NA</v>
      </c>
      <c r="S345" s="173" t="s">
        <v>409</v>
      </c>
      <c r="T345" s="178" t="str">
        <f>IFERROR(VLOOKUP(S345,TD!$J$33:$K$43,2,0)," ")</f>
        <v>N/A</v>
      </c>
      <c r="U345" s="127" t="str">
        <f>CONCATENATE(S345,"-",T345)</f>
        <v>N/A-N/A</v>
      </c>
      <c r="V345" s="173" t="s">
        <v>409</v>
      </c>
      <c r="W345" s="178" t="str">
        <f>IFERROR(VLOOKUP(V345,TD!$N$33:$O$45,2,0)," ")</f>
        <v>N/A</v>
      </c>
      <c r="X345" s="127" t="str">
        <f>CONCATENATE(V345,"_",W345)</f>
        <v>N/A_N/A</v>
      </c>
      <c r="Y345" s="127" t="str">
        <f>CONCATENATE(U345," ",X345)</f>
        <v>N/A-N/A N/A_N/A</v>
      </c>
      <c r="Z345" s="178" t="str">
        <f>CONCATENATE(P345,Q345,R345,S345,V345)</f>
        <v>NANANAN/AN/A</v>
      </c>
      <c r="AA345" s="178" t="str">
        <f>IFERROR(VLOOKUP(Y345,TD!$K$46:$L$64,2,0)," ")</f>
        <v>N/A</v>
      </c>
      <c r="AB345" s="177" t="s">
        <v>779</v>
      </c>
      <c r="AC345" s="179" t="s">
        <v>204</v>
      </c>
    </row>
    <row r="346" spans="2:29" s="28" customFormat="1" ht="74.25" customHeight="1" x14ac:dyDescent="0.35">
      <c r="B346" s="170">
        <v>20250491</v>
      </c>
      <c r="C346" s="171" t="s">
        <v>346</v>
      </c>
      <c r="D346" s="172" t="s">
        <v>166</v>
      </c>
      <c r="E346" s="173" t="s">
        <v>632</v>
      </c>
      <c r="F346" s="172" t="s">
        <v>655</v>
      </c>
      <c r="G346" s="172" t="s">
        <v>96</v>
      </c>
      <c r="H346" s="174" t="s">
        <v>727</v>
      </c>
      <c r="I346" s="175">
        <v>4</v>
      </c>
      <c r="J346" s="175">
        <v>8</v>
      </c>
      <c r="K346" s="176">
        <v>0</v>
      </c>
      <c r="L346" s="177">
        <v>560000000</v>
      </c>
      <c r="M346" s="172" t="s">
        <v>172</v>
      </c>
      <c r="N346" s="177" t="s">
        <v>85</v>
      </c>
      <c r="O346" s="173" t="s">
        <v>347</v>
      </c>
      <c r="P346" s="178" t="str">
        <f>IFERROR(VLOOKUP(C346,TD!$B$32:$F$36,2,0)," ")</f>
        <v>NA</v>
      </c>
      <c r="Q346" s="178" t="str">
        <f>IFERROR(VLOOKUP(C346,TD!$B$32:$F$36,3,0)," ")</f>
        <v>NA</v>
      </c>
      <c r="R346" s="178" t="str">
        <f>IFERROR(VLOOKUP(C346,TD!$B$32:$F$36,4,0)," ")</f>
        <v>NA</v>
      </c>
      <c r="S346" s="173" t="s">
        <v>409</v>
      </c>
      <c r="T346" s="178" t="str">
        <f>IFERROR(VLOOKUP(S346,TD!$J$33:$K$43,2,0)," ")</f>
        <v>N/A</v>
      </c>
      <c r="U346" s="127" t="str">
        <f>CONCATENATE(S346,"-",T346)</f>
        <v>N/A-N/A</v>
      </c>
      <c r="V346" s="173" t="s">
        <v>409</v>
      </c>
      <c r="W346" s="178" t="str">
        <f>IFERROR(VLOOKUP(V346,TD!$N$33:$O$45,2,0)," ")</f>
        <v>N/A</v>
      </c>
      <c r="X346" s="127" t="str">
        <f>CONCATENATE(V346,"_",W346)</f>
        <v>N/A_N/A</v>
      </c>
      <c r="Y346" s="127" t="str">
        <f>CONCATENATE(U346," ",X346)</f>
        <v>N/A-N/A N/A_N/A</v>
      </c>
      <c r="Z346" s="178" t="str">
        <f>CONCATENATE(P346,Q346,R346,S346,V346)</f>
        <v>NANANAN/AN/A</v>
      </c>
      <c r="AA346" s="178" t="str">
        <f>IFERROR(VLOOKUP(Y346,TD!$K$46:$L$64,2,0)," ")</f>
        <v>N/A</v>
      </c>
      <c r="AB346" s="177" t="s">
        <v>779</v>
      </c>
      <c r="AC346" s="179" t="s">
        <v>204</v>
      </c>
    </row>
    <row r="347" spans="2:29" s="28" customFormat="1" ht="74.25" customHeight="1" x14ac:dyDescent="0.35">
      <c r="B347" s="170">
        <v>20250492</v>
      </c>
      <c r="C347" s="171" t="s">
        <v>346</v>
      </c>
      <c r="D347" s="172" t="s">
        <v>166</v>
      </c>
      <c r="E347" s="173" t="s">
        <v>632</v>
      </c>
      <c r="F347" s="172" t="s">
        <v>728</v>
      </c>
      <c r="G347" s="172" t="s">
        <v>129</v>
      </c>
      <c r="H347" s="174" t="s">
        <v>729</v>
      </c>
      <c r="I347" s="175">
        <v>2</v>
      </c>
      <c r="J347" s="175">
        <v>3</v>
      </c>
      <c r="K347" s="176">
        <v>0</v>
      </c>
      <c r="L347" s="177">
        <v>2000000000</v>
      </c>
      <c r="M347" s="172" t="s">
        <v>172</v>
      </c>
      <c r="N347" s="177" t="s">
        <v>85</v>
      </c>
      <c r="O347" s="173" t="s">
        <v>347</v>
      </c>
      <c r="P347" s="178" t="str">
        <f>IFERROR(VLOOKUP(C347,TD!$B$32:$F$36,2,0)," ")</f>
        <v>NA</v>
      </c>
      <c r="Q347" s="178" t="str">
        <f>IFERROR(VLOOKUP(C347,TD!$B$32:$F$36,3,0)," ")</f>
        <v>NA</v>
      </c>
      <c r="R347" s="178" t="str">
        <f>IFERROR(VLOOKUP(C347,TD!$B$32:$F$36,4,0)," ")</f>
        <v>NA</v>
      </c>
      <c r="S347" s="173" t="s">
        <v>409</v>
      </c>
      <c r="T347" s="178" t="str">
        <f>IFERROR(VLOOKUP(S347,TD!$J$33:$K$43,2,0)," ")</f>
        <v>N/A</v>
      </c>
      <c r="U347" s="127" t="str">
        <f>CONCATENATE(S347,"-",T347)</f>
        <v>N/A-N/A</v>
      </c>
      <c r="V347" s="173" t="s">
        <v>409</v>
      </c>
      <c r="W347" s="178" t="str">
        <f>IFERROR(VLOOKUP(V347,TD!$N$33:$O$45,2,0)," ")</f>
        <v>N/A</v>
      </c>
      <c r="X347" s="127" t="str">
        <f>CONCATENATE(V347,"_",W347)</f>
        <v>N/A_N/A</v>
      </c>
      <c r="Y347" s="127" t="str">
        <f>CONCATENATE(U347," ",X347)</f>
        <v>N/A-N/A N/A_N/A</v>
      </c>
      <c r="Z347" s="178" t="str">
        <f>CONCATENATE(P347,Q347,R347,S347,V347)</f>
        <v>NANANAN/AN/A</v>
      </c>
      <c r="AA347" s="178" t="str">
        <f>IFERROR(VLOOKUP(Y347,TD!$K$46:$L$64,2,0)," ")</f>
        <v>N/A</v>
      </c>
      <c r="AB347" s="177" t="s">
        <v>779</v>
      </c>
      <c r="AC347" s="179" t="s">
        <v>205</v>
      </c>
    </row>
    <row r="348" spans="2:29" s="28" customFormat="1" ht="74.25" customHeight="1" x14ac:dyDescent="0.35">
      <c r="B348" s="170">
        <v>20250493</v>
      </c>
      <c r="C348" s="171" t="s">
        <v>346</v>
      </c>
      <c r="D348" s="172" t="s">
        <v>166</v>
      </c>
      <c r="E348" s="173" t="s">
        <v>632</v>
      </c>
      <c r="F348" s="172" t="s">
        <v>730</v>
      </c>
      <c r="G348" s="172" t="s">
        <v>129</v>
      </c>
      <c r="H348" s="174" t="s">
        <v>729</v>
      </c>
      <c r="I348" s="175">
        <v>1</v>
      </c>
      <c r="J348" s="175">
        <v>3</v>
      </c>
      <c r="K348" s="176">
        <v>0</v>
      </c>
      <c r="L348" s="177">
        <v>14000000</v>
      </c>
      <c r="M348" s="172" t="s">
        <v>172</v>
      </c>
      <c r="N348" s="177" t="s">
        <v>85</v>
      </c>
      <c r="O348" s="173" t="s">
        <v>347</v>
      </c>
      <c r="P348" s="178" t="str">
        <f>IFERROR(VLOOKUP(C348,TD!$B$32:$F$36,2,0)," ")</f>
        <v>NA</v>
      </c>
      <c r="Q348" s="178" t="str">
        <f>IFERROR(VLOOKUP(C348,TD!$B$32:$F$36,3,0)," ")</f>
        <v>NA</v>
      </c>
      <c r="R348" s="178" t="str">
        <f>IFERROR(VLOOKUP(C348,TD!$B$32:$F$36,4,0)," ")</f>
        <v>NA</v>
      </c>
      <c r="S348" s="173" t="s">
        <v>409</v>
      </c>
      <c r="T348" s="178" t="str">
        <f>IFERROR(VLOOKUP(S348,TD!$J$33:$K$43,2,0)," ")</f>
        <v>N/A</v>
      </c>
      <c r="U348" s="127" t="str">
        <f>CONCATENATE(S348,"-",T348)</f>
        <v>N/A-N/A</v>
      </c>
      <c r="V348" s="173" t="s">
        <v>409</v>
      </c>
      <c r="W348" s="178" t="str">
        <f>IFERROR(VLOOKUP(V348,TD!$N$33:$O$45,2,0)," ")</f>
        <v>N/A</v>
      </c>
      <c r="X348" s="127" t="str">
        <f>CONCATENATE(V348,"_",W348)</f>
        <v>N/A_N/A</v>
      </c>
      <c r="Y348" s="127" t="str">
        <f>CONCATENATE(U348," ",X348)</f>
        <v>N/A-N/A N/A_N/A</v>
      </c>
      <c r="Z348" s="178" t="str">
        <f>CONCATENATE(P348,Q348,R348,S348,V348)</f>
        <v>NANANAN/AN/A</v>
      </c>
      <c r="AA348" s="178" t="str">
        <f>IFERROR(VLOOKUP(Y348,TD!$K$46:$L$64,2,0)," ")</f>
        <v>N/A</v>
      </c>
      <c r="AB348" s="177" t="s">
        <v>779</v>
      </c>
      <c r="AC348" s="179" t="s">
        <v>205</v>
      </c>
    </row>
    <row r="349" spans="2:29" s="28" customFormat="1" ht="74.25" customHeight="1" x14ac:dyDescent="0.35">
      <c r="B349" s="170">
        <v>20250494</v>
      </c>
      <c r="C349" s="171" t="s">
        <v>346</v>
      </c>
      <c r="D349" s="172" t="s">
        <v>166</v>
      </c>
      <c r="E349" s="173" t="s">
        <v>632</v>
      </c>
      <c r="F349" s="172" t="s">
        <v>731</v>
      </c>
      <c r="G349" s="172" t="s">
        <v>129</v>
      </c>
      <c r="H349" s="174" t="s">
        <v>729</v>
      </c>
      <c r="I349" s="175">
        <v>5</v>
      </c>
      <c r="J349" s="175">
        <v>10</v>
      </c>
      <c r="K349" s="176">
        <v>0</v>
      </c>
      <c r="L349" s="177">
        <v>5900939000</v>
      </c>
      <c r="M349" s="172" t="s">
        <v>172</v>
      </c>
      <c r="N349" s="177" t="s">
        <v>85</v>
      </c>
      <c r="O349" s="173" t="s">
        <v>347</v>
      </c>
      <c r="P349" s="178" t="str">
        <f>IFERROR(VLOOKUP(C349,TD!$B$32:$F$36,2,0)," ")</f>
        <v>NA</v>
      </c>
      <c r="Q349" s="178" t="str">
        <f>IFERROR(VLOOKUP(C349,TD!$B$32:$F$36,3,0)," ")</f>
        <v>NA</v>
      </c>
      <c r="R349" s="178" t="str">
        <f>IFERROR(VLOOKUP(C349,TD!$B$32:$F$36,4,0)," ")</f>
        <v>NA</v>
      </c>
      <c r="S349" s="173" t="s">
        <v>409</v>
      </c>
      <c r="T349" s="178" t="str">
        <f>IFERROR(VLOOKUP(S349,TD!$J$33:$K$43,2,0)," ")</f>
        <v>N/A</v>
      </c>
      <c r="U349" s="127" t="str">
        <f>CONCATENATE(S349,"-",T349)</f>
        <v>N/A-N/A</v>
      </c>
      <c r="V349" s="173" t="s">
        <v>409</v>
      </c>
      <c r="W349" s="178" t="str">
        <f>IFERROR(VLOOKUP(V349,TD!$N$33:$O$45,2,0)," ")</f>
        <v>N/A</v>
      </c>
      <c r="X349" s="127" t="str">
        <f>CONCATENATE(V349,"_",W349)</f>
        <v>N/A_N/A</v>
      </c>
      <c r="Y349" s="127" t="str">
        <f>CONCATENATE(U349," ",X349)</f>
        <v>N/A-N/A N/A_N/A</v>
      </c>
      <c r="Z349" s="178" t="str">
        <f>CONCATENATE(P349,Q349,R349,S349,V349)</f>
        <v>NANANAN/AN/A</v>
      </c>
      <c r="AA349" s="178" t="str">
        <f>IFERROR(VLOOKUP(Y349,TD!$K$46:$L$64,2,0)," ")</f>
        <v>N/A</v>
      </c>
      <c r="AB349" s="177" t="s">
        <v>779</v>
      </c>
      <c r="AC349" s="179" t="s">
        <v>204</v>
      </c>
    </row>
    <row r="350" spans="2:29" s="28" customFormat="1" ht="74.25" customHeight="1" x14ac:dyDescent="0.35">
      <c r="B350" s="170">
        <v>20250495</v>
      </c>
      <c r="C350" s="171" t="s">
        <v>346</v>
      </c>
      <c r="D350" s="172" t="s">
        <v>166</v>
      </c>
      <c r="E350" s="173" t="s">
        <v>632</v>
      </c>
      <c r="F350" s="172" t="s">
        <v>732</v>
      </c>
      <c r="G350" s="172" t="s">
        <v>133</v>
      </c>
      <c r="H350" s="174" t="s">
        <v>714</v>
      </c>
      <c r="I350" s="175">
        <v>2</v>
      </c>
      <c r="J350" s="175">
        <v>3</v>
      </c>
      <c r="K350" s="176">
        <v>0</v>
      </c>
      <c r="L350" s="177">
        <v>20003880</v>
      </c>
      <c r="M350" s="172" t="s">
        <v>172</v>
      </c>
      <c r="N350" s="177" t="s">
        <v>85</v>
      </c>
      <c r="O350" s="173" t="s">
        <v>347</v>
      </c>
      <c r="P350" s="178" t="str">
        <f>IFERROR(VLOOKUP(C350,TD!$B$32:$F$36,2,0)," ")</f>
        <v>NA</v>
      </c>
      <c r="Q350" s="178" t="str">
        <f>IFERROR(VLOOKUP(C350,TD!$B$32:$F$36,3,0)," ")</f>
        <v>NA</v>
      </c>
      <c r="R350" s="178" t="str">
        <f>IFERROR(VLOOKUP(C350,TD!$B$32:$F$36,4,0)," ")</f>
        <v>NA</v>
      </c>
      <c r="S350" s="173" t="s">
        <v>409</v>
      </c>
      <c r="T350" s="178" t="str">
        <f>IFERROR(VLOOKUP(S350,TD!$J$33:$K$43,2,0)," ")</f>
        <v>N/A</v>
      </c>
      <c r="U350" s="127" t="str">
        <f>CONCATENATE(S350,"-",T350)</f>
        <v>N/A-N/A</v>
      </c>
      <c r="V350" s="173" t="s">
        <v>409</v>
      </c>
      <c r="W350" s="178" t="str">
        <f>IFERROR(VLOOKUP(V350,TD!$N$33:$O$45,2,0)," ")</f>
        <v>N/A</v>
      </c>
      <c r="X350" s="127" t="str">
        <f>CONCATENATE(V350,"_",W350)</f>
        <v>N/A_N/A</v>
      </c>
      <c r="Y350" s="127" t="str">
        <f>CONCATENATE(U350," ",X350)</f>
        <v>N/A-N/A N/A_N/A</v>
      </c>
      <c r="Z350" s="178" t="str">
        <f>CONCATENATE(P350,Q350,R350,S350,V350)</f>
        <v>NANANAN/AN/A</v>
      </c>
      <c r="AA350" s="178" t="str">
        <f>IFERROR(VLOOKUP(Y350,TD!$K$46:$L$64,2,0)," ")</f>
        <v>N/A</v>
      </c>
      <c r="AB350" s="177" t="s">
        <v>779</v>
      </c>
      <c r="AC350" s="179" t="s">
        <v>205</v>
      </c>
    </row>
    <row r="351" spans="2:29" s="28" customFormat="1" ht="74.25" customHeight="1" x14ac:dyDescent="0.35">
      <c r="B351" s="170">
        <v>20250496</v>
      </c>
      <c r="C351" s="171" t="s">
        <v>346</v>
      </c>
      <c r="D351" s="172" t="s">
        <v>166</v>
      </c>
      <c r="E351" s="173" t="s">
        <v>632</v>
      </c>
      <c r="F351" s="172" t="s">
        <v>733</v>
      </c>
      <c r="G351" s="172" t="s">
        <v>157</v>
      </c>
      <c r="H351" s="174" t="s">
        <v>853</v>
      </c>
      <c r="I351" s="175">
        <v>3</v>
      </c>
      <c r="J351" s="175">
        <v>9</v>
      </c>
      <c r="K351" s="176">
        <v>0</v>
      </c>
      <c r="L351" s="177">
        <v>10000000</v>
      </c>
      <c r="M351" s="172" t="s">
        <v>172</v>
      </c>
      <c r="N351" s="177" t="s">
        <v>701</v>
      </c>
      <c r="O351" s="173" t="s">
        <v>347</v>
      </c>
      <c r="P351" s="178" t="str">
        <f>IFERROR(VLOOKUP(C351,TD!$B$32:$F$36,2,0)," ")</f>
        <v>NA</v>
      </c>
      <c r="Q351" s="178" t="str">
        <f>IFERROR(VLOOKUP(C351,TD!$B$32:$F$36,3,0)," ")</f>
        <v>NA</v>
      </c>
      <c r="R351" s="178" t="str">
        <f>IFERROR(VLOOKUP(C351,TD!$B$32:$F$36,4,0)," ")</f>
        <v>NA</v>
      </c>
      <c r="S351" s="173" t="s">
        <v>409</v>
      </c>
      <c r="T351" s="178" t="str">
        <f>IFERROR(VLOOKUP(S351,TD!$J$33:$K$43,2,0)," ")</f>
        <v>N/A</v>
      </c>
      <c r="U351" s="127" t="str">
        <f>CONCATENATE(S351,"-",T351)</f>
        <v>N/A-N/A</v>
      </c>
      <c r="V351" s="173" t="s">
        <v>409</v>
      </c>
      <c r="W351" s="178" t="str">
        <f>IFERROR(VLOOKUP(V351,TD!$N$33:$O$45,2,0)," ")</f>
        <v>N/A</v>
      </c>
      <c r="X351" s="127" t="str">
        <f>CONCATENATE(V351,"_",W351)</f>
        <v>N/A_N/A</v>
      </c>
      <c r="Y351" s="127" t="str">
        <f>CONCATENATE(U351," ",X351)</f>
        <v>N/A-N/A N/A_N/A</v>
      </c>
      <c r="Z351" s="178" t="str">
        <f>CONCATENATE(P351,Q351,R351,S351,V351)</f>
        <v>NANANAN/AN/A</v>
      </c>
      <c r="AA351" s="178" t="str">
        <f>IFERROR(VLOOKUP(Y351,TD!$K$46:$L$64,2,0)," ")</f>
        <v>N/A</v>
      </c>
      <c r="AB351" s="177" t="s">
        <v>779</v>
      </c>
      <c r="AC351" s="179" t="s">
        <v>204</v>
      </c>
    </row>
    <row r="352" spans="2:29" s="28" customFormat="1" ht="74.25" customHeight="1" x14ac:dyDescent="0.35">
      <c r="B352" s="170">
        <v>20250497</v>
      </c>
      <c r="C352" s="171" t="s">
        <v>346</v>
      </c>
      <c r="D352" s="172" t="s">
        <v>166</v>
      </c>
      <c r="E352" s="173" t="s">
        <v>632</v>
      </c>
      <c r="F352" s="172" t="s">
        <v>734</v>
      </c>
      <c r="G352" s="172" t="s">
        <v>96</v>
      </c>
      <c r="H352" s="174" t="s">
        <v>854</v>
      </c>
      <c r="I352" s="175">
        <v>3</v>
      </c>
      <c r="J352" s="175">
        <v>2</v>
      </c>
      <c r="K352" s="176">
        <v>0</v>
      </c>
      <c r="L352" s="177">
        <v>2000000</v>
      </c>
      <c r="M352" s="172" t="s">
        <v>172</v>
      </c>
      <c r="N352" s="177" t="s">
        <v>701</v>
      </c>
      <c r="O352" s="173" t="s">
        <v>347</v>
      </c>
      <c r="P352" s="178" t="str">
        <f>IFERROR(VLOOKUP(C352,TD!$B$32:$F$36,2,0)," ")</f>
        <v>NA</v>
      </c>
      <c r="Q352" s="178" t="str">
        <f>IFERROR(VLOOKUP(C352,TD!$B$32:$F$36,3,0)," ")</f>
        <v>NA</v>
      </c>
      <c r="R352" s="178" t="str">
        <f>IFERROR(VLOOKUP(C352,TD!$B$32:$F$36,4,0)," ")</f>
        <v>NA</v>
      </c>
      <c r="S352" s="173" t="s">
        <v>409</v>
      </c>
      <c r="T352" s="178" t="str">
        <f>IFERROR(VLOOKUP(S352,TD!$J$33:$K$43,2,0)," ")</f>
        <v>N/A</v>
      </c>
      <c r="U352" s="127" t="str">
        <f>CONCATENATE(S352,"-",T352)</f>
        <v>N/A-N/A</v>
      </c>
      <c r="V352" s="173" t="s">
        <v>409</v>
      </c>
      <c r="W352" s="178" t="str">
        <f>IFERROR(VLOOKUP(V352,TD!$N$33:$O$45,2,0)," ")</f>
        <v>N/A</v>
      </c>
      <c r="X352" s="127" t="str">
        <f>CONCATENATE(V352,"_",W352)</f>
        <v>N/A_N/A</v>
      </c>
      <c r="Y352" s="127" t="str">
        <f>CONCATENATE(U352," ",X352)</f>
        <v>N/A-N/A N/A_N/A</v>
      </c>
      <c r="Z352" s="178" t="str">
        <f>CONCATENATE(P352,Q352,R352,S352,V352)</f>
        <v>NANANAN/AN/A</v>
      </c>
      <c r="AA352" s="178" t="str">
        <f>IFERROR(VLOOKUP(Y352,TD!$K$46:$L$64,2,0)," ")</f>
        <v>N/A</v>
      </c>
      <c r="AB352" s="177" t="s">
        <v>779</v>
      </c>
      <c r="AC352" s="179" t="s">
        <v>204</v>
      </c>
    </row>
    <row r="353" spans="2:30" s="28" customFormat="1" ht="74.25" customHeight="1" x14ac:dyDescent="0.35">
      <c r="B353" s="170">
        <v>20250498</v>
      </c>
      <c r="C353" s="171" t="s">
        <v>346</v>
      </c>
      <c r="D353" s="172" t="s">
        <v>166</v>
      </c>
      <c r="E353" s="173" t="s">
        <v>632</v>
      </c>
      <c r="F353" s="172" t="s">
        <v>735</v>
      </c>
      <c r="G353" s="172" t="s">
        <v>157</v>
      </c>
      <c r="H353" s="174" t="s">
        <v>853</v>
      </c>
      <c r="I353" s="175">
        <v>3</v>
      </c>
      <c r="J353" s="175">
        <v>9</v>
      </c>
      <c r="K353" s="176">
        <v>0</v>
      </c>
      <c r="L353" s="177">
        <v>38000000</v>
      </c>
      <c r="M353" s="172" t="s">
        <v>172</v>
      </c>
      <c r="N353" s="177" t="s">
        <v>701</v>
      </c>
      <c r="O353" s="173" t="s">
        <v>347</v>
      </c>
      <c r="P353" s="178" t="str">
        <f>IFERROR(VLOOKUP(C353,TD!$B$32:$F$36,2,0)," ")</f>
        <v>NA</v>
      </c>
      <c r="Q353" s="178" t="str">
        <f>IFERROR(VLOOKUP(C353,TD!$B$32:$F$36,3,0)," ")</f>
        <v>NA</v>
      </c>
      <c r="R353" s="178" t="str">
        <f>IFERROR(VLOOKUP(C353,TD!$B$32:$F$36,4,0)," ")</f>
        <v>NA</v>
      </c>
      <c r="S353" s="173" t="s">
        <v>409</v>
      </c>
      <c r="T353" s="178" t="str">
        <f>IFERROR(VLOOKUP(S353,TD!$J$33:$K$43,2,0)," ")</f>
        <v>N/A</v>
      </c>
      <c r="U353" s="127" t="str">
        <f>CONCATENATE(S353,"-",T353)</f>
        <v>N/A-N/A</v>
      </c>
      <c r="V353" s="173" t="s">
        <v>409</v>
      </c>
      <c r="W353" s="178" t="str">
        <f>IFERROR(VLOOKUP(V353,TD!$N$33:$O$45,2,0)," ")</f>
        <v>N/A</v>
      </c>
      <c r="X353" s="127" t="str">
        <f>CONCATENATE(V353,"_",W353)</f>
        <v>N/A_N/A</v>
      </c>
      <c r="Y353" s="127" t="str">
        <f>CONCATENATE(U353," ",X353)</f>
        <v>N/A-N/A N/A_N/A</v>
      </c>
      <c r="Z353" s="178" t="str">
        <f>CONCATENATE(P353,Q353,R353,S353,V353)</f>
        <v>NANANAN/AN/A</v>
      </c>
      <c r="AA353" s="178" t="str">
        <f>IFERROR(VLOOKUP(Y353,TD!$K$46:$L$64,2,0)," ")</f>
        <v>N/A</v>
      </c>
      <c r="AB353" s="177" t="s">
        <v>779</v>
      </c>
      <c r="AC353" s="179" t="s">
        <v>204</v>
      </c>
    </row>
    <row r="354" spans="2:30" s="28" customFormat="1" ht="74.25" customHeight="1" x14ac:dyDescent="0.35">
      <c r="B354" s="170">
        <v>20250499</v>
      </c>
      <c r="C354" s="171" t="s">
        <v>346</v>
      </c>
      <c r="D354" s="172" t="s">
        <v>166</v>
      </c>
      <c r="E354" s="173" t="s">
        <v>632</v>
      </c>
      <c r="F354" s="172" t="s">
        <v>736</v>
      </c>
      <c r="G354" s="172" t="s">
        <v>157</v>
      </c>
      <c r="H354" s="174" t="s">
        <v>853</v>
      </c>
      <c r="I354" s="175">
        <v>3</v>
      </c>
      <c r="J354" s="175">
        <v>9</v>
      </c>
      <c r="K354" s="176">
        <v>0</v>
      </c>
      <c r="L354" s="177">
        <v>10000000</v>
      </c>
      <c r="M354" s="172" t="s">
        <v>172</v>
      </c>
      <c r="N354" s="177" t="s">
        <v>701</v>
      </c>
      <c r="O354" s="173" t="s">
        <v>347</v>
      </c>
      <c r="P354" s="178" t="str">
        <f>IFERROR(VLOOKUP(C354,TD!$B$32:$F$36,2,0)," ")</f>
        <v>NA</v>
      </c>
      <c r="Q354" s="178" t="str">
        <f>IFERROR(VLOOKUP(C354,TD!$B$32:$F$36,3,0)," ")</f>
        <v>NA</v>
      </c>
      <c r="R354" s="178" t="str">
        <f>IFERROR(VLOOKUP(C354,TD!$B$32:$F$36,4,0)," ")</f>
        <v>NA</v>
      </c>
      <c r="S354" s="173" t="s">
        <v>409</v>
      </c>
      <c r="T354" s="178" t="str">
        <f>IFERROR(VLOOKUP(S354,TD!$J$33:$K$43,2,0)," ")</f>
        <v>N/A</v>
      </c>
      <c r="U354" s="127" t="str">
        <f>CONCATENATE(S354,"-",T354)</f>
        <v>N/A-N/A</v>
      </c>
      <c r="V354" s="173" t="s">
        <v>409</v>
      </c>
      <c r="W354" s="178" t="str">
        <f>IFERROR(VLOOKUP(V354,TD!$N$33:$O$45,2,0)," ")</f>
        <v>N/A</v>
      </c>
      <c r="X354" s="127" t="str">
        <f>CONCATENATE(V354,"_",W354)</f>
        <v>N/A_N/A</v>
      </c>
      <c r="Y354" s="127" t="str">
        <f>CONCATENATE(U354," ",X354)</f>
        <v>N/A-N/A N/A_N/A</v>
      </c>
      <c r="Z354" s="178" t="str">
        <f>CONCATENATE(P354,Q354,R354,S354,V354)</f>
        <v>NANANAN/AN/A</v>
      </c>
      <c r="AA354" s="178" t="str">
        <f>IFERROR(VLOOKUP(Y354,TD!$K$46:$L$64,2,0)," ")</f>
        <v>N/A</v>
      </c>
      <c r="AB354" s="177" t="s">
        <v>779</v>
      </c>
      <c r="AC354" s="179" t="s">
        <v>204</v>
      </c>
      <c r="AD354" s="141"/>
    </row>
    <row r="355" spans="2:30" s="28" customFormat="1" ht="97.5" customHeight="1" x14ac:dyDescent="0.35">
      <c r="B355" s="170">
        <v>20250500</v>
      </c>
      <c r="C355" s="171" t="s">
        <v>346</v>
      </c>
      <c r="D355" s="172" t="s">
        <v>166</v>
      </c>
      <c r="E355" s="173" t="s">
        <v>632</v>
      </c>
      <c r="F355" s="172" t="s">
        <v>737</v>
      </c>
      <c r="G355" s="172" t="s">
        <v>157</v>
      </c>
      <c r="H355" s="174" t="s">
        <v>738</v>
      </c>
      <c r="I355" s="175">
        <v>1</v>
      </c>
      <c r="J355" s="175">
        <v>10</v>
      </c>
      <c r="K355" s="176">
        <v>0</v>
      </c>
      <c r="L355" s="177">
        <v>40000000</v>
      </c>
      <c r="M355" s="172" t="s">
        <v>172</v>
      </c>
      <c r="N355" s="177" t="s">
        <v>100</v>
      </c>
      <c r="O355" s="173" t="s">
        <v>347</v>
      </c>
      <c r="P355" s="178" t="str">
        <f>IFERROR(VLOOKUP(C355,TD!$B$32:$F$36,2,0)," ")</f>
        <v>NA</v>
      </c>
      <c r="Q355" s="178" t="str">
        <f>IFERROR(VLOOKUP(C355,TD!$B$32:$F$36,3,0)," ")</f>
        <v>NA</v>
      </c>
      <c r="R355" s="178" t="str">
        <f>IFERROR(VLOOKUP(C355,TD!$B$32:$F$36,4,0)," ")</f>
        <v>NA</v>
      </c>
      <c r="S355" s="173" t="s">
        <v>409</v>
      </c>
      <c r="T355" s="178" t="str">
        <f>IFERROR(VLOOKUP(S355,TD!$J$33:$K$43,2,0)," ")</f>
        <v>N/A</v>
      </c>
      <c r="U355" s="127" t="str">
        <f>CONCATENATE(S355,"-",T355)</f>
        <v>N/A-N/A</v>
      </c>
      <c r="V355" s="173" t="s">
        <v>409</v>
      </c>
      <c r="W355" s="178" t="str">
        <f>IFERROR(VLOOKUP(V355,TD!$N$33:$O$45,2,0)," ")</f>
        <v>N/A</v>
      </c>
      <c r="X355" s="127" t="str">
        <f>CONCATENATE(V355,"_",W355)</f>
        <v>N/A_N/A</v>
      </c>
      <c r="Y355" s="127" t="str">
        <f>CONCATENATE(U355," ",X355)</f>
        <v>N/A-N/A N/A_N/A</v>
      </c>
      <c r="Z355" s="178" t="str">
        <f>CONCATENATE(P355,Q355,R355,S355,V355)</f>
        <v>NANANAN/AN/A</v>
      </c>
      <c r="AA355" s="178" t="str">
        <f>IFERROR(VLOOKUP(Y355,TD!$K$46:$L$64,2,0)," ")</f>
        <v>N/A</v>
      </c>
      <c r="AB355" s="177" t="s">
        <v>779</v>
      </c>
      <c r="AC355" s="179" t="s">
        <v>204</v>
      </c>
    </row>
    <row r="356" spans="2:30" s="28" customFormat="1" ht="90.5" customHeight="1" x14ac:dyDescent="0.35">
      <c r="B356" s="170">
        <v>20250501</v>
      </c>
      <c r="C356" s="171" t="s">
        <v>346</v>
      </c>
      <c r="D356" s="172" t="s">
        <v>166</v>
      </c>
      <c r="E356" s="173" t="s">
        <v>632</v>
      </c>
      <c r="F356" s="172" t="s">
        <v>739</v>
      </c>
      <c r="G356" s="172" t="s">
        <v>96</v>
      </c>
      <c r="H356" s="174" t="s">
        <v>740</v>
      </c>
      <c r="I356" s="175">
        <v>3</v>
      </c>
      <c r="J356" s="175">
        <v>10</v>
      </c>
      <c r="K356" s="176">
        <v>0</v>
      </c>
      <c r="L356" s="177">
        <v>30000000</v>
      </c>
      <c r="M356" s="172" t="s">
        <v>172</v>
      </c>
      <c r="N356" s="177" t="s">
        <v>100</v>
      </c>
      <c r="O356" s="173" t="s">
        <v>347</v>
      </c>
      <c r="P356" s="178" t="str">
        <f>IFERROR(VLOOKUP(C356,TD!$B$32:$F$36,2,0)," ")</f>
        <v>NA</v>
      </c>
      <c r="Q356" s="178" t="str">
        <f>IFERROR(VLOOKUP(C356,TD!$B$32:$F$36,3,0)," ")</f>
        <v>NA</v>
      </c>
      <c r="R356" s="178" t="str">
        <f>IFERROR(VLOOKUP(C356,TD!$B$32:$F$36,4,0)," ")</f>
        <v>NA</v>
      </c>
      <c r="S356" s="173" t="s">
        <v>409</v>
      </c>
      <c r="T356" s="178" t="str">
        <f>IFERROR(VLOOKUP(S356,TD!$J$33:$K$43,2,0)," ")</f>
        <v>N/A</v>
      </c>
      <c r="U356" s="127" t="str">
        <f>CONCATENATE(S356,"-",T356)</f>
        <v>N/A-N/A</v>
      </c>
      <c r="V356" s="173" t="s">
        <v>409</v>
      </c>
      <c r="W356" s="178" t="str">
        <f>IFERROR(VLOOKUP(V356,TD!$N$33:$O$45,2,0)," ")</f>
        <v>N/A</v>
      </c>
      <c r="X356" s="127" t="str">
        <f>CONCATENATE(V356,"_",W356)</f>
        <v>N/A_N/A</v>
      </c>
      <c r="Y356" s="127" t="str">
        <f>CONCATENATE(U356," ",X356)</f>
        <v>N/A-N/A N/A_N/A</v>
      </c>
      <c r="Z356" s="178" t="str">
        <f>CONCATENATE(P356,Q356,R356,S356,V356)</f>
        <v>NANANAN/AN/A</v>
      </c>
      <c r="AA356" s="178" t="str">
        <f>IFERROR(VLOOKUP(Y356,TD!$K$46:$L$64,2,0)," ")</f>
        <v>N/A</v>
      </c>
      <c r="AB356" s="177" t="s">
        <v>779</v>
      </c>
      <c r="AC356" s="179" t="s">
        <v>204</v>
      </c>
    </row>
    <row r="357" spans="2:30" s="28" customFormat="1" ht="89.5" customHeight="1" x14ac:dyDescent="0.35">
      <c r="B357" s="170">
        <v>20250502</v>
      </c>
      <c r="C357" s="171" t="s">
        <v>346</v>
      </c>
      <c r="D357" s="172" t="s">
        <v>166</v>
      </c>
      <c r="E357" s="173" t="s">
        <v>632</v>
      </c>
      <c r="F357" s="172" t="s">
        <v>741</v>
      </c>
      <c r="G357" s="172" t="s">
        <v>119</v>
      </c>
      <c r="H357" s="174" t="s">
        <v>742</v>
      </c>
      <c r="I357" s="175">
        <v>3</v>
      </c>
      <c r="J357" s="175">
        <v>8</v>
      </c>
      <c r="K357" s="176">
        <v>0</v>
      </c>
      <c r="L357" s="177">
        <v>10000000</v>
      </c>
      <c r="M357" s="172" t="s">
        <v>172</v>
      </c>
      <c r="N357" s="177" t="s">
        <v>100</v>
      </c>
      <c r="O357" s="173" t="s">
        <v>347</v>
      </c>
      <c r="P357" s="178" t="str">
        <f>IFERROR(VLOOKUP(C357,TD!$B$32:$F$36,2,0)," ")</f>
        <v>NA</v>
      </c>
      <c r="Q357" s="178" t="str">
        <f>IFERROR(VLOOKUP(C357,TD!$B$32:$F$36,3,0)," ")</f>
        <v>NA</v>
      </c>
      <c r="R357" s="178" t="str">
        <f>IFERROR(VLOOKUP(C357,TD!$B$32:$F$36,4,0)," ")</f>
        <v>NA</v>
      </c>
      <c r="S357" s="173" t="s">
        <v>409</v>
      </c>
      <c r="T357" s="178" t="str">
        <f>IFERROR(VLOOKUP(S357,TD!$J$33:$K$43,2,0)," ")</f>
        <v>N/A</v>
      </c>
      <c r="U357" s="127" t="str">
        <f>CONCATENATE(S357,"-",T357)</f>
        <v>N/A-N/A</v>
      </c>
      <c r="V357" s="173" t="s">
        <v>409</v>
      </c>
      <c r="W357" s="178" t="str">
        <f>IFERROR(VLOOKUP(V357,TD!$N$33:$O$45,2,0)," ")</f>
        <v>N/A</v>
      </c>
      <c r="X357" s="127" t="str">
        <f>CONCATENATE(V357,"_",W357)</f>
        <v>N/A_N/A</v>
      </c>
      <c r="Y357" s="127" t="str">
        <f>CONCATENATE(U357," ",X357)</f>
        <v>N/A-N/A N/A_N/A</v>
      </c>
      <c r="Z357" s="178" t="str">
        <f>CONCATENATE(P357,Q357,R357,S357,V357)</f>
        <v>NANANAN/AN/A</v>
      </c>
      <c r="AA357" s="178" t="str">
        <f>IFERROR(VLOOKUP(Y357,TD!$K$46:$L$64,2,0)," ")</f>
        <v>N/A</v>
      </c>
      <c r="AB357" s="177" t="s">
        <v>779</v>
      </c>
      <c r="AC357" s="179" t="s">
        <v>204</v>
      </c>
    </row>
    <row r="358" spans="2:30" s="28" customFormat="1" ht="74.25" customHeight="1" x14ac:dyDescent="0.35">
      <c r="B358" s="170">
        <v>20250503</v>
      </c>
      <c r="C358" s="171" t="s">
        <v>346</v>
      </c>
      <c r="D358" s="172" t="s">
        <v>166</v>
      </c>
      <c r="E358" s="173" t="s">
        <v>632</v>
      </c>
      <c r="F358" s="172" t="s">
        <v>743</v>
      </c>
      <c r="G358" s="172" t="s">
        <v>119</v>
      </c>
      <c r="H358" s="174" t="s">
        <v>744</v>
      </c>
      <c r="I358" s="175">
        <v>2</v>
      </c>
      <c r="J358" s="175">
        <v>3</v>
      </c>
      <c r="K358" s="176">
        <v>0</v>
      </c>
      <c r="L358" s="177">
        <v>29250000</v>
      </c>
      <c r="M358" s="172" t="s">
        <v>172</v>
      </c>
      <c r="N358" s="177" t="s">
        <v>100</v>
      </c>
      <c r="O358" s="173" t="s">
        <v>347</v>
      </c>
      <c r="P358" s="178" t="str">
        <f>IFERROR(VLOOKUP(C358,TD!$B$32:$F$36,2,0)," ")</f>
        <v>NA</v>
      </c>
      <c r="Q358" s="178" t="str">
        <f>IFERROR(VLOOKUP(C358,TD!$B$32:$F$36,3,0)," ")</f>
        <v>NA</v>
      </c>
      <c r="R358" s="178" t="str">
        <f>IFERROR(VLOOKUP(C358,TD!$B$32:$F$36,4,0)," ")</f>
        <v>NA</v>
      </c>
      <c r="S358" s="173" t="s">
        <v>409</v>
      </c>
      <c r="T358" s="178" t="str">
        <f>IFERROR(VLOOKUP(S358,TD!$J$33:$K$43,2,0)," ")</f>
        <v>N/A</v>
      </c>
      <c r="U358" s="127" t="str">
        <f>CONCATENATE(S358,"-",T358)</f>
        <v>N/A-N/A</v>
      </c>
      <c r="V358" s="173" t="s">
        <v>409</v>
      </c>
      <c r="W358" s="178" t="str">
        <f>IFERROR(VLOOKUP(V358,TD!$N$33:$O$45,2,0)," ")</f>
        <v>N/A</v>
      </c>
      <c r="X358" s="127" t="str">
        <f>CONCATENATE(V358,"_",W358)</f>
        <v>N/A_N/A</v>
      </c>
      <c r="Y358" s="127" t="str">
        <f>CONCATENATE(U358," ",X358)</f>
        <v>N/A-N/A N/A_N/A</v>
      </c>
      <c r="Z358" s="178" t="str">
        <f>CONCATENATE(P358,Q358,R358,S358,V358)</f>
        <v>NANANAN/AN/A</v>
      </c>
      <c r="AA358" s="178" t="str">
        <f>IFERROR(VLOOKUP(Y358,TD!$K$46:$L$64,2,0)," ")</f>
        <v>N/A</v>
      </c>
      <c r="AB358" s="177" t="s">
        <v>779</v>
      </c>
      <c r="AC358" s="179" t="s">
        <v>205</v>
      </c>
    </row>
    <row r="359" spans="2:30" s="28" customFormat="1" ht="74.25" customHeight="1" x14ac:dyDescent="0.35">
      <c r="B359" s="170">
        <v>20250504</v>
      </c>
      <c r="C359" s="171" t="s">
        <v>208</v>
      </c>
      <c r="D359" s="172" t="s">
        <v>166</v>
      </c>
      <c r="E359" s="173" t="s">
        <v>632</v>
      </c>
      <c r="F359" s="172" t="s">
        <v>655</v>
      </c>
      <c r="G359" s="172" t="s">
        <v>96</v>
      </c>
      <c r="H359" s="174" t="s">
        <v>727</v>
      </c>
      <c r="I359" s="175">
        <v>4</v>
      </c>
      <c r="J359" s="175">
        <v>8</v>
      </c>
      <c r="K359" s="176">
        <v>0</v>
      </c>
      <c r="L359" s="177">
        <v>600000000</v>
      </c>
      <c r="M359" s="172" t="s">
        <v>484</v>
      </c>
      <c r="N359" s="177" t="s">
        <v>85</v>
      </c>
      <c r="O359" s="173" t="s">
        <v>218</v>
      </c>
      <c r="P359" s="178" t="str">
        <f>IFERROR(VLOOKUP(C359,TD!$B$32:$F$36,2,0)," ")</f>
        <v>O230117</v>
      </c>
      <c r="Q359" s="178" t="str">
        <f>IFERROR(VLOOKUP(C359,TD!$B$32:$F$36,3,0)," ")</f>
        <v>4599</v>
      </c>
      <c r="R359" s="178">
        <f>IFERROR(VLOOKUP(C359,TD!$B$32:$F$36,4,0)," ")</f>
        <v>20240207</v>
      </c>
      <c r="S359" s="173" t="s">
        <v>185</v>
      </c>
      <c r="T359" s="178" t="str">
        <f>IFERROR(VLOOKUP(S359,TD!$J$33:$K$43,2,0)," ")</f>
        <v>Infraestructura física, mantenimiento y dotación (Sedes construidas, mantenidas reforzadas)</v>
      </c>
      <c r="U359" s="127" t="str">
        <f>CONCATENATE(S359,"-",T359)</f>
        <v>08-Infraestructura física, mantenimiento y dotación (Sedes construidas, mantenidas reforzadas)</v>
      </c>
      <c r="V359" s="173" t="s">
        <v>238</v>
      </c>
      <c r="W359" s="178" t="str">
        <f>IFERROR(VLOOKUP(V359,TD!$N$33:$O$45,2,0)," ")</f>
        <v>Sedes mantenidas</v>
      </c>
      <c r="X359" s="127" t="str">
        <f>CONCATENATE(V359,"_",W359)</f>
        <v>016_Sedes mantenidas</v>
      </c>
      <c r="Y359" s="127" t="str">
        <f>CONCATENATE(U359," ",X359)</f>
        <v>08-Infraestructura física, mantenimiento y dotación (Sedes construidas, mantenidas reforzadas) 016_Sedes mantenidas</v>
      </c>
      <c r="Z359" s="178" t="str">
        <f>CONCATENATE(P359,Q359,R359,S359,V359)</f>
        <v>O23011745992024020708016</v>
      </c>
      <c r="AA359" s="178" t="str">
        <f>IFERROR(VLOOKUP(Y359,TD!$K$46:$L$64,2,0)," ")</f>
        <v>PM/0131/0108/45990160207</v>
      </c>
      <c r="AB359" s="177" t="s">
        <v>141</v>
      </c>
      <c r="AC359" s="179" t="s">
        <v>204</v>
      </c>
    </row>
    <row r="360" spans="2:30" s="28" customFormat="1" ht="91.5" customHeight="1" x14ac:dyDescent="0.35">
      <c r="B360" s="170">
        <v>20250505</v>
      </c>
      <c r="C360" s="171" t="s">
        <v>208</v>
      </c>
      <c r="D360" s="172" t="s">
        <v>166</v>
      </c>
      <c r="E360" s="173" t="s">
        <v>632</v>
      </c>
      <c r="F360" s="172" t="s">
        <v>671</v>
      </c>
      <c r="G360" s="172" t="s">
        <v>157</v>
      </c>
      <c r="H360" s="174" t="s">
        <v>855</v>
      </c>
      <c r="I360" s="175">
        <v>2</v>
      </c>
      <c r="J360" s="175">
        <v>9</v>
      </c>
      <c r="K360" s="176">
        <v>0</v>
      </c>
      <c r="L360" s="177">
        <v>60000000</v>
      </c>
      <c r="M360" s="172" t="s">
        <v>484</v>
      </c>
      <c r="N360" s="177" t="s">
        <v>100</v>
      </c>
      <c r="O360" s="173" t="s">
        <v>218</v>
      </c>
      <c r="P360" s="178" t="str">
        <f>IFERROR(VLOOKUP(C360,TD!$B$32:$F$36,2,0)," ")</f>
        <v>O230117</v>
      </c>
      <c r="Q360" s="178" t="str">
        <f>IFERROR(VLOOKUP(C360,TD!$B$32:$F$36,3,0)," ")</f>
        <v>4599</v>
      </c>
      <c r="R360" s="178">
        <f>IFERROR(VLOOKUP(C360,TD!$B$32:$F$36,4,0)," ")</f>
        <v>20240207</v>
      </c>
      <c r="S360" s="173" t="s">
        <v>185</v>
      </c>
      <c r="T360" s="178" t="str">
        <f>IFERROR(VLOOKUP(S360,TD!$J$33:$K$43,2,0)," ")</f>
        <v>Infraestructura física, mantenimiento y dotación (Sedes construidas, mantenidas reforzadas)</v>
      </c>
      <c r="U360" s="127" t="str">
        <f>CONCATENATE(S360,"-",T360)</f>
        <v>08-Infraestructura física, mantenimiento y dotación (Sedes construidas, mantenidas reforzadas)</v>
      </c>
      <c r="V360" s="173" t="s">
        <v>238</v>
      </c>
      <c r="W360" s="178" t="str">
        <f>IFERROR(VLOOKUP(V360,TD!$N$33:$O$45,2,0)," ")</f>
        <v>Sedes mantenidas</v>
      </c>
      <c r="X360" s="127" t="str">
        <f>CONCATENATE(V360,"_",W360)</f>
        <v>016_Sedes mantenidas</v>
      </c>
      <c r="Y360" s="127" t="str">
        <f>CONCATENATE(U360," ",X360)</f>
        <v>08-Infraestructura física, mantenimiento y dotación (Sedes construidas, mantenidas reforzadas) 016_Sedes mantenidas</v>
      </c>
      <c r="Z360" s="178" t="str">
        <f>CONCATENATE(P360,Q360,R360,S360,V360)</f>
        <v>O23011745992024020708016</v>
      </c>
      <c r="AA360" s="178" t="str">
        <f>IFERROR(VLOOKUP(Y360,TD!$K$46:$L$64,2,0)," ")</f>
        <v>PM/0131/0108/45990160207</v>
      </c>
      <c r="AB360" s="177" t="s">
        <v>778</v>
      </c>
      <c r="AC360" s="179" t="s">
        <v>204</v>
      </c>
    </row>
    <row r="361" spans="2:30" s="28" customFormat="1" ht="94" customHeight="1" x14ac:dyDescent="0.35">
      <c r="B361" s="170">
        <v>20250506</v>
      </c>
      <c r="C361" s="171" t="s">
        <v>208</v>
      </c>
      <c r="D361" s="172" t="s">
        <v>166</v>
      </c>
      <c r="E361" s="173" t="s">
        <v>632</v>
      </c>
      <c r="F361" s="172" t="s">
        <v>673</v>
      </c>
      <c r="G361" s="172" t="s">
        <v>157</v>
      </c>
      <c r="H361" s="174" t="s">
        <v>745</v>
      </c>
      <c r="I361" s="175">
        <v>4</v>
      </c>
      <c r="J361" s="175">
        <v>6</v>
      </c>
      <c r="K361" s="176">
        <v>0</v>
      </c>
      <c r="L361" s="177">
        <v>150000000</v>
      </c>
      <c r="M361" s="172" t="s">
        <v>484</v>
      </c>
      <c r="N361" s="177" t="s">
        <v>90</v>
      </c>
      <c r="O361" s="173" t="s">
        <v>218</v>
      </c>
      <c r="P361" s="178" t="str">
        <f>IFERROR(VLOOKUP(C361,TD!$B$32:$F$36,2,0)," ")</f>
        <v>O230117</v>
      </c>
      <c r="Q361" s="178" t="str">
        <f>IFERROR(VLOOKUP(C361,TD!$B$32:$F$36,3,0)," ")</f>
        <v>4599</v>
      </c>
      <c r="R361" s="178">
        <f>IFERROR(VLOOKUP(C361,TD!$B$32:$F$36,4,0)," ")</f>
        <v>20240207</v>
      </c>
      <c r="S361" s="173" t="s">
        <v>185</v>
      </c>
      <c r="T361" s="178" t="str">
        <f>IFERROR(VLOOKUP(S361,TD!$J$33:$K$43,2,0)," ")</f>
        <v>Infraestructura física, mantenimiento y dotación (Sedes construidas, mantenidas reforzadas)</v>
      </c>
      <c r="U361" s="127" t="str">
        <f>CONCATENATE(S361,"-",T361)</f>
        <v>08-Infraestructura física, mantenimiento y dotación (Sedes construidas, mantenidas reforzadas)</v>
      </c>
      <c r="V361" s="173" t="s">
        <v>238</v>
      </c>
      <c r="W361" s="178" t="str">
        <f>IFERROR(VLOOKUP(V361,TD!$N$33:$O$45,2,0)," ")</f>
        <v>Sedes mantenidas</v>
      </c>
      <c r="X361" s="127" t="str">
        <f>CONCATENATE(V361,"_",W361)</f>
        <v>016_Sedes mantenidas</v>
      </c>
      <c r="Y361" s="127" t="str">
        <f>CONCATENATE(U361," ",X361)</f>
        <v>08-Infraestructura física, mantenimiento y dotación (Sedes construidas, mantenidas reforzadas) 016_Sedes mantenidas</v>
      </c>
      <c r="Z361" s="178" t="str">
        <f>CONCATENATE(P361,Q361,R361,S361,V361)</f>
        <v>O23011745992024020708016</v>
      </c>
      <c r="AA361" s="178" t="str">
        <f>IFERROR(VLOOKUP(Y361,TD!$K$46:$L$64,2,0)," ")</f>
        <v>PM/0131/0108/45990160207</v>
      </c>
      <c r="AB361" s="177" t="s">
        <v>778</v>
      </c>
      <c r="AC361" s="179" t="s">
        <v>204</v>
      </c>
    </row>
    <row r="362" spans="2:30" s="28" customFormat="1" ht="74.25" customHeight="1" x14ac:dyDescent="0.35">
      <c r="B362" s="170">
        <v>20250507</v>
      </c>
      <c r="C362" s="171" t="s">
        <v>208</v>
      </c>
      <c r="D362" s="172" t="s">
        <v>166</v>
      </c>
      <c r="E362" s="173" t="s">
        <v>632</v>
      </c>
      <c r="F362" s="172" t="s">
        <v>674</v>
      </c>
      <c r="G362" s="172" t="s">
        <v>157</v>
      </c>
      <c r="H362" s="174" t="s">
        <v>746</v>
      </c>
      <c r="I362" s="175">
        <v>3</v>
      </c>
      <c r="J362" s="175">
        <v>8</v>
      </c>
      <c r="K362" s="176">
        <v>0</v>
      </c>
      <c r="L362" s="177">
        <v>30000000</v>
      </c>
      <c r="M362" s="172" t="s">
        <v>484</v>
      </c>
      <c r="N362" s="177" t="s">
        <v>100</v>
      </c>
      <c r="O362" s="173" t="s">
        <v>218</v>
      </c>
      <c r="P362" s="178" t="str">
        <f>IFERROR(VLOOKUP(C362,TD!$B$32:$F$36,2,0)," ")</f>
        <v>O230117</v>
      </c>
      <c r="Q362" s="178" t="str">
        <f>IFERROR(VLOOKUP(C362,TD!$B$32:$F$36,3,0)," ")</f>
        <v>4599</v>
      </c>
      <c r="R362" s="178">
        <f>IFERROR(VLOOKUP(C362,TD!$B$32:$F$36,4,0)," ")</f>
        <v>20240207</v>
      </c>
      <c r="S362" s="173" t="s">
        <v>185</v>
      </c>
      <c r="T362" s="178" t="str">
        <f>IFERROR(VLOOKUP(S362,TD!$J$33:$K$43,2,0)," ")</f>
        <v>Infraestructura física, mantenimiento y dotación (Sedes construidas, mantenidas reforzadas)</v>
      </c>
      <c r="U362" s="127" t="str">
        <f>CONCATENATE(S362,"-",T362)</f>
        <v>08-Infraestructura física, mantenimiento y dotación (Sedes construidas, mantenidas reforzadas)</v>
      </c>
      <c r="V362" s="173" t="s">
        <v>238</v>
      </c>
      <c r="W362" s="178" t="str">
        <f>IFERROR(VLOOKUP(V362,TD!$N$33:$O$45,2,0)," ")</f>
        <v>Sedes mantenidas</v>
      </c>
      <c r="X362" s="127" t="str">
        <f>CONCATENATE(V362,"_",W362)</f>
        <v>016_Sedes mantenidas</v>
      </c>
      <c r="Y362" s="127" t="str">
        <f>CONCATENATE(U362," ",X362)</f>
        <v>08-Infraestructura física, mantenimiento y dotación (Sedes construidas, mantenidas reforzadas) 016_Sedes mantenidas</v>
      </c>
      <c r="Z362" s="178" t="str">
        <f>CONCATENATE(P362,Q362,R362,S362,V362)</f>
        <v>O23011745992024020708016</v>
      </c>
      <c r="AA362" s="178" t="str">
        <f>IFERROR(VLOOKUP(Y362,TD!$K$46:$L$64,2,0)," ")</f>
        <v>PM/0131/0108/45990160207</v>
      </c>
      <c r="AB362" s="177" t="s">
        <v>778</v>
      </c>
      <c r="AC362" s="179" t="s">
        <v>204</v>
      </c>
    </row>
    <row r="363" spans="2:30" s="28" customFormat="1" ht="130" customHeight="1" x14ac:dyDescent="0.35">
      <c r="B363" s="170">
        <v>20250508</v>
      </c>
      <c r="C363" s="171" t="s">
        <v>208</v>
      </c>
      <c r="D363" s="172" t="s">
        <v>166</v>
      </c>
      <c r="E363" s="173" t="s">
        <v>632</v>
      </c>
      <c r="F363" s="172" t="s">
        <v>675</v>
      </c>
      <c r="G363" s="172" t="s">
        <v>119</v>
      </c>
      <c r="H363" s="174" t="s">
        <v>747</v>
      </c>
      <c r="I363" s="175">
        <v>2</v>
      </c>
      <c r="J363" s="175">
        <v>8</v>
      </c>
      <c r="K363" s="176">
        <v>0</v>
      </c>
      <c r="L363" s="177">
        <v>243061556</v>
      </c>
      <c r="M363" s="172" t="s">
        <v>484</v>
      </c>
      <c r="N363" s="177" t="s">
        <v>123</v>
      </c>
      <c r="O363" s="173" t="s">
        <v>218</v>
      </c>
      <c r="P363" s="178" t="str">
        <f>IFERROR(VLOOKUP(C363,TD!$B$32:$F$36,2,0)," ")</f>
        <v>O230117</v>
      </c>
      <c r="Q363" s="178" t="str">
        <f>IFERROR(VLOOKUP(C363,TD!$B$32:$F$36,3,0)," ")</f>
        <v>4599</v>
      </c>
      <c r="R363" s="178">
        <f>IFERROR(VLOOKUP(C363,TD!$B$32:$F$36,4,0)," ")</f>
        <v>20240207</v>
      </c>
      <c r="S363" s="173" t="s">
        <v>185</v>
      </c>
      <c r="T363" s="178" t="str">
        <f>IFERROR(VLOOKUP(S363,TD!$J$33:$K$43,2,0)," ")</f>
        <v>Infraestructura física, mantenimiento y dotación (Sedes construidas, mantenidas reforzadas)</v>
      </c>
      <c r="U363" s="127" t="str">
        <f>CONCATENATE(S363,"-",T363)</f>
        <v>08-Infraestructura física, mantenimiento y dotación (Sedes construidas, mantenidas reforzadas)</v>
      </c>
      <c r="V363" s="173" t="s">
        <v>238</v>
      </c>
      <c r="W363" s="178" t="str">
        <f>IFERROR(VLOOKUP(V363,TD!$N$33:$O$45,2,0)," ")</f>
        <v>Sedes mantenidas</v>
      </c>
      <c r="X363" s="127" t="str">
        <f>CONCATENATE(V363,"_",W363)</f>
        <v>016_Sedes mantenidas</v>
      </c>
      <c r="Y363" s="127" t="str">
        <f>CONCATENATE(U363," ",X363)</f>
        <v>08-Infraestructura física, mantenimiento y dotación (Sedes construidas, mantenidas reforzadas) 016_Sedes mantenidas</v>
      </c>
      <c r="Z363" s="178" t="str">
        <f>CONCATENATE(P363,Q363,R363,S363,V363)</f>
        <v>O23011745992024020708016</v>
      </c>
      <c r="AA363" s="178" t="str">
        <f>IFERROR(VLOOKUP(Y363,TD!$K$46:$L$64,2,0)," ")</f>
        <v>PM/0131/0108/45990160207</v>
      </c>
      <c r="AB363" s="177" t="s">
        <v>778</v>
      </c>
      <c r="AC363" s="179" t="s">
        <v>204</v>
      </c>
    </row>
    <row r="364" spans="2:30" s="28" customFormat="1" ht="74.25" customHeight="1" x14ac:dyDescent="0.35">
      <c r="B364" s="170">
        <v>20250509</v>
      </c>
      <c r="C364" s="171" t="s">
        <v>208</v>
      </c>
      <c r="D364" s="172" t="s">
        <v>166</v>
      </c>
      <c r="E364" s="173" t="s">
        <v>632</v>
      </c>
      <c r="F364" s="172" t="s">
        <v>748</v>
      </c>
      <c r="G364" s="172" t="s">
        <v>119</v>
      </c>
      <c r="H364" s="174" t="s">
        <v>747</v>
      </c>
      <c r="I364" s="175">
        <v>2</v>
      </c>
      <c r="J364" s="175">
        <v>2</v>
      </c>
      <c r="K364" s="176">
        <v>0</v>
      </c>
      <c r="L364" s="177">
        <v>56938444</v>
      </c>
      <c r="M364" s="172" t="s">
        <v>484</v>
      </c>
      <c r="N364" s="177" t="s">
        <v>123</v>
      </c>
      <c r="O364" s="173" t="s">
        <v>218</v>
      </c>
      <c r="P364" s="178" t="str">
        <f>IFERROR(VLOOKUP(C364,TD!$B$32:$F$36,2,0)," ")</f>
        <v>O230117</v>
      </c>
      <c r="Q364" s="178" t="str">
        <f>IFERROR(VLOOKUP(C364,TD!$B$32:$F$36,3,0)," ")</f>
        <v>4599</v>
      </c>
      <c r="R364" s="178">
        <f>IFERROR(VLOOKUP(C364,TD!$B$32:$F$36,4,0)," ")</f>
        <v>20240207</v>
      </c>
      <c r="S364" s="173" t="s">
        <v>185</v>
      </c>
      <c r="T364" s="178" t="str">
        <f>IFERROR(VLOOKUP(S364,TD!$J$33:$K$43,2,0)," ")</f>
        <v>Infraestructura física, mantenimiento y dotación (Sedes construidas, mantenidas reforzadas)</v>
      </c>
      <c r="U364" s="127" t="str">
        <f>CONCATENATE(S364,"-",T364)</f>
        <v>08-Infraestructura física, mantenimiento y dotación (Sedes construidas, mantenidas reforzadas)</v>
      </c>
      <c r="V364" s="173" t="s">
        <v>238</v>
      </c>
      <c r="W364" s="178" t="str">
        <f>IFERROR(VLOOKUP(V364,TD!$N$33:$O$45,2,0)," ")</f>
        <v>Sedes mantenidas</v>
      </c>
      <c r="X364" s="127" t="str">
        <f>CONCATENATE(V364,"_",W364)</f>
        <v>016_Sedes mantenidas</v>
      </c>
      <c r="Y364" s="127" t="str">
        <f>CONCATENATE(U364," ",X364)</f>
        <v>08-Infraestructura física, mantenimiento y dotación (Sedes construidas, mantenidas reforzadas) 016_Sedes mantenidas</v>
      </c>
      <c r="Z364" s="178" t="str">
        <f>CONCATENATE(P364,Q364,R364,S364,V364)</f>
        <v>O23011745992024020708016</v>
      </c>
      <c r="AA364" s="178" t="str">
        <f>IFERROR(VLOOKUP(Y364,TD!$K$46:$L$64,2,0)," ")</f>
        <v>PM/0131/0108/45990160207</v>
      </c>
      <c r="AB364" s="177" t="s">
        <v>778</v>
      </c>
      <c r="AC364" s="179" t="s">
        <v>204</v>
      </c>
    </row>
    <row r="365" spans="2:30" s="28" customFormat="1" ht="109.5" customHeight="1" x14ac:dyDescent="0.35">
      <c r="B365" s="170">
        <v>20250510</v>
      </c>
      <c r="C365" s="171" t="s">
        <v>208</v>
      </c>
      <c r="D365" s="172" t="s">
        <v>166</v>
      </c>
      <c r="E365" s="173" t="s">
        <v>632</v>
      </c>
      <c r="F365" s="172" t="s">
        <v>749</v>
      </c>
      <c r="G365" s="172" t="s">
        <v>146</v>
      </c>
      <c r="H365" s="174" t="s">
        <v>750</v>
      </c>
      <c r="I365" s="175">
        <v>2</v>
      </c>
      <c r="J365" s="175">
        <v>8</v>
      </c>
      <c r="K365" s="176">
        <v>0</v>
      </c>
      <c r="L365" s="177">
        <v>784028135</v>
      </c>
      <c r="M365" s="172" t="s">
        <v>484</v>
      </c>
      <c r="N365" s="177" t="s">
        <v>85</v>
      </c>
      <c r="O365" s="173" t="s">
        <v>218</v>
      </c>
      <c r="P365" s="178" t="str">
        <f>IFERROR(VLOOKUP(C365,TD!$B$32:$F$36,2,0)," ")</f>
        <v>O230117</v>
      </c>
      <c r="Q365" s="178" t="str">
        <f>IFERROR(VLOOKUP(C365,TD!$B$32:$F$36,3,0)," ")</f>
        <v>4599</v>
      </c>
      <c r="R365" s="178">
        <f>IFERROR(VLOOKUP(C365,TD!$B$32:$F$36,4,0)," ")</f>
        <v>20240207</v>
      </c>
      <c r="S365" s="173" t="s">
        <v>185</v>
      </c>
      <c r="T365" s="178" t="str">
        <f>IFERROR(VLOOKUP(S365,TD!$J$33:$K$43,2,0)," ")</f>
        <v>Infraestructura física, mantenimiento y dotación (Sedes construidas, mantenidas reforzadas)</v>
      </c>
      <c r="U365" s="127" t="str">
        <f>CONCATENATE(S365,"-",T365)</f>
        <v>08-Infraestructura física, mantenimiento y dotación (Sedes construidas, mantenidas reforzadas)</v>
      </c>
      <c r="V365" s="173" t="s">
        <v>238</v>
      </c>
      <c r="W365" s="178" t="str">
        <f>IFERROR(VLOOKUP(V365,TD!$N$33:$O$45,2,0)," ")</f>
        <v>Sedes mantenidas</v>
      </c>
      <c r="X365" s="127" t="str">
        <f>CONCATENATE(V365,"_",W365)</f>
        <v>016_Sedes mantenidas</v>
      </c>
      <c r="Y365" s="127" t="str">
        <f>CONCATENATE(U365," ",X365)</f>
        <v>08-Infraestructura física, mantenimiento y dotación (Sedes construidas, mantenidas reforzadas) 016_Sedes mantenidas</v>
      </c>
      <c r="Z365" s="178" t="str">
        <f>CONCATENATE(P365,Q365,R365,S365,V365)</f>
        <v>O23011745992024020708016</v>
      </c>
      <c r="AA365" s="178" t="str">
        <f>IFERROR(VLOOKUP(Y365,TD!$K$46:$L$64,2,0)," ")</f>
        <v>PM/0131/0108/45990160207</v>
      </c>
      <c r="AB365" s="177" t="s">
        <v>102</v>
      </c>
      <c r="AC365" s="179" t="s">
        <v>204</v>
      </c>
    </row>
    <row r="366" spans="2:30" s="28" customFormat="1" ht="74.25" customHeight="1" x14ac:dyDescent="0.35">
      <c r="B366" s="170">
        <v>20250511</v>
      </c>
      <c r="C366" s="171" t="s">
        <v>208</v>
      </c>
      <c r="D366" s="172" t="s">
        <v>166</v>
      </c>
      <c r="E366" s="173" t="s">
        <v>632</v>
      </c>
      <c r="F366" s="172" t="s">
        <v>676</v>
      </c>
      <c r="G366" s="172" t="s">
        <v>140</v>
      </c>
      <c r="H366" s="174" t="s">
        <v>751</v>
      </c>
      <c r="I366" s="175">
        <v>2</v>
      </c>
      <c r="J366" s="175">
        <v>8</v>
      </c>
      <c r="K366" s="176">
        <v>0</v>
      </c>
      <c r="L366" s="177">
        <v>181681869</v>
      </c>
      <c r="M366" s="172" t="s">
        <v>484</v>
      </c>
      <c r="N366" s="177" t="s">
        <v>108</v>
      </c>
      <c r="O366" s="173" t="s">
        <v>218</v>
      </c>
      <c r="P366" s="178" t="str">
        <f>IFERROR(VLOOKUP(C366,TD!$B$32:$F$36,2,0)," ")</f>
        <v>O230117</v>
      </c>
      <c r="Q366" s="178" t="str">
        <f>IFERROR(VLOOKUP(C366,TD!$B$32:$F$36,3,0)," ")</f>
        <v>4599</v>
      </c>
      <c r="R366" s="178">
        <f>IFERROR(VLOOKUP(C366,TD!$B$32:$F$36,4,0)," ")</f>
        <v>20240207</v>
      </c>
      <c r="S366" s="173" t="s">
        <v>185</v>
      </c>
      <c r="T366" s="178" t="str">
        <f>IFERROR(VLOOKUP(S366,TD!$J$33:$K$43,2,0)," ")</f>
        <v>Infraestructura física, mantenimiento y dotación (Sedes construidas, mantenidas reforzadas)</v>
      </c>
      <c r="U366" s="127" t="str">
        <f>CONCATENATE(S366,"-",T366)</f>
        <v>08-Infraestructura física, mantenimiento y dotación (Sedes construidas, mantenidas reforzadas)</v>
      </c>
      <c r="V366" s="173" t="s">
        <v>238</v>
      </c>
      <c r="W366" s="178" t="str">
        <f>IFERROR(VLOOKUP(V366,TD!$N$33:$O$45,2,0)," ")</f>
        <v>Sedes mantenidas</v>
      </c>
      <c r="X366" s="127" t="str">
        <f>CONCATENATE(V366,"_",W366)</f>
        <v>016_Sedes mantenidas</v>
      </c>
      <c r="Y366" s="127" t="str">
        <f>CONCATENATE(U366," ",X366)</f>
        <v>08-Infraestructura física, mantenimiento y dotación (Sedes construidas, mantenidas reforzadas) 016_Sedes mantenidas</v>
      </c>
      <c r="Z366" s="178" t="str">
        <f>CONCATENATE(P366,Q366,R366,S366,V366)</f>
        <v>O23011745992024020708016</v>
      </c>
      <c r="AA366" s="178" t="str">
        <f>IFERROR(VLOOKUP(Y366,TD!$K$46:$L$64,2,0)," ")</f>
        <v>PM/0131/0108/45990160207</v>
      </c>
      <c r="AB366" s="177" t="s">
        <v>102</v>
      </c>
      <c r="AC366" s="179" t="s">
        <v>204</v>
      </c>
    </row>
    <row r="367" spans="2:30" s="28" customFormat="1" ht="74.25" customHeight="1" x14ac:dyDescent="0.35">
      <c r="B367" s="170">
        <v>20250512</v>
      </c>
      <c r="C367" s="171" t="s">
        <v>208</v>
      </c>
      <c r="D367" s="172" t="s">
        <v>166</v>
      </c>
      <c r="E367" s="173" t="s">
        <v>632</v>
      </c>
      <c r="F367" s="172" t="s">
        <v>678</v>
      </c>
      <c r="G367" s="172" t="s">
        <v>119</v>
      </c>
      <c r="H367" s="174" t="s">
        <v>679</v>
      </c>
      <c r="I367" s="175">
        <v>4</v>
      </c>
      <c r="J367" s="175">
        <v>3</v>
      </c>
      <c r="K367" s="176">
        <v>0</v>
      </c>
      <c r="L367" s="177">
        <v>200000000</v>
      </c>
      <c r="M367" s="172" t="s">
        <v>484</v>
      </c>
      <c r="N367" s="177" t="s">
        <v>95</v>
      </c>
      <c r="O367" s="173" t="s">
        <v>218</v>
      </c>
      <c r="P367" s="178" t="str">
        <f>IFERROR(VLOOKUP(C367,TD!$B$32:$F$36,2,0)," ")</f>
        <v>O230117</v>
      </c>
      <c r="Q367" s="178" t="str">
        <f>IFERROR(VLOOKUP(C367,TD!$B$32:$F$36,3,0)," ")</f>
        <v>4599</v>
      </c>
      <c r="R367" s="178">
        <f>IFERROR(VLOOKUP(C367,TD!$B$32:$F$36,4,0)," ")</f>
        <v>20240207</v>
      </c>
      <c r="S367" s="173" t="s">
        <v>185</v>
      </c>
      <c r="T367" s="178" t="str">
        <f>IFERROR(VLOOKUP(S367,TD!$J$33:$K$43,2,0)," ")</f>
        <v>Infraestructura física, mantenimiento y dotación (Sedes construidas, mantenidas reforzadas)</v>
      </c>
      <c r="U367" s="127" t="str">
        <f>CONCATENATE(S367,"-",T367)</f>
        <v>08-Infraestructura física, mantenimiento y dotación (Sedes construidas, mantenidas reforzadas)</v>
      </c>
      <c r="V367" s="173" t="s">
        <v>238</v>
      </c>
      <c r="W367" s="178" t="str">
        <f>IFERROR(VLOOKUP(V367,TD!$N$33:$O$45,2,0)," ")</f>
        <v>Sedes mantenidas</v>
      </c>
      <c r="X367" s="127" t="str">
        <f>CONCATENATE(V367,"_",W367)</f>
        <v>016_Sedes mantenidas</v>
      </c>
      <c r="Y367" s="127" t="str">
        <f>CONCATENATE(U367," ",X367)</f>
        <v>08-Infraestructura física, mantenimiento y dotación (Sedes construidas, mantenidas reforzadas) 016_Sedes mantenidas</v>
      </c>
      <c r="Z367" s="178" t="str">
        <f>CONCATENATE(P367,Q367,R367,S367,V367)</f>
        <v>O23011745992024020708016</v>
      </c>
      <c r="AA367" s="178" t="str">
        <f>IFERROR(VLOOKUP(Y367,TD!$K$46:$L$64,2,0)," ")</f>
        <v>PM/0131/0108/45990160207</v>
      </c>
      <c r="AB367" s="177" t="s">
        <v>87</v>
      </c>
      <c r="AC367" s="179" t="s">
        <v>204</v>
      </c>
    </row>
    <row r="368" spans="2:30" s="28" customFormat="1" ht="74.25" customHeight="1" x14ac:dyDescent="0.35">
      <c r="B368" s="170">
        <v>20250513</v>
      </c>
      <c r="C368" s="171" t="s">
        <v>208</v>
      </c>
      <c r="D368" s="172" t="s">
        <v>166</v>
      </c>
      <c r="E368" s="173" t="s">
        <v>632</v>
      </c>
      <c r="F368" s="172" t="s">
        <v>680</v>
      </c>
      <c r="G368" s="172" t="s">
        <v>119</v>
      </c>
      <c r="H368" s="174" t="s">
        <v>681</v>
      </c>
      <c r="I368" s="175">
        <v>4</v>
      </c>
      <c r="J368" s="175">
        <v>3</v>
      </c>
      <c r="K368" s="176">
        <v>0</v>
      </c>
      <c r="L368" s="177">
        <v>50000000</v>
      </c>
      <c r="M368" s="172" t="s">
        <v>484</v>
      </c>
      <c r="N368" s="177" t="s">
        <v>95</v>
      </c>
      <c r="O368" s="173" t="s">
        <v>218</v>
      </c>
      <c r="P368" s="178" t="str">
        <f>IFERROR(VLOOKUP(C368,TD!$B$32:$F$36,2,0)," ")</f>
        <v>O230117</v>
      </c>
      <c r="Q368" s="178" t="str">
        <f>IFERROR(VLOOKUP(C368,TD!$B$32:$F$36,3,0)," ")</f>
        <v>4599</v>
      </c>
      <c r="R368" s="178">
        <f>IFERROR(VLOOKUP(C368,TD!$B$32:$F$36,4,0)," ")</f>
        <v>20240207</v>
      </c>
      <c r="S368" s="173" t="s">
        <v>185</v>
      </c>
      <c r="T368" s="178" t="str">
        <f>IFERROR(VLOOKUP(S368,TD!$J$33:$K$43,2,0)," ")</f>
        <v>Infraestructura física, mantenimiento y dotación (Sedes construidas, mantenidas reforzadas)</v>
      </c>
      <c r="U368" s="127" t="str">
        <f>CONCATENATE(S368,"-",T368)</f>
        <v>08-Infraestructura física, mantenimiento y dotación (Sedes construidas, mantenidas reforzadas)</v>
      </c>
      <c r="V368" s="173" t="s">
        <v>238</v>
      </c>
      <c r="W368" s="178" t="str">
        <f>IFERROR(VLOOKUP(V368,TD!$N$33:$O$45,2,0)," ")</f>
        <v>Sedes mantenidas</v>
      </c>
      <c r="X368" s="127" t="str">
        <f>CONCATENATE(V368,"_",W368)</f>
        <v>016_Sedes mantenidas</v>
      </c>
      <c r="Y368" s="127" t="str">
        <f>CONCATENATE(U368," ",X368)</f>
        <v>08-Infraestructura física, mantenimiento y dotación (Sedes construidas, mantenidas reforzadas) 016_Sedes mantenidas</v>
      </c>
      <c r="Z368" s="178" t="str">
        <f>CONCATENATE(P368,Q368,R368,S368,V368)</f>
        <v>O23011745992024020708016</v>
      </c>
      <c r="AA368" s="178" t="str">
        <f>IFERROR(VLOOKUP(Y368,TD!$K$46:$L$64,2,0)," ")</f>
        <v>PM/0131/0108/45990160207</v>
      </c>
      <c r="AB368" s="177" t="s">
        <v>87</v>
      </c>
      <c r="AC368" s="179" t="s">
        <v>204</v>
      </c>
    </row>
    <row r="369" spans="2:29" s="28" customFormat="1" ht="74.25" customHeight="1" x14ac:dyDescent="0.35">
      <c r="B369" s="170">
        <v>20250514</v>
      </c>
      <c r="C369" s="171" t="s">
        <v>208</v>
      </c>
      <c r="D369" s="172" t="s">
        <v>166</v>
      </c>
      <c r="E369" s="173" t="s">
        <v>632</v>
      </c>
      <c r="F369" s="172" t="s">
        <v>682</v>
      </c>
      <c r="G369" s="172" t="s">
        <v>119</v>
      </c>
      <c r="H369" s="174" t="s">
        <v>752</v>
      </c>
      <c r="I369" s="175">
        <v>4</v>
      </c>
      <c r="J369" s="175">
        <v>3</v>
      </c>
      <c r="K369" s="176">
        <v>0</v>
      </c>
      <c r="L369" s="177">
        <v>50000000</v>
      </c>
      <c r="M369" s="172" t="s">
        <v>484</v>
      </c>
      <c r="N369" s="177" t="s">
        <v>95</v>
      </c>
      <c r="O369" s="173" t="s">
        <v>218</v>
      </c>
      <c r="P369" s="178" t="str">
        <f>IFERROR(VLOOKUP(C369,TD!$B$32:$F$36,2,0)," ")</f>
        <v>O230117</v>
      </c>
      <c r="Q369" s="178" t="str">
        <f>IFERROR(VLOOKUP(C369,TD!$B$32:$F$36,3,0)," ")</f>
        <v>4599</v>
      </c>
      <c r="R369" s="178">
        <f>IFERROR(VLOOKUP(C369,TD!$B$32:$F$36,4,0)," ")</f>
        <v>20240207</v>
      </c>
      <c r="S369" s="173" t="s">
        <v>185</v>
      </c>
      <c r="T369" s="178" t="str">
        <f>IFERROR(VLOOKUP(S369,TD!$J$33:$K$43,2,0)," ")</f>
        <v>Infraestructura física, mantenimiento y dotación (Sedes construidas, mantenidas reforzadas)</v>
      </c>
      <c r="U369" s="127" t="str">
        <f>CONCATENATE(S369,"-",T369)</f>
        <v>08-Infraestructura física, mantenimiento y dotación (Sedes construidas, mantenidas reforzadas)</v>
      </c>
      <c r="V369" s="173" t="s">
        <v>238</v>
      </c>
      <c r="W369" s="178" t="str">
        <f>IFERROR(VLOOKUP(V369,TD!$N$33:$O$45,2,0)," ")</f>
        <v>Sedes mantenidas</v>
      </c>
      <c r="X369" s="127" t="str">
        <f>CONCATENATE(V369,"_",W369)</f>
        <v>016_Sedes mantenidas</v>
      </c>
      <c r="Y369" s="127" t="str">
        <f>CONCATENATE(U369," ",X369)</f>
        <v>08-Infraestructura física, mantenimiento y dotación (Sedes construidas, mantenidas reforzadas) 016_Sedes mantenidas</v>
      </c>
      <c r="Z369" s="178" t="str">
        <f>CONCATENATE(P369,Q369,R369,S369,V369)</f>
        <v>O23011745992024020708016</v>
      </c>
      <c r="AA369" s="178" t="str">
        <f>IFERROR(VLOOKUP(Y369,TD!$K$46:$L$64,2,0)," ")</f>
        <v>PM/0131/0108/45990160207</v>
      </c>
      <c r="AB369" s="177" t="s">
        <v>87</v>
      </c>
      <c r="AC369" s="179" t="s">
        <v>204</v>
      </c>
    </row>
    <row r="370" spans="2:29" s="28" customFormat="1" ht="74.25" customHeight="1" x14ac:dyDescent="0.35">
      <c r="B370" s="170">
        <v>20250515</v>
      </c>
      <c r="C370" s="171" t="s">
        <v>208</v>
      </c>
      <c r="D370" s="172" t="s">
        <v>166</v>
      </c>
      <c r="E370" s="173" t="s">
        <v>632</v>
      </c>
      <c r="F370" s="172" t="s">
        <v>753</v>
      </c>
      <c r="G370" s="172" t="s">
        <v>96</v>
      </c>
      <c r="H370" s="174" t="s">
        <v>727</v>
      </c>
      <c r="I370" s="175">
        <v>2</v>
      </c>
      <c r="J370" s="175">
        <v>2</v>
      </c>
      <c r="K370" s="176">
        <v>0</v>
      </c>
      <c r="L370" s="177">
        <v>100000000</v>
      </c>
      <c r="M370" s="172" t="s">
        <v>484</v>
      </c>
      <c r="N370" s="177" t="s">
        <v>85</v>
      </c>
      <c r="O370" s="173" t="s">
        <v>218</v>
      </c>
      <c r="P370" s="178" t="str">
        <f>IFERROR(VLOOKUP(C370,TD!$B$32:$F$36,2,0)," ")</f>
        <v>O230117</v>
      </c>
      <c r="Q370" s="178" t="str">
        <f>IFERROR(VLOOKUP(C370,TD!$B$32:$F$36,3,0)," ")</f>
        <v>4599</v>
      </c>
      <c r="R370" s="178">
        <f>IFERROR(VLOOKUP(C370,TD!$B$32:$F$36,4,0)," ")</f>
        <v>20240207</v>
      </c>
      <c r="S370" s="173" t="s">
        <v>185</v>
      </c>
      <c r="T370" s="178" t="str">
        <f>IFERROR(VLOOKUP(S370,TD!$J$33:$K$43,2,0)," ")</f>
        <v>Infraestructura física, mantenimiento y dotación (Sedes construidas, mantenidas reforzadas)</v>
      </c>
      <c r="U370" s="127" t="str">
        <f>CONCATENATE(S370,"-",T370)</f>
        <v>08-Infraestructura física, mantenimiento y dotación (Sedes construidas, mantenidas reforzadas)</v>
      </c>
      <c r="V370" s="173" t="s">
        <v>238</v>
      </c>
      <c r="W370" s="178" t="str">
        <f>IFERROR(VLOOKUP(V370,TD!$N$33:$O$45,2,0)," ")</f>
        <v>Sedes mantenidas</v>
      </c>
      <c r="X370" s="127" t="str">
        <f>CONCATENATE(V370,"_",W370)</f>
        <v>016_Sedes mantenidas</v>
      </c>
      <c r="Y370" s="127" t="str">
        <f>CONCATENATE(U370," ",X370)</f>
        <v>08-Infraestructura física, mantenimiento y dotación (Sedes construidas, mantenidas reforzadas) 016_Sedes mantenidas</v>
      </c>
      <c r="Z370" s="178" t="str">
        <f>CONCATENATE(P370,Q370,R370,S370,V370)</f>
        <v>O23011745992024020708016</v>
      </c>
      <c r="AA370" s="178" t="str">
        <f>IFERROR(VLOOKUP(Y370,TD!$K$46:$L$64,2,0)," ")</f>
        <v>PM/0131/0108/45990160207</v>
      </c>
      <c r="AB370" s="177" t="s">
        <v>141</v>
      </c>
      <c r="AC370" s="179" t="s">
        <v>205</v>
      </c>
    </row>
    <row r="371" spans="2:29" s="28" customFormat="1" ht="90.5" customHeight="1" x14ac:dyDescent="0.35">
      <c r="B371" s="170">
        <v>20250516</v>
      </c>
      <c r="C371" s="171" t="s">
        <v>208</v>
      </c>
      <c r="D371" s="172" t="s">
        <v>166</v>
      </c>
      <c r="E371" s="173" t="s">
        <v>632</v>
      </c>
      <c r="F371" s="172" t="s">
        <v>754</v>
      </c>
      <c r="G371" s="172" t="s">
        <v>119</v>
      </c>
      <c r="H371" s="174" t="s">
        <v>856</v>
      </c>
      <c r="I371" s="175">
        <v>1</v>
      </c>
      <c r="J371" s="175">
        <v>2</v>
      </c>
      <c r="K371" s="176">
        <v>0</v>
      </c>
      <c r="L371" s="177">
        <v>50000000</v>
      </c>
      <c r="M371" s="172" t="s">
        <v>484</v>
      </c>
      <c r="N371" s="177" t="s">
        <v>100</v>
      </c>
      <c r="O371" s="173" t="s">
        <v>218</v>
      </c>
      <c r="P371" s="178" t="str">
        <f>IFERROR(VLOOKUP(C371,TD!$B$32:$F$36,2,0)," ")</f>
        <v>O230117</v>
      </c>
      <c r="Q371" s="178" t="str">
        <f>IFERROR(VLOOKUP(C371,TD!$B$32:$F$36,3,0)," ")</f>
        <v>4599</v>
      </c>
      <c r="R371" s="178">
        <f>IFERROR(VLOOKUP(C371,TD!$B$32:$F$36,4,0)," ")</f>
        <v>20240207</v>
      </c>
      <c r="S371" s="173" t="s">
        <v>185</v>
      </c>
      <c r="T371" s="178" t="str">
        <f>IFERROR(VLOOKUP(S371,TD!$J$33:$K$43,2,0)," ")</f>
        <v>Infraestructura física, mantenimiento y dotación (Sedes construidas, mantenidas reforzadas)</v>
      </c>
      <c r="U371" s="127" t="str">
        <f>CONCATENATE(S371,"-",T371)</f>
        <v>08-Infraestructura física, mantenimiento y dotación (Sedes construidas, mantenidas reforzadas)</v>
      </c>
      <c r="V371" s="173" t="s">
        <v>238</v>
      </c>
      <c r="W371" s="178" t="str">
        <f>IFERROR(VLOOKUP(V371,TD!$N$33:$O$45,2,0)," ")</f>
        <v>Sedes mantenidas</v>
      </c>
      <c r="X371" s="127" t="str">
        <f>CONCATENATE(V371,"_",W371)</f>
        <v>016_Sedes mantenidas</v>
      </c>
      <c r="Y371" s="127" t="str">
        <f>CONCATENATE(U371," ",X371)</f>
        <v>08-Infraestructura física, mantenimiento y dotación (Sedes construidas, mantenidas reforzadas) 016_Sedes mantenidas</v>
      </c>
      <c r="Z371" s="178" t="str">
        <f>CONCATENATE(P371,Q371,R371,S371,V371)</f>
        <v>O23011745992024020708016</v>
      </c>
      <c r="AA371" s="178" t="str">
        <f>IFERROR(VLOOKUP(Y371,TD!$K$46:$L$64,2,0)," ")</f>
        <v>PM/0131/0108/45990160207</v>
      </c>
      <c r="AB371" s="177" t="s">
        <v>87</v>
      </c>
      <c r="AC371" s="179" t="s">
        <v>204</v>
      </c>
    </row>
    <row r="372" spans="2:29" s="28" customFormat="1" ht="91.5" customHeight="1" x14ac:dyDescent="0.35">
      <c r="B372" s="170">
        <v>20250517</v>
      </c>
      <c r="C372" s="171" t="s">
        <v>209</v>
      </c>
      <c r="D372" s="172" t="s">
        <v>166</v>
      </c>
      <c r="E372" s="173" t="s">
        <v>632</v>
      </c>
      <c r="F372" s="172" t="s">
        <v>683</v>
      </c>
      <c r="G372" s="172" t="s">
        <v>101</v>
      </c>
      <c r="H372" s="174" t="s">
        <v>684</v>
      </c>
      <c r="I372" s="175">
        <v>4</v>
      </c>
      <c r="J372" s="175">
        <v>10</v>
      </c>
      <c r="K372" s="176">
        <v>0</v>
      </c>
      <c r="L372" s="177">
        <v>500000000</v>
      </c>
      <c r="M372" s="172" t="s">
        <v>484</v>
      </c>
      <c r="N372" s="177" t="s">
        <v>108</v>
      </c>
      <c r="O372" s="173" t="s">
        <v>227</v>
      </c>
      <c r="P372" s="178" t="str">
        <f>IFERROR(VLOOKUP(C372,TD!$B$32:$F$36,2,0)," ")</f>
        <v>O230117</v>
      </c>
      <c r="Q372" s="178" t="str">
        <f>IFERROR(VLOOKUP(C372,TD!$B$32:$F$36,3,0)," ")</f>
        <v>4503</v>
      </c>
      <c r="R372" s="178">
        <f>IFERROR(VLOOKUP(C372,TD!$B$32:$F$36,4,0)," ")</f>
        <v>20240255</v>
      </c>
      <c r="S372" s="173" t="s">
        <v>185</v>
      </c>
      <c r="T372" s="178" t="str">
        <f>IFERROR(VLOOKUP(S372,TD!$J$33:$K$43,2,0)," ")</f>
        <v>Infraestructura física, mantenimiento y dotación (Sedes construidas, mantenidas reforzadas)</v>
      </c>
      <c r="U372" s="127" t="str">
        <f>CONCATENATE(S372,"-",T372)</f>
        <v>08-Infraestructura física, mantenimiento y dotación (Sedes construidas, mantenidas reforzadas)</v>
      </c>
      <c r="V372" s="173" t="s">
        <v>236</v>
      </c>
      <c r="W372" s="178" t="str">
        <f>IFERROR(VLOOKUP(V372,TD!$N$33:$O$45,2,0)," ")</f>
        <v>Estaciones de bomberos adecuadas</v>
      </c>
      <c r="X372" s="127" t="str">
        <f>CONCATENATE(V372,"_",W372)</f>
        <v>014_Estaciones de bomberos adecuadas</v>
      </c>
      <c r="Y372" s="127" t="str">
        <f>CONCATENATE(U372," ",X372)</f>
        <v>08-Infraestructura física, mantenimiento y dotación (Sedes construidas, mantenidas reforzadas) 014_Estaciones de bomberos adecuadas</v>
      </c>
      <c r="Z372" s="178" t="str">
        <f>CONCATENATE(P372,Q372,R372,S372,V372)</f>
        <v>O23011745032024025508014</v>
      </c>
      <c r="AA372" s="178" t="str">
        <f>IFERROR(VLOOKUP(Y372,TD!$K$46:$L$64,2,0)," ")</f>
        <v>PM/0131/0108/45030140255</v>
      </c>
      <c r="AB372" s="177" t="s">
        <v>775</v>
      </c>
      <c r="AC372" s="179" t="s">
        <v>204</v>
      </c>
    </row>
    <row r="373" spans="2:29" s="28" customFormat="1" ht="89.5" customHeight="1" x14ac:dyDescent="0.35">
      <c r="B373" s="170">
        <v>20250518</v>
      </c>
      <c r="C373" s="171" t="s">
        <v>209</v>
      </c>
      <c r="D373" s="172" t="s">
        <v>166</v>
      </c>
      <c r="E373" s="173" t="s">
        <v>632</v>
      </c>
      <c r="F373" s="172" t="s">
        <v>685</v>
      </c>
      <c r="G373" s="172" t="s">
        <v>140</v>
      </c>
      <c r="H373" s="174" t="s">
        <v>677</v>
      </c>
      <c r="I373" s="175">
        <v>4</v>
      </c>
      <c r="J373" s="175">
        <v>10</v>
      </c>
      <c r="K373" s="176">
        <v>0</v>
      </c>
      <c r="L373" s="177">
        <v>150000000</v>
      </c>
      <c r="M373" s="172" t="s">
        <v>484</v>
      </c>
      <c r="N373" s="177" t="s">
        <v>108</v>
      </c>
      <c r="O373" s="173" t="s">
        <v>227</v>
      </c>
      <c r="P373" s="178" t="str">
        <f>IFERROR(VLOOKUP(C373,TD!$B$32:$F$36,2,0)," ")</f>
        <v>O230117</v>
      </c>
      <c r="Q373" s="178" t="str">
        <f>IFERROR(VLOOKUP(C373,TD!$B$32:$F$36,3,0)," ")</f>
        <v>4503</v>
      </c>
      <c r="R373" s="178">
        <f>IFERROR(VLOOKUP(C373,TD!$B$32:$F$36,4,0)," ")</f>
        <v>20240255</v>
      </c>
      <c r="S373" s="173" t="s">
        <v>185</v>
      </c>
      <c r="T373" s="178" t="str">
        <f>IFERROR(VLOOKUP(S373,TD!$J$33:$K$43,2,0)," ")</f>
        <v>Infraestructura física, mantenimiento y dotación (Sedes construidas, mantenidas reforzadas)</v>
      </c>
      <c r="U373" s="127" t="str">
        <f>CONCATENATE(S373,"-",T373)</f>
        <v>08-Infraestructura física, mantenimiento y dotación (Sedes construidas, mantenidas reforzadas)</v>
      </c>
      <c r="V373" s="173" t="s">
        <v>236</v>
      </c>
      <c r="W373" s="178" t="str">
        <f>IFERROR(VLOOKUP(V373,TD!$N$33:$O$45,2,0)," ")</f>
        <v>Estaciones de bomberos adecuadas</v>
      </c>
      <c r="X373" s="127" t="str">
        <f>CONCATENATE(V373,"_",W373)</f>
        <v>014_Estaciones de bomberos adecuadas</v>
      </c>
      <c r="Y373" s="127" t="str">
        <f>CONCATENATE(U373," ",X373)</f>
        <v>08-Infraestructura física, mantenimiento y dotación (Sedes construidas, mantenidas reforzadas) 014_Estaciones de bomberos adecuadas</v>
      </c>
      <c r="Z373" s="178" t="str">
        <f>CONCATENATE(P373,Q373,R373,S373,V373)</f>
        <v>O23011745032024025508014</v>
      </c>
      <c r="AA373" s="178" t="str">
        <f>IFERROR(VLOOKUP(Y373,TD!$K$46:$L$64,2,0)," ")</f>
        <v>PM/0131/0108/45030140255</v>
      </c>
      <c r="AB373" s="177" t="s">
        <v>775</v>
      </c>
      <c r="AC373" s="179" t="s">
        <v>204</v>
      </c>
    </row>
    <row r="374" spans="2:29" s="28" customFormat="1" ht="116" customHeight="1" x14ac:dyDescent="0.35">
      <c r="B374" s="170">
        <v>20250519</v>
      </c>
      <c r="C374" s="171" t="s">
        <v>209</v>
      </c>
      <c r="D374" s="172" t="s">
        <v>166</v>
      </c>
      <c r="E374" s="173" t="s">
        <v>632</v>
      </c>
      <c r="F374" s="172" t="s">
        <v>755</v>
      </c>
      <c r="G374" s="172" t="s">
        <v>101</v>
      </c>
      <c r="H374" s="174" t="s">
        <v>684</v>
      </c>
      <c r="I374" s="175">
        <v>4</v>
      </c>
      <c r="J374" s="175">
        <v>10</v>
      </c>
      <c r="K374" s="176">
        <v>0</v>
      </c>
      <c r="L374" s="177">
        <v>200000000</v>
      </c>
      <c r="M374" s="172" t="s">
        <v>484</v>
      </c>
      <c r="N374" s="177" t="s">
        <v>108</v>
      </c>
      <c r="O374" s="173" t="s">
        <v>227</v>
      </c>
      <c r="P374" s="178" t="str">
        <f>IFERROR(VLOOKUP(C374,TD!$B$32:$F$36,2,0)," ")</f>
        <v>O230117</v>
      </c>
      <c r="Q374" s="178" t="str">
        <f>IFERROR(VLOOKUP(C374,TD!$B$32:$F$36,3,0)," ")</f>
        <v>4503</v>
      </c>
      <c r="R374" s="178">
        <f>IFERROR(VLOOKUP(C374,TD!$B$32:$F$36,4,0)," ")</f>
        <v>20240255</v>
      </c>
      <c r="S374" s="173" t="s">
        <v>185</v>
      </c>
      <c r="T374" s="178" t="str">
        <f>IFERROR(VLOOKUP(S374,TD!$J$33:$K$43,2,0)," ")</f>
        <v>Infraestructura física, mantenimiento y dotación (Sedes construidas, mantenidas reforzadas)</v>
      </c>
      <c r="U374" s="127" t="str">
        <f>CONCATENATE(S374,"-",T374)</f>
        <v>08-Infraestructura física, mantenimiento y dotación (Sedes construidas, mantenidas reforzadas)</v>
      </c>
      <c r="V374" s="173" t="s">
        <v>236</v>
      </c>
      <c r="W374" s="178" t="str">
        <f>IFERROR(VLOOKUP(V374,TD!$N$33:$O$45,2,0)," ")</f>
        <v>Estaciones de bomberos adecuadas</v>
      </c>
      <c r="X374" s="127" t="str">
        <f>CONCATENATE(V374,"_",W374)</f>
        <v>014_Estaciones de bomberos adecuadas</v>
      </c>
      <c r="Y374" s="127" t="str">
        <f>CONCATENATE(U374," ",X374)</f>
        <v>08-Infraestructura física, mantenimiento y dotación (Sedes construidas, mantenidas reforzadas) 014_Estaciones de bomberos adecuadas</v>
      </c>
      <c r="Z374" s="178" t="str">
        <f>CONCATENATE(P374,Q374,R374,S374,V374)</f>
        <v>O23011745032024025508014</v>
      </c>
      <c r="AA374" s="178" t="str">
        <f>IFERROR(VLOOKUP(Y374,TD!$K$46:$L$64,2,0)," ")</f>
        <v>PM/0131/0108/45030140255</v>
      </c>
      <c r="AB374" s="177" t="s">
        <v>775</v>
      </c>
      <c r="AC374" s="179" t="s">
        <v>204</v>
      </c>
    </row>
    <row r="375" spans="2:29" s="28" customFormat="1" ht="89.5" customHeight="1" x14ac:dyDescent="0.35">
      <c r="B375" s="170">
        <v>20250520</v>
      </c>
      <c r="C375" s="171" t="s">
        <v>209</v>
      </c>
      <c r="D375" s="172" t="s">
        <v>166</v>
      </c>
      <c r="E375" s="173" t="s">
        <v>632</v>
      </c>
      <c r="F375" s="172" t="s">
        <v>756</v>
      </c>
      <c r="G375" s="172" t="s">
        <v>140</v>
      </c>
      <c r="H375" s="174" t="s">
        <v>677</v>
      </c>
      <c r="I375" s="175">
        <v>4</v>
      </c>
      <c r="J375" s="175">
        <v>10</v>
      </c>
      <c r="K375" s="176">
        <v>0</v>
      </c>
      <c r="L375" s="177">
        <v>150000000</v>
      </c>
      <c r="M375" s="172" t="s">
        <v>484</v>
      </c>
      <c r="N375" s="177" t="s">
        <v>108</v>
      </c>
      <c r="O375" s="173" t="s">
        <v>227</v>
      </c>
      <c r="P375" s="178" t="str">
        <f>IFERROR(VLOOKUP(C375,TD!$B$32:$F$36,2,0)," ")</f>
        <v>O230117</v>
      </c>
      <c r="Q375" s="178" t="str">
        <f>IFERROR(VLOOKUP(C375,TD!$B$32:$F$36,3,0)," ")</f>
        <v>4503</v>
      </c>
      <c r="R375" s="178">
        <f>IFERROR(VLOOKUP(C375,TD!$B$32:$F$36,4,0)," ")</f>
        <v>20240255</v>
      </c>
      <c r="S375" s="173" t="s">
        <v>185</v>
      </c>
      <c r="T375" s="178" t="str">
        <f>IFERROR(VLOOKUP(S375,TD!$J$33:$K$43,2,0)," ")</f>
        <v>Infraestructura física, mantenimiento y dotación (Sedes construidas, mantenidas reforzadas)</v>
      </c>
      <c r="U375" s="127" t="str">
        <f>CONCATENATE(S375,"-",T375)</f>
        <v>08-Infraestructura física, mantenimiento y dotación (Sedes construidas, mantenidas reforzadas)</v>
      </c>
      <c r="V375" s="173" t="s">
        <v>236</v>
      </c>
      <c r="W375" s="178" t="str">
        <f>IFERROR(VLOOKUP(V375,TD!$N$33:$O$45,2,0)," ")</f>
        <v>Estaciones de bomberos adecuadas</v>
      </c>
      <c r="X375" s="127" t="str">
        <f>CONCATENATE(V375,"_",W375)</f>
        <v>014_Estaciones de bomberos adecuadas</v>
      </c>
      <c r="Y375" s="127" t="str">
        <f>CONCATENATE(U375," ",X375)</f>
        <v>08-Infraestructura física, mantenimiento y dotación (Sedes construidas, mantenidas reforzadas) 014_Estaciones de bomberos adecuadas</v>
      </c>
      <c r="Z375" s="178" t="str">
        <f>CONCATENATE(P375,Q375,R375,S375,V375)</f>
        <v>O23011745032024025508014</v>
      </c>
      <c r="AA375" s="178" t="str">
        <f>IFERROR(VLOOKUP(Y375,TD!$K$46:$L$64,2,0)," ")</f>
        <v>PM/0131/0108/45030140255</v>
      </c>
      <c r="AB375" s="177" t="s">
        <v>775</v>
      </c>
      <c r="AC375" s="179" t="s">
        <v>204</v>
      </c>
    </row>
    <row r="376" spans="2:29" s="28" customFormat="1" ht="94" customHeight="1" x14ac:dyDescent="0.35">
      <c r="B376" s="170">
        <v>20250521</v>
      </c>
      <c r="C376" s="171" t="s">
        <v>209</v>
      </c>
      <c r="D376" s="172" t="s">
        <v>166</v>
      </c>
      <c r="E376" s="173" t="s">
        <v>632</v>
      </c>
      <c r="F376" s="172" t="s">
        <v>686</v>
      </c>
      <c r="G376" s="172" t="s">
        <v>101</v>
      </c>
      <c r="H376" s="174" t="s">
        <v>684</v>
      </c>
      <c r="I376" s="175">
        <v>4</v>
      </c>
      <c r="J376" s="175">
        <v>10</v>
      </c>
      <c r="K376" s="176">
        <v>0</v>
      </c>
      <c r="L376" s="177">
        <v>500000000</v>
      </c>
      <c r="M376" s="172" t="s">
        <v>484</v>
      </c>
      <c r="N376" s="177" t="s">
        <v>108</v>
      </c>
      <c r="O376" s="173" t="s">
        <v>227</v>
      </c>
      <c r="P376" s="178" t="str">
        <f>IFERROR(VLOOKUP(C376,TD!$B$32:$F$36,2,0)," ")</f>
        <v>O230117</v>
      </c>
      <c r="Q376" s="178" t="str">
        <f>IFERROR(VLOOKUP(C376,TD!$B$32:$F$36,3,0)," ")</f>
        <v>4503</v>
      </c>
      <c r="R376" s="178">
        <f>IFERROR(VLOOKUP(C376,TD!$B$32:$F$36,4,0)," ")</f>
        <v>20240255</v>
      </c>
      <c r="S376" s="173" t="s">
        <v>185</v>
      </c>
      <c r="T376" s="178" t="str">
        <f>IFERROR(VLOOKUP(S376,TD!$J$33:$K$43,2,0)," ")</f>
        <v>Infraestructura física, mantenimiento y dotación (Sedes construidas, mantenidas reforzadas)</v>
      </c>
      <c r="U376" s="127" t="str">
        <f>CONCATENATE(S376,"-",T376)</f>
        <v>08-Infraestructura física, mantenimiento y dotación (Sedes construidas, mantenidas reforzadas)</v>
      </c>
      <c r="V376" s="173" t="s">
        <v>236</v>
      </c>
      <c r="W376" s="178" t="str">
        <f>IFERROR(VLOOKUP(V376,TD!$N$33:$O$45,2,0)," ")</f>
        <v>Estaciones de bomberos adecuadas</v>
      </c>
      <c r="X376" s="127" t="str">
        <f>CONCATENATE(V376,"_",W376)</f>
        <v>014_Estaciones de bomberos adecuadas</v>
      </c>
      <c r="Y376" s="127" t="str">
        <f>CONCATENATE(U376," ",X376)</f>
        <v>08-Infraestructura física, mantenimiento y dotación (Sedes construidas, mantenidas reforzadas) 014_Estaciones de bomberos adecuadas</v>
      </c>
      <c r="Z376" s="178" t="str">
        <f>CONCATENATE(P376,Q376,R376,S376,V376)</f>
        <v>O23011745032024025508014</v>
      </c>
      <c r="AA376" s="178" t="str">
        <f>IFERROR(VLOOKUP(Y376,TD!$K$46:$L$64,2,0)," ")</f>
        <v>PM/0131/0108/45030140255</v>
      </c>
      <c r="AB376" s="177" t="s">
        <v>775</v>
      </c>
      <c r="AC376" s="179" t="s">
        <v>204</v>
      </c>
    </row>
    <row r="377" spans="2:29" s="28" customFormat="1" ht="74.25" customHeight="1" x14ac:dyDescent="0.35">
      <c r="B377" s="170">
        <v>20250522</v>
      </c>
      <c r="C377" s="171" t="s">
        <v>209</v>
      </c>
      <c r="D377" s="172" t="s">
        <v>166</v>
      </c>
      <c r="E377" s="173" t="s">
        <v>632</v>
      </c>
      <c r="F377" s="172" t="s">
        <v>687</v>
      </c>
      <c r="G377" s="172" t="s">
        <v>140</v>
      </c>
      <c r="H377" s="174" t="s">
        <v>677</v>
      </c>
      <c r="I377" s="175">
        <v>4</v>
      </c>
      <c r="J377" s="175">
        <v>10</v>
      </c>
      <c r="K377" s="176">
        <v>0</v>
      </c>
      <c r="L377" s="177">
        <v>150000000</v>
      </c>
      <c r="M377" s="172" t="s">
        <v>484</v>
      </c>
      <c r="N377" s="177" t="s">
        <v>108</v>
      </c>
      <c r="O377" s="173" t="s">
        <v>227</v>
      </c>
      <c r="P377" s="178" t="str">
        <f>IFERROR(VLOOKUP(C377,TD!$B$32:$F$36,2,0)," ")</f>
        <v>O230117</v>
      </c>
      <c r="Q377" s="178" t="str">
        <f>IFERROR(VLOOKUP(C377,TD!$B$32:$F$36,3,0)," ")</f>
        <v>4503</v>
      </c>
      <c r="R377" s="178">
        <f>IFERROR(VLOOKUP(C377,TD!$B$32:$F$36,4,0)," ")</f>
        <v>20240255</v>
      </c>
      <c r="S377" s="173" t="s">
        <v>185</v>
      </c>
      <c r="T377" s="178" t="str">
        <f>IFERROR(VLOOKUP(S377,TD!$J$33:$K$43,2,0)," ")</f>
        <v>Infraestructura física, mantenimiento y dotación (Sedes construidas, mantenidas reforzadas)</v>
      </c>
      <c r="U377" s="127" t="str">
        <f>CONCATENATE(S377,"-",T377)</f>
        <v>08-Infraestructura física, mantenimiento y dotación (Sedes construidas, mantenidas reforzadas)</v>
      </c>
      <c r="V377" s="173" t="s">
        <v>236</v>
      </c>
      <c r="W377" s="178" t="str">
        <f>IFERROR(VLOOKUP(V377,TD!$N$33:$O$45,2,0)," ")</f>
        <v>Estaciones de bomberos adecuadas</v>
      </c>
      <c r="X377" s="127" t="str">
        <f>CONCATENATE(V377,"_",W377)</f>
        <v>014_Estaciones de bomberos adecuadas</v>
      </c>
      <c r="Y377" s="127" t="str">
        <f>CONCATENATE(U377," ",X377)</f>
        <v>08-Infraestructura física, mantenimiento y dotación (Sedes construidas, mantenidas reforzadas) 014_Estaciones de bomberos adecuadas</v>
      </c>
      <c r="Z377" s="178" t="str">
        <f>CONCATENATE(P377,Q377,R377,S377,V377)</f>
        <v>O23011745032024025508014</v>
      </c>
      <c r="AA377" s="178" t="str">
        <f>IFERROR(VLOOKUP(Y377,TD!$K$46:$L$64,2,0)," ")</f>
        <v>PM/0131/0108/45030140255</v>
      </c>
      <c r="AB377" s="177" t="s">
        <v>775</v>
      </c>
      <c r="AC377" s="179" t="s">
        <v>204</v>
      </c>
    </row>
    <row r="378" spans="2:29" s="28" customFormat="1" ht="123" customHeight="1" x14ac:dyDescent="0.35">
      <c r="B378" s="170">
        <v>20250523</v>
      </c>
      <c r="C378" s="171" t="s">
        <v>209</v>
      </c>
      <c r="D378" s="172" t="s">
        <v>166</v>
      </c>
      <c r="E378" s="173" t="s">
        <v>632</v>
      </c>
      <c r="F378" s="172" t="s">
        <v>688</v>
      </c>
      <c r="G378" s="172" t="s">
        <v>105</v>
      </c>
      <c r="H378" s="174" t="s">
        <v>689</v>
      </c>
      <c r="I378" s="175">
        <v>6</v>
      </c>
      <c r="J378" s="175">
        <v>13</v>
      </c>
      <c r="K378" s="176">
        <v>0</v>
      </c>
      <c r="L378" s="177">
        <v>6000000000</v>
      </c>
      <c r="M378" s="172" t="s">
        <v>484</v>
      </c>
      <c r="N378" s="177" t="s">
        <v>85</v>
      </c>
      <c r="O378" s="173" t="s">
        <v>227</v>
      </c>
      <c r="P378" s="178" t="str">
        <f>IFERROR(VLOOKUP(C378,TD!$B$32:$F$36,2,0)," ")</f>
        <v>O230117</v>
      </c>
      <c r="Q378" s="178" t="str">
        <f>IFERROR(VLOOKUP(C378,TD!$B$32:$F$36,3,0)," ")</f>
        <v>4503</v>
      </c>
      <c r="R378" s="178">
        <f>IFERROR(VLOOKUP(C378,TD!$B$32:$F$36,4,0)," ")</f>
        <v>20240255</v>
      </c>
      <c r="S378" s="173" t="s">
        <v>185</v>
      </c>
      <c r="T378" s="178" t="str">
        <f>IFERROR(VLOOKUP(S378,TD!$J$33:$K$43,2,0)," ")</f>
        <v>Infraestructura física, mantenimiento y dotación (Sedes construidas, mantenidas reforzadas)</v>
      </c>
      <c r="U378" s="127" t="str">
        <f>CONCATENATE(S378,"-",T378)</f>
        <v>08-Infraestructura física, mantenimiento y dotación (Sedes construidas, mantenidas reforzadas)</v>
      </c>
      <c r="V378" s="173" t="s">
        <v>236</v>
      </c>
      <c r="W378" s="178" t="str">
        <f>IFERROR(VLOOKUP(V378,TD!$N$33:$O$45,2,0)," ")</f>
        <v>Estaciones de bomberos adecuadas</v>
      </c>
      <c r="X378" s="127" t="str">
        <f>CONCATENATE(V378,"_",W378)</f>
        <v>014_Estaciones de bomberos adecuadas</v>
      </c>
      <c r="Y378" s="127" t="str">
        <f>CONCATENATE(U378," ",X378)</f>
        <v>08-Infraestructura física, mantenimiento y dotación (Sedes construidas, mantenidas reforzadas) 014_Estaciones de bomberos adecuadas</v>
      </c>
      <c r="Z378" s="178" t="str">
        <f>CONCATENATE(P378,Q378,R378,S378,V378)</f>
        <v>O23011745032024025508014</v>
      </c>
      <c r="AA378" s="178" t="str">
        <f>IFERROR(VLOOKUP(Y378,TD!$K$46:$L$64,2,0)," ")</f>
        <v>PM/0131/0108/45030140255</v>
      </c>
      <c r="AB378" s="177" t="s">
        <v>775</v>
      </c>
      <c r="AC378" s="179" t="s">
        <v>204</v>
      </c>
    </row>
    <row r="379" spans="2:29" s="28" customFormat="1" ht="94" customHeight="1" x14ac:dyDescent="0.35">
      <c r="B379" s="170">
        <v>20250524</v>
      </c>
      <c r="C379" s="171" t="s">
        <v>209</v>
      </c>
      <c r="D379" s="172" t="s">
        <v>166</v>
      </c>
      <c r="E379" s="173" t="s">
        <v>632</v>
      </c>
      <c r="F379" s="172" t="s">
        <v>690</v>
      </c>
      <c r="G379" s="172" t="s">
        <v>140</v>
      </c>
      <c r="H379" s="174" t="s">
        <v>691</v>
      </c>
      <c r="I379" s="175">
        <v>6</v>
      </c>
      <c r="J379" s="175">
        <v>13</v>
      </c>
      <c r="K379" s="176">
        <v>0</v>
      </c>
      <c r="L379" s="177">
        <v>1380000000</v>
      </c>
      <c r="M379" s="172" t="s">
        <v>484</v>
      </c>
      <c r="N379" s="177" t="s">
        <v>108</v>
      </c>
      <c r="O379" s="173" t="s">
        <v>227</v>
      </c>
      <c r="P379" s="178" t="str">
        <f>IFERROR(VLOOKUP(C379,TD!$B$32:$F$36,2,0)," ")</f>
        <v>O230117</v>
      </c>
      <c r="Q379" s="178" t="str">
        <f>IFERROR(VLOOKUP(C379,TD!$B$32:$F$36,3,0)," ")</f>
        <v>4503</v>
      </c>
      <c r="R379" s="178">
        <f>IFERROR(VLOOKUP(C379,TD!$B$32:$F$36,4,0)," ")</f>
        <v>20240255</v>
      </c>
      <c r="S379" s="173" t="s">
        <v>185</v>
      </c>
      <c r="T379" s="178" t="str">
        <f>IFERROR(VLOOKUP(S379,TD!$J$33:$K$43,2,0)," ")</f>
        <v>Infraestructura física, mantenimiento y dotación (Sedes construidas, mantenidas reforzadas)</v>
      </c>
      <c r="U379" s="127" t="str">
        <f>CONCATENATE(S379,"-",T379)</f>
        <v>08-Infraestructura física, mantenimiento y dotación (Sedes construidas, mantenidas reforzadas)</v>
      </c>
      <c r="V379" s="173" t="s">
        <v>236</v>
      </c>
      <c r="W379" s="178" t="str">
        <f>IFERROR(VLOOKUP(V379,TD!$N$33:$O$45,2,0)," ")</f>
        <v>Estaciones de bomberos adecuadas</v>
      </c>
      <c r="X379" s="127" t="str">
        <f>CONCATENATE(V379,"_",W379)</f>
        <v>014_Estaciones de bomberos adecuadas</v>
      </c>
      <c r="Y379" s="127" t="str">
        <f>CONCATENATE(U379," ",X379)</f>
        <v>08-Infraestructura física, mantenimiento y dotación (Sedes construidas, mantenidas reforzadas) 014_Estaciones de bomberos adecuadas</v>
      </c>
      <c r="Z379" s="178" t="str">
        <f>CONCATENATE(P379,Q379,R379,S379,V379)</f>
        <v>O23011745032024025508014</v>
      </c>
      <c r="AA379" s="178" t="str">
        <f>IFERROR(VLOOKUP(Y379,TD!$K$46:$L$64,2,0)," ")</f>
        <v>PM/0131/0108/45030140255</v>
      </c>
      <c r="AB379" s="177" t="s">
        <v>775</v>
      </c>
      <c r="AC379" s="179" t="s">
        <v>204</v>
      </c>
    </row>
    <row r="380" spans="2:29" s="28" customFormat="1" ht="104" customHeight="1" x14ac:dyDescent="0.35">
      <c r="B380" s="170">
        <v>20250525</v>
      </c>
      <c r="C380" s="171" t="s">
        <v>208</v>
      </c>
      <c r="D380" s="172" t="s">
        <v>166</v>
      </c>
      <c r="E380" s="173" t="s">
        <v>632</v>
      </c>
      <c r="F380" s="172" t="s">
        <v>857</v>
      </c>
      <c r="G380" s="172" t="s">
        <v>155</v>
      </c>
      <c r="H380" s="174" t="s">
        <v>700</v>
      </c>
      <c r="I380" s="175">
        <v>2</v>
      </c>
      <c r="J380" s="175">
        <v>11</v>
      </c>
      <c r="K380" s="176">
        <v>0</v>
      </c>
      <c r="L380" s="177">
        <v>112237664</v>
      </c>
      <c r="M380" s="172" t="s">
        <v>484</v>
      </c>
      <c r="N380" s="177" t="s">
        <v>701</v>
      </c>
      <c r="O380" s="173" t="s">
        <v>218</v>
      </c>
      <c r="P380" s="178" t="str">
        <f>IFERROR(VLOOKUP(C380,TD!$B$32:$F$36,2,0)," ")</f>
        <v>O230117</v>
      </c>
      <c r="Q380" s="178" t="str">
        <f>IFERROR(VLOOKUP(C380,TD!$B$32:$F$36,3,0)," ")</f>
        <v>4599</v>
      </c>
      <c r="R380" s="178">
        <f>IFERROR(VLOOKUP(C380,TD!$B$32:$F$36,4,0)," ")</f>
        <v>20240207</v>
      </c>
      <c r="S380" s="173" t="s">
        <v>185</v>
      </c>
      <c r="T380" s="178" t="str">
        <f>IFERROR(VLOOKUP(S380,TD!$J$33:$K$43,2,0)," ")</f>
        <v>Infraestructura física, mantenimiento y dotación (Sedes construidas, mantenidas reforzadas)</v>
      </c>
      <c r="U380" s="127" t="str">
        <f>CONCATENATE(S380,"-",T380)</f>
        <v>08-Infraestructura física, mantenimiento y dotación (Sedes construidas, mantenidas reforzadas)</v>
      </c>
      <c r="V380" s="173" t="s">
        <v>238</v>
      </c>
      <c r="W380" s="178" t="str">
        <f>IFERROR(VLOOKUP(V380,TD!$N$33:$O$45,2,0)," ")</f>
        <v>Sedes mantenidas</v>
      </c>
      <c r="X380" s="127" t="str">
        <f>CONCATENATE(V380,"_",W380)</f>
        <v>016_Sedes mantenidas</v>
      </c>
      <c r="Y380" s="127" t="str">
        <f>CONCATENATE(U380," ",X380)</f>
        <v>08-Infraestructura física, mantenimiento y dotación (Sedes construidas, mantenidas reforzadas) 016_Sedes mantenidas</v>
      </c>
      <c r="Z380" s="178" t="str">
        <f>CONCATENATE(P380,Q380,R380,S380,V380)</f>
        <v>O23011745992024020708016</v>
      </c>
      <c r="AA380" s="178" t="str">
        <f>IFERROR(VLOOKUP(Y380,TD!$K$46:$L$64,2,0)," ")</f>
        <v>PM/0131/0108/45990160207</v>
      </c>
      <c r="AB380" s="177" t="s">
        <v>138</v>
      </c>
      <c r="AC380" s="179" t="s">
        <v>204</v>
      </c>
    </row>
    <row r="381" spans="2:29" s="28" customFormat="1" ht="104" customHeight="1" x14ac:dyDescent="0.35">
      <c r="B381" s="170">
        <v>20250526</v>
      </c>
      <c r="C381" s="171" t="s">
        <v>208</v>
      </c>
      <c r="D381" s="172" t="s">
        <v>166</v>
      </c>
      <c r="E381" s="173" t="s">
        <v>632</v>
      </c>
      <c r="F381" s="172" t="s">
        <v>653</v>
      </c>
      <c r="G381" s="172" t="s">
        <v>156</v>
      </c>
      <c r="H381" s="174" t="s">
        <v>700</v>
      </c>
      <c r="I381" s="175">
        <v>2</v>
      </c>
      <c r="J381" s="175">
        <v>11</v>
      </c>
      <c r="K381" s="176">
        <v>0</v>
      </c>
      <c r="L381" s="177">
        <v>33534424</v>
      </c>
      <c r="M381" s="172" t="s">
        <v>484</v>
      </c>
      <c r="N381" s="177" t="s">
        <v>701</v>
      </c>
      <c r="O381" s="173" t="s">
        <v>218</v>
      </c>
      <c r="P381" s="178" t="str">
        <f>IFERROR(VLOOKUP(C381,TD!$B$32:$F$36,2,0)," ")</f>
        <v>O230117</v>
      </c>
      <c r="Q381" s="178" t="str">
        <f>IFERROR(VLOOKUP(C381,TD!$B$32:$F$36,3,0)," ")</f>
        <v>4599</v>
      </c>
      <c r="R381" s="178">
        <f>IFERROR(VLOOKUP(C381,TD!$B$32:$F$36,4,0)," ")</f>
        <v>20240207</v>
      </c>
      <c r="S381" s="173" t="s">
        <v>185</v>
      </c>
      <c r="T381" s="178" t="str">
        <f>IFERROR(VLOOKUP(S381,TD!$J$33:$K$43,2,0)," ")</f>
        <v>Infraestructura física, mantenimiento y dotación (Sedes construidas, mantenidas reforzadas)</v>
      </c>
      <c r="U381" s="127" t="str">
        <f>CONCATENATE(S381,"-",T381)</f>
        <v>08-Infraestructura física, mantenimiento y dotación (Sedes construidas, mantenidas reforzadas)</v>
      </c>
      <c r="V381" s="173" t="s">
        <v>238</v>
      </c>
      <c r="W381" s="178" t="str">
        <f>IFERROR(VLOOKUP(V381,TD!$N$33:$O$45,2,0)," ")</f>
        <v>Sedes mantenidas</v>
      </c>
      <c r="X381" s="127" t="str">
        <f>CONCATENATE(V381,"_",W381)</f>
        <v>016_Sedes mantenidas</v>
      </c>
      <c r="Y381" s="127" t="str">
        <f>CONCATENATE(U381," ",X381)</f>
        <v>08-Infraestructura física, mantenimiento y dotación (Sedes construidas, mantenidas reforzadas) 016_Sedes mantenidas</v>
      </c>
      <c r="Z381" s="178" t="str">
        <f>CONCATENATE(P381,Q381,R381,S381,V381)</f>
        <v>O23011745992024020708016</v>
      </c>
      <c r="AA381" s="178" t="str">
        <f>IFERROR(VLOOKUP(Y381,TD!$K$46:$L$64,2,0)," ")</f>
        <v>PM/0131/0108/45990160207</v>
      </c>
      <c r="AB381" s="177" t="s">
        <v>138</v>
      </c>
      <c r="AC381" s="179" t="s">
        <v>204</v>
      </c>
    </row>
    <row r="382" spans="2:29" s="28" customFormat="1" ht="74.25" customHeight="1" x14ac:dyDescent="0.35">
      <c r="B382" s="170">
        <v>20250527</v>
      </c>
      <c r="C382" s="171" t="s">
        <v>208</v>
      </c>
      <c r="D382" s="172" t="s">
        <v>166</v>
      </c>
      <c r="E382" s="173" t="s">
        <v>632</v>
      </c>
      <c r="F382" s="172" t="s">
        <v>653</v>
      </c>
      <c r="G382" s="172" t="s">
        <v>156</v>
      </c>
      <c r="H382" s="174" t="s">
        <v>700</v>
      </c>
      <c r="I382" s="175">
        <v>2</v>
      </c>
      <c r="J382" s="175">
        <v>11</v>
      </c>
      <c r="K382" s="176">
        <v>0</v>
      </c>
      <c r="L382" s="177">
        <v>33534424</v>
      </c>
      <c r="M382" s="172" t="s">
        <v>484</v>
      </c>
      <c r="N382" s="177" t="s">
        <v>701</v>
      </c>
      <c r="O382" s="173" t="s">
        <v>218</v>
      </c>
      <c r="P382" s="178" t="str">
        <f>IFERROR(VLOOKUP(C382,TD!$B$32:$F$36,2,0)," ")</f>
        <v>O230117</v>
      </c>
      <c r="Q382" s="178" t="str">
        <f>IFERROR(VLOOKUP(C382,TD!$B$32:$F$36,3,0)," ")</f>
        <v>4599</v>
      </c>
      <c r="R382" s="178">
        <f>IFERROR(VLOOKUP(C382,TD!$B$32:$F$36,4,0)," ")</f>
        <v>20240207</v>
      </c>
      <c r="S382" s="173" t="s">
        <v>185</v>
      </c>
      <c r="T382" s="178" t="str">
        <f>IFERROR(VLOOKUP(S382,TD!$J$33:$K$43,2,0)," ")</f>
        <v>Infraestructura física, mantenimiento y dotación (Sedes construidas, mantenidas reforzadas)</v>
      </c>
      <c r="U382" s="127" t="str">
        <f>CONCATENATE(S382,"-",T382)</f>
        <v>08-Infraestructura física, mantenimiento y dotación (Sedes construidas, mantenidas reforzadas)</v>
      </c>
      <c r="V382" s="173" t="s">
        <v>238</v>
      </c>
      <c r="W382" s="178" t="str">
        <f>IFERROR(VLOOKUP(V382,TD!$N$33:$O$45,2,0)," ")</f>
        <v>Sedes mantenidas</v>
      </c>
      <c r="X382" s="127" t="str">
        <f>CONCATENATE(V382,"_",W382)</f>
        <v>016_Sedes mantenidas</v>
      </c>
      <c r="Y382" s="127" t="str">
        <f>CONCATENATE(U382," ",X382)</f>
        <v>08-Infraestructura física, mantenimiento y dotación (Sedes construidas, mantenidas reforzadas) 016_Sedes mantenidas</v>
      </c>
      <c r="Z382" s="221" t="str">
        <f>CONCATENATE(P382,Q382,R382,S382,V382)</f>
        <v>O23011745992024020708016</v>
      </c>
      <c r="AA382" s="222" t="str">
        <f>IFERROR(VLOOKUP(Y382,TD!$K$46:$L$64,2,0)," ")</f>
        <v>PM/0131/0108/45990160207</v>
      </c>
      <c r="AB382" s="223" t="s">
        <v>138</v>
      </c>
      <c r="AC382" s="224" t="s">
        <v>204</v>
      </c>
    </row>
    <row r="383" spans="2:29" s="28" customFormat="1" ht="126" customHeight="1" x14ac:dyDescent="0.35">
      <c r="B383" s="170">
        <v>20250528</v>
      </c>
      <c r="C383" s="171" t="s">
        <v>208</v>
      </c>
      <c r="D383" s="172" t="s">
        <v>166</v>
      </c>
      <c r="E383" s="173" t="s">
        <v>632</v>
      </c>
      <c r="F383" s="172" t="s">
        <v>653</v>
      </c>
      <c r="G383" s="172" t="s">
        <v>156</v>
      </c>
      <c r="H383" s="174" t="s">
        <v>700</v>
      </c>
      <c r="I383" s="175">
        <v>2</v>
      </c>
      <c r="J383" s="175">
        <v>11</v>
      </c>
      <c r="K383" s="176">
        <v>0</v>
      </c>
      <c r="L383" s="177">
        <v>33534424</v>
      </c>
      <c r="M383" s="172" t="s">
        <v>484</v>
      </c>
      <c r="N383" s="177" t="s">
        <v>701</v>
      </c>
      <c r="O383" s="173" t="s">
        <v>218</v>
      </c>
      <c r="P383" s="178" t="str">
        <f>IFERROR(VLOOKUP(C383,TD!$B$32:$F$36,2,0)," ")</f>
        <v>O230117</v>
      </c>
      <c r="Q383" s="178" t="str">
        <f>IFERROR(VLOOKUP(C383,TD!$B$32:$F$36,3,0)," ")</f>
        <v>4599</v>
      </c>
      <c r="R383" s="178">
        <f>IFERROR(VLOOKUP(C383,TD!$B$32:$F$36,4,0)," ")</f>
        <v>20240207</v>
      </c>
      <c r="S383" s="173" t="s">
        <v>185</v>
      </c>
      <c r="T383" s="178" t="str">
        <f>IFERROR(VLOOKUP(S383,TD!$J$33:$K$43,2,0)," ")</f>
        <v>Infraestructura física, mantenimiento y dotación (Sedes construidas, mantenidas reforzadas)</v>
      </c>
      <c r="U383" s="127" t="str">
        <f>CONCATENATE(S383,"-",T383)</f>
        <v>08-Infraestructura física, mantenimiento y dotación (Sedes construidas, mantenidas reforzadas)</v>
      </c>
      <c r="V383" s="173" t="s">
        <v>238</v>
      </c>
      <c r="W383" s="178" t="str">
        <f>IFERROR(VLOOKUP(V383,TD!$N$33:$O$45,2,0)," ")</f>
        <v>Sedes mantenidas</v>
      </c>
      <c r="X383" s="127" t="str">
        <f>CONCATENATE(V383,"_",W383)</f>
        <v>016_Sedes mantenidas</v>
      </c>
      <c r="Y383" s="127" t="str">
        <f>CONCATENATE(U383," ",X383)</f>
        <v>08-Infraestructura física, mantenimiento y dotación (Sedes construidas, mantenidas reforzadas) 016_Sedes mantenidas</v>
      </c>
      <c r="Z383" s="178" t="str">
        <f>CONCATENATE(P383,Q383,R383,S383,V383)</f>
        <v>O23011745992024020708016</v>
      </c>
      <c r="AA383" s="178" t="str">
        <f>IFERROR(VLOOKUP(Y383,TD!$K$46:$L$64,2,0)," ")</f>
        <v>PM/0131/0108/45990160207</v>
      </c>
      <c r="AB383" s="177" t="s">
        <v>138</v>
      </c>
      <c r="AC383" s="179" t="s">
        <v>204</v>
      </c>
    </row>
    <row r="384" spans="2:29" s="28" customFormat="1" ht="108.5" customHeight="1" x14ac:dyDescent="0.35">
      <c r="B384" s="170">
        <v>20250529</v>
      </c>
      <c r="C384" s="171" t="s">
        <v>209</v>
      </c>
      <c r="D384" s="172" t="s">
        <v>166</v>
      </c>
      <c r="E384" s="173" t="s">
        <v>632</v>
      </c>
      <c r="F384" s="172" t="s">
        <v>858</v>
      </c>
      <c r="G384" s="172" t="s">
        <v>155</v>
      </c>
      <c r="H384" s="174" t="s">
        <v>700</v>
      </c>
      <c r="I384" s="175">
        <v>2</v>
      </c>
      <c r="J384" s="175">
        <v>11</v>
      </c>
      <c r="K384" s="176">
        <v>0</v>
      </c>
      <c r="L384" s="177">
        <v>78650000</v>
      </c>
      <c r="M384" s="172" t="s">
        <v>484</v>
      </c>
      <c r="N384" s="177" t="s">
        <v>701</v>
      </c>
      <c r="O384" s="173" t="s">
        <v>230</v>
      </c>
      <c r="P384" s="178" t="str">
        <f>IFERROR(VLOOKUP(C384,TD!$B$32:$F$36,2,0)," ")</f>
        <v>O230117</v>
      </c>
      <c r="Q384" s="178" t="str">
        <f>IFERROR(VLOOKUP(C384,TD!$B$32:$F$36,3,0)," ")</f>
        <v>4503</v>
      </c>
      <c r="R384" s="178">
        <f>IFERROR(VLOOKUP(C384,TD!$B$32:$F$36,4,0)," ")</f>
        <v>20240255</v>
      </c>
      <c r="S384" s="173" t="s">
        <v>185</v>
      </c>
      <c r="T384" s="178" t="str">
        <f>IFERROR(VLOOKUP(S384,TD!$J$33:$K$43,2,0)," ")</f>
        <v>Infraestructura física, mantenimiento y dotación (Sedes construidas, mantenidas reforzadas)</v>
      </c>
      <c r="U384" s="127" t="str">
        <f>CONCATENATE(S384,"-",T384)</f>
        <v>08-Infraestructura física, mantenimiento y dotación (Sedes construidas, mantenidas reforzadas)</v>
      </c>
      <c r="V384" s="173" t="s">
        <v>294</v>
      </c>
      <c r="W384" s="178" t="str">
        <f>IFERROR(VLOOKUP(V384,TD!$N$33:$O$45,2,0)," ")</f>
        <v>Documentos de lineamientos técnicos</v>
      </c>
      <c r="X384" s="127" t="str">
        <f>CONCATENATE(V384,"_",W384)</f>
        <v>031__Documentos de lineamientos técnicos</v>
      </c>
      <c r="Y384" s="127" t="str">
        <f>CONCATENATE(U384," ",X384)</f>
        <v>08-Infraestructura física, mantenimiento y dotación (Sedes construidas, mantenidas reforzadas) 031__Documentos de lineamientos técnicos</v>
      </c>
      <c r="Z384" s="178" t="str">
        <f>CONCATENATE(P384,Q384,R384,S384,V384)</f>
        <v>O23011745032024025508031_</v>
      </c>
      <c r="AA384" s="178" t="str">
        <f>IFERROR(VLOOKUP(Y384,TD!$K$46:$L$64,2,0)," ")</f>
        <v>PM/0131/0108/45030310255</v>
      </c>
      <c r="AB384" s="177" t="s">
        <v>120</v>
      </c>
      <c r="AC384" s="179" t="s">
        <v>204</v>
      </c>
    </row>
    <row r="385" spans="2:29" s="28" customFormat="1" ht="88.5" customHeight="1" x14ac:dyDescent="0.35">
      <c r="B385" s="170">
        <v>20250530</v>
      </c>
      <c r="C385" s="171" t="s">
        <v>209</v>
      </c>
      <c r="D385" s="172" t="s">
        <v>166</v>
      </c>
      <c r="E385" s="173" t="s">
        <v>632</v>
      </c>
      <c r="F385" s="172" t="s">
        <v>650</v>
      </c>
      <c r="G385" s="172" t="s">
        <v>155</v>
      </c>
      <c r="H385" s="174" t="s">
        <v>700</v>
      </c>
      <c r="I385" s="175">
        <v>2</v>
      </c>
      <c r="J385" s="175">
        <v>11</v>
      </c>
      <c r="K385" s="176">
        <v>0</v>
      </c>
      <c r="L385" s="177">
        <v>62920000</v>
      </c>
      <c r="M385" s="172" t="s">
        <v>484</v>
      </c>
      <c r="N385" s="177" t="s">
        <v>701</v>
      </c>
      <c r="O385" s="173" t="s">
        <v>227</v>
      </c>
      <c r="P385" s="178" t="str">
        <f>IFERROR(VLOOKUP(C385,TD!$B$32:$F$36,2,0)," ")</f>
        <v>O230117</v>
      </c>
      <c r="Q385" s="178" t="str">
        <f>IFERROR(VLOOKUP(C385,TD!$B$32:$F$36,3,0)," ")</f>
        <v>4503</v>
      </c>
      <c r="R385" s="178">
        <f>IFERROR(VLOOKUP(C385,TD!$B$32:$F$36,4,0)," ")</f>
        <v>20240255</v>
      </c>
      <c r="S385" s="173" t="s">
        <v>185</v>
      </c>
      <c r="T385" s="178" t="str">
        <f>IFERROR(VLOOKUP(S385,TD!$J$33:$K$43,2,0)," ")</f>
        <v>Infraestructura física, mantenimiento y dotación (Sedes construidas, mantenidas reforzadas)</v>
      </c>
      <c r="U385" s="127" t="str">
        <f>CONCATENATE(S385,"-",T385)</f>
        <v>08-Infraestructura física, mantenimiento y dotación (Sedes construidas, mantenidas reforzadas)</v>
      </c>
      <c r="V385" s="173" t="s">
        <v>236</v>
      </c>
      <c r="W385" s="178" t="str">
        <f>IFERROR(VLOOKUP(V385,TD!$N$33:$O$45,2,0)," ")</f>
        <v>Estaciones de bomberos adecuadas</v>
      </c>
      <c r="X385" s="127" t="str">
        <f>CONCATENATE(V385,"_",W385)</f>
        <v>014_Estaciones de bomberos adecuadas</v>
      </c>
      <c r="Y385" s="127" t="str">
        <f>CONCATENATE(U385," ",X385)</f>
        <v>08-Infraestructura física, mantenimiento y dotación (Sedes construidas, mantenidas reforzadas) 014_Estaciones de bomberos adecuadas</v>
      </c>
      <c r="Z385" s="178" t="str">
        <f>CONCATENATE(P385,Q385,R385,S385,V385)</f>
        <v>O23011745032024025508014</v>
      </c>
      <c r="AA385" s="178" t="str">
        <f>IFERROR(VLOOKUP(Y385,TD!$K$46:$L$64,2,0)," ")</f>
        <v>PM/0131/0108/45030140255</v>
      </c>
      <c r="AB385" s="177" t="s">
        <v>777</v>
      </c>
      <c r="AC385" s="179" t="s">
        <v>204</v>
      </c>
    </row>
    <row r="386" spans="2:29" s="28" customFormat="1" ht="96" customHeight="1" x14ac:dyDescent="0.35">
      <c r="B386" s="170">
        <v>20250531</v>
      </c>
      <c r="C386" s="171" t="s">
        <v>209</v>
      </c>
      <c r="D386" s="172" t="s">
        <v>166</v>
      </c>
      <c r="E386" s="173" t="s">
        <v>632</v>
      </c>
      <c r="F386" s="172" t="s">
        <v>667</v>
      </c>
      <c r="G386" s="172" t="s">
        <v>155</v>
      </c>
      <c r="H386" s="174" t="s">
        <v>700</v>
      </c>
      <c r="I386" s="175">
        <v>2</v>
      </c>
      <c r="J386" s="175">
        <v>11</v>
      </c>
      <c r="K386" s="176">
        <v>0</v>
      </c>
      <c r="L386" s="177">
        <v>66550000</v>
      </c>
      <c r="M386" s="172" t="s">
        <v>484</v>
      </c>
      <c r="N386" s="177" t="s">
        <v>701</v>
      </c>
      <c r="O386" s="173" t="s">
        <v>227</v>
      </c>
      <c r="P386" s="178" t="str">
        <f>IFERROR(VLOOKUP(C386,TD!$B$32:$F$36,2,0)," ")</f>
        <v>O230117</v>
      </c>
      <c r="Q386" s="178" t="str">
        <f>IFERROR(VLOOKUP(C386,TD!$B$32:$F$36,3,0)," ")</f>
        <v>4503</v>
      </c>
      <c r="R386" s="178">
        <f>IFERROR(VLOOKUP(C386,TD!$B$32:$F$36,4,0)," ")</f>
        <v>20240255</v>
      </c>
      <c r="S386" s="173" t="s">
        <v>185</v>
      </c>
      <c r="T386" s="178" t="str">
        <f>IFERROR(VLOOKUP(S386,TD!$J$33:$K$43,2,0)," ")</f>
        <v>Infraestructura física, mantenimiento y dotación (Sedes construidas, mantenidas reforzadas)</v>
      </c>
      <c r="U386" s="127" t="str">
        <f>CONCATENATE(S386,"-",T386)</f>
        <v>08-Infraestructura física, mantenimiento y dotación (Sedes construidas, mantenidas reforzadas)</v>
      </c>
      <c r="V386" s="173" t="s">
        <v>236</v>
      </c>
      <c r="W386" s="178" t="str">
        <f>IFERROR(VLOOKUP(V386,TD!$N$33:$O$45,2,0)," ")</f>
        <v>Estaciones de bomberos adecuadas</v>
      </c>
      <c r="X386" s="127" t="str">
        <f>CONCATENATE(V386,"_",W386)</f>
        <v>014_Estaciones de bomberos adecuadas</v>
      </c>
      <c r="Y386" s="127" t="str">
        <f>CONCATENATE(U386," ",X386)</f>
        <v>08-Infraestructura física, mantenimiento y dotación (Sedes construidas, mantenidas reforzadas) 014_Estaciones de bomberos adecuadas</v>
      </c>
      <c r="Z386" s="178" t="str">
        <f>CONCATENATE(P386,Q386,R386,S386,V386)</f>
        <v>O23011745032024025508014</v>
      </c>
      <c r="AA386" s="178" t="str">
        <f>IFERROR(VLOOKUP(Y386,TD!$K$46:$L$64,2,0)," ")</f>
        <v>PM/0131/0108/45030140255</v>
      </c>
      <c r="AB386" s="177" t="s">
        <v>777</v>
      </c>
      <c r="AC386" s="179" t="s">
        <v>204</v>
      </c>
    </row>
    <row r="387" spans="2:29" s="28" customFormat="1" ht="106" customHeight="1" x14ac:dyDescent="0.35">
      <c r="B387" s="170">
        <v>20250532</v>
      </c>
      <c r="C387" s="171" t="s">
        <v>208</v>
      </c>
      <c r="D387" s="172" t="s">
        <v>166</v>
      </c>
      <c r="E387" s="173" t="s">
        <v>632</v>
      </c>
      <c r="F387" s="172" t="s">
        <v>843</v>
      </c>
      <c r="G387" s="172" t="s">
        <v>155</v>
      </c>
      <c r="H387" s="174" t="s">
        <v>700</v>
      </c>
      <c r="I387" s="175">
        <v>2</v>
      </c>
      <c r="J387" s="175">
        <v>11</v>
      </c>
      <c r="K387" s="176">
        <v>0</v>
      </c>
      <c r="L387" s="177">
        <f>88330000-35000000</f>
        <v>53330000</v>
      </c>
      <c r="M387" s="172" t="s">
        <v>484</v>
      </c>
      <c r="N387" s="177" t="s">
        <v>701</v>
      </c>
      <c r="O387" s="173" t="s">
        <v>219</v>
      </c>
      <c r="P387" s="178" t="str">
        <f>IFERROR(VLOOKUP(C387,TD!$B$32:$F$36,2,0)," ")</f>
        <v>O230117</v>
      </c>
      <c r="Q387" s="178" t="str">
        <f>IFERROR(VLOOKUP(C387,TD!$B$32:$F$36,3,0)," ")</f>
        <v>4599</v>
      </c>
      <c r="R387" s="178">
        <f>IFERROR(VLOOKUP(C387,TD!$B$32:$F$36,4,0)," ")</f>
        <v>20240207</v>
      </c>
      <c r="S387" s="173" t="s">
        <v>185</v>
      </c>
      <c r="T387" s="178" t="str">
        <f>IFERROR(VLOOKUP(S387,TD!$J$33:$K$43,2,0)," ")</f>
        <v>Infraestructura física, mantenimiento y dotación (Sedes construidas, mantenidas reforzadas)</v>
      </c>
      <c r="U387" s="127" t="str">
        <f>CONCATENATE(S387,"-",T387)</f>
        <v>08-Infraestructura física, mantenimiento y dotación (Sedes construidas, mantenidas reforzadas)</v>
      </c>
      <c r="V387" s="173" t="s">
        <v>238</v>
      </c>
      <c r="W387" s="178" t="str">
        <f>IFERROR(VLOOKUP(V387,TD!$N$33:$O$45,2,0)," ")</f>
        <v>Sedes mantenidas</v>
      </c>
      <c r="X387" s="127" t="str">
        <f>CONCATENATE(V387,"_",W387)</f>
        <v>016_Sedes mantenidas</v>
      </c>
      <c r="Y387" s="127" t="str">
        <f>CONCATENATE(U387," ",X387)</f>
        <v>08-Infraestructura física, mantenimiento y dotación (Sedes construidas, mantenidas reforzadas) 016_Sedes mantenidas</v>
      </c>
      <c r="Z387" s="178" t="str">
        <f>CONCATENATE(P387,Q387,R387,S387,V387)</f>
        <v>O23011745992024020708016</v>
      </c>
      <c r="AA387" s="178" t="str">
        <f>IFERROR(VLOOKUP(Y387,TD!$K$46:$L$64,2,0)," ")</f>
        <v>PM/0131/0108/45990160207</v>
      </c>
      <c r="AB387" s="177" t="s">
        <v>138</v>
      </c>
      <c r="AC387" s="179" t="s">
        <v>204</v>
      </c>
    </row>
    <row r="388" spans="2:29" s="28" customFormat="1" ht="74.25" customHeight="1" x14ac:dyDescent="0.35">
      <c r="B388" s="170">
        <v>20250533</v>
      </c>
      <c r="C388" s="171" t="s">
        <v>209</v>
      </c>
      <c r="D388" s="172" t="s">
        <v>166</v>
      </c>
      <c r="E388" s="173" t="s">
        <v>632</v>
      </c>
      <c r="F388" s="172" t="s">
        <v>757</v>
      </c>
      <c r="G388" s="172" t="s">
        <v>155</v>
      </c>
      <c r="H388" s="174" t="s">
        <v>700</v>
      </c>
      <c r="I388" s="175">
        <v>2</v>
      </c>
      <c r="J388" s="175">
        <v>11</v>
      </c>
      <c r="K388" s="176">
        <v>0</v>
      </c>
      <c r="L388" s="177">
        <v>79406250</v>
      </c>
      <c r="M388" s="172" t="s">
        <v>484</v>
      </c>
      <c r="N388" s="177" t="s">
        <v>701</v>
      </c>
      <c r="O388" s="173" t="s">
        <v>227</v>
      </c>
      <c r="P388" s="178" t="str">
        <f>IFERROR(VLOOKUP(C388,TD!$B$32:$F$36,2,0)," ")</f>
        <v>O230117</v>
      </c>
      <c r="Q388" s="178" t="str">
        <f>IFERROR(VLOOKUP(C388,TD!$B$32:$F$36,3,0)," ")</f>
        <v>4503</v>
      </c>
      <c r="R388" s="178">
        <f>IFERROR(VLOOKUP(C388,TD!$B$32:$F$36,4,0)," ")</f>
        <v>20240255</v>
      </c>
      <c r="S388" s="173" t="s">
        <v>185</v>
      </c>
      <c r="T388" s="178" t="str">
        <f>IFERROR(VLOOKUP(S388,TD!$J$33:$K$43,2,0)," ")</f>
        <v>Infraestructura física, mantenimiento y dotación (Sedes construidas, mantenidas reforzadas)</v>
      </c>
      <c r="U388" s="127" t="str">
        <f>CONCATENATE(S388,"-",T388)</f>
        <v>08-Infraestructura física, mantenimiento y dotación (Sedes construidas, mantenidas reforzadas)</v>
      </c>
      <c r="V388" s="173" t="s">
        <v>236</v>
      </c>
      <c r="W388" s="178" t="str">
        <f>IFERROR(VLOOKUP(V388,TD!$N$33:$O$45,2,0)," ")</f>
        <v>Estaciones de bomberos adecuadas</v>
      </c>
      <c r="X388" s="127" t="str">
        <f>CONCATENATE(V388,"_",W388)</f>
        <v>014_Estaciones de bomberos adecuadas</v>
      </c>
      <c r="Y388" s="127" t="str">
        <f>CONCATENATE(U388," ",X388)</f>
        <v>08-Infraestructura física, mantenimiento y dotación (Sedes construidas, mantenidas reforzadas) 014_Estaciones de bomberos adecuadas</v>
      </c>
      <c r="Z388" s="178" t="str">
        <f>CONCATENATE(P388,Q388,R388,S388,V388)</f>
        <v>O23011745032024025508014</v>
      </c>
      <c r="AA388" s="178" t="str">
        <f>IFERROR(VLOOKUP(Y388,TD!$K$46:$L$64,2,0)," ")</f>
        <v>PM/0131/0108/45030140255</v>
      </c>
      <c r="AB388" s="177" t="s">
        <v>777</v>
      </c>
      <c r="AC388" s="179" t="s">
        <v>204</v>
      </c>
    </row>
    <row r="389" spans="2:29" s="28" customFormat="1" ht="74.25" customHeight="1" x14ac:dyDescent="0.35">
      <c r="B389" s="170">
        <v>20250534</v>
      </c>
      <c r="C389" s="171" t="s">
        <v>208</v>
      </c>
      <c r="D389" s="172" t="s">
        <v>166</v>
      </c>
      <c r="E389" s="173" t="s">
        <v>632</v>
      </c>
      <c r="F389" s="172" t="s">
        <v>653</v>
      </c>
      <c r="G389" s="172" t="s">
        <v>156</v>
      </c>
      <c r="H389" s="174" t="s">
        <v>700</v>
      </c>
      <c r="I389" s="175">
        <v>2</v>
      </c>
      <c r="J389" s="175">
        <v>11</v>
      </c>
      <c r="K389" s="176">
        <v>0</v>
      </c>
      <c r="L389" s="177">
        <v>33534424</v>
      </c>
      <c r="M389" s="172" t="s">
        <v>484</v>
      </c>
      <c r="N389" s="177" t="s">
        <v>701</v>
      </c>
      <c r="O389" s="173" t="s">
        <v>218</v>
      </c>
      <c r="P389" s="178" t="str">
        <f>IFERROR(VLOOKUP(C389,TD!$B$32:$F$36,2,0)," ")</f>
        <v>O230117</v>
      </c>
      <c r="Q389" s="178" t="str">
        <f>IFERROR(VLOOKUP(C389,TD!$B$32:$F$36,3,0)," ")</f>
        <v>4599</v>
      </c>
      <c r="R389" s="178">
        <f>IFERROR(VLOOKUP(C389,TD!$B$32:$F$36,4,0)," ")</f>
        <v>20240207</v>
      </c>
      <c r="S389" s="173" t="s">
        <v>185</v>
      </c>
      <c r="T389" s="178" t="str">
        <f>IFERROR(VLOOKUP(S389,TD!$J$33:$K$43,2,0)," ")</f>
        <v>Infraestructura física, mantenimiento y dotación (Sedes construidas, mantenidas reforzadas)</v>
      </c>
      <c r="U389" s="127" t="str">
        <f>CONCATENATE(S389,"-",T389)</f>
        <v>08-Infraestructura física, mantenimiento y dotación (Sedes construidas, mantenidas reforzadas)</v>
      </c>
      <c r="V389" s="173" t="s">
        <v>238</v>
      </c>
      <c r="W389" s="178" t="str">
        <f>IFERROR(VLOOKUP(V389,TD!$N$33:$O$45,2,0)," ")</f>
        <v>Sedes mantenidas</v>
      </c>
      <c r="X389" s="127" t="str">
        <f>CONCATENATE(V389,"_",W389)</f>
        <v>016_Sedes mantenidas</v>
      </c>
      <c r="Y389" s="127" t="str">
        <f>CONCATENATE(U389," ",X389)</f>
        <v>08-Infraestructura física, mantenimiento y dotación (Sedes construidas, mantenidas reforzadas) 016_Sedes mantenidas</v>
      </c>
      <c r="Z389" s="178" t="str">
        <f>CONCATENATE(P389,Q389,R389,S389,V389)</f>
        <v>O23011745992024020708016</v>
      </c>
      <c r="AA389" s="178" t="str">
        <f>IFERROR(VLOOKUP(Y389,TD!$K$46:$L$64,2,0)," ")</f>
        <v>PM/0131/0108/45990160207</v>
      </c>
      <c r="AB389" s="177" t="s">
        <v>138</v>
      </c>
      <c r="AC389" s="179" t="s">
        <v>204</v>
      </c>
    </row>
    <row r="390" spans="2:29" s="28" customFormat="1" ht="74.25" customHeight="1" x14ac:dyDescent="0.35">
      <c r="B390" s="170">
        <v>20250535</v>
      </c>
      <c r="C390" s="171" t="s">
        <v>208</v>
      </c>
      <c r="D390" s="172" t="s">
        <v>166</v>
      </c>
      <c r="E390" s="173" t="s">
        <v>632</v>
      </c>
      <c r="F390" s="172" t="s">
        <v>653</v>
      </c>
      <c r="G390" s="172" t="s">
        <v>156</v>
      </c>
      <c r="H390" s="174" t="s">
        <v>700</v>
      </c>
      <c r="I390" s="175">
        <v>2</v>
      </c>
      <c r="J390" s="175">
        <v>11</v>
      </c>
      <c r="K390" s="176">
        <v>0</v>
      </c>
      <c r="L390" s="177">
        <v>33534424</v>
      </c>
      <c r="M390" s="172" t="s">
        <v>484</v>
      </c>
      <c r="N390" s="177" t="s">
        <v>701</v>
      </c>
      <c r="O390" s="173" t="s">
        <v>218</v>
      </c>
      <c r="P390" s="178" t="str">
        <f>IFERROR(VLOOKUP(C390,TD!$B$32:$F$36,2,0)," ")</f>
        <v>O230117</v>
      </c>
      <c r="Q390" s="178" t="str">
        <f>IFERROR(VLOOKUP(C390,TD!$B$32:$F$36,3,0)," ")</f>
        <v>4599</v>
      </c>
      <c r="R390" s="178">
        <f>IFERROR(VLOOKUP(C390,TD!$B$32:$F$36,4,0)," ")</f>
        <v>20240207</v>
      </c>
      <c r="S390" s="173" t="s">
        <v>185</v>
      </c>
      <c r="T390" s="178" t="str">
        <f>IFERROR(VLOOKUP(S390,TD!$J$33:$K$43,2,0)," ")</f>
        <v>Infraestructura física, mantenimiento y dotación (Sedes construidas, mantenidas reforzadas)</v>
      </c>
      <c r="U390" s="127" t="str">
        <f>CONCATENATE(S390,"-",T390)</f>
        <v>08-Infraestructura física, mantenimiento y dotación (Sedes construidas, mantenidas reforzadas)</v>
      </c>
      <c r="V390" s="173" t="s">
        <v>238</v>
      </c>
      <c r="W390" s="178" t="str">
        <f>IFERROR(VLOOKUP(V390,TD!$N$33:$O$45,2,0)," ")</f>
        <v>Sedes mantenidas</v>
      </c>
      <c r="X390" s="127" t="str">
        <f>CONCATENATE(V390,"_",W390)</f>
        <v>016_Sedes mantenidas</v>
      </c>
      <c r="Y390" s="127" t="str">
        <f>CONCATENATE(U390," ",X390)</f>
        <v>08-Infraestructura física, mantenimiento y dotación (Sedes construidas, mantenidas reforzadas) 016_Sedes mantenidas</v>
      </c>
      <c r="Z390" s="178" t="str">
        <f>CONCATENATE(P390,Q390,R390,S390,V390)</f>
        <v>O23011745992024020708016</v>
      </c>
      <c r="AA390" s="178" t="str">
        <f>IFERROR(VLOOKUP(Y390,TD!$K$46:$L$64,2,0)," ")</f>
        <v>PM/0131/0108/45990160207</v>
      </c>
      <c r="AB390" s="177" t="s">
        <v>138</v>
      </c>
      <c r="AC390" s="179" t="s">
        <v>204</v>
      </c>
    </row>
    <row r="391" spans="2:29" s="28" customFormat="1" ht="74.25" customHeight="1" x14ac:dyDescent="0.35">
      <c r="B391" s="170">
        <v>20250536</v>
      </c>
      <c r="C391" s="171" t="s">
        <v>208</v>
      </c>
      <c r="D391" s="172" t="s">
        <v>166</v>
      </c>
      <c r="E391" s="173" t="s">
        <v>632</v>
      </c>
      <c r="F391" s="172" t="s">
        <v>758</v>
      </c>
      <c r="G391" s="172" t="s">
        <v>155</v>
      </c>
      <c r="H391" s="174" t="s">
        <v>700</v>
      </c>
      <c r="I391" s="175">
        <v>2</v>
      </c>
      <c r="J391" s="175">
        <v>11</v>
      </c>
      <c r="K391" s="176">
        <v>0</v>
      </c>
      <c r="L391" s="177">
        <v>112237664</v>
      </c>
      <c r="M391" s="172" t="s">
        <v>484</v>
      </c>
      <c r="N391" s="177" t="s">
        <v>701</v>
      </c>
      <c r="O391" s="173" t="s">
        <v>219</v>
      </c>
      <c r="P391" s="178" t="str">
        <f>IFERROR(VLOOKUP(C391,TD!$B$32:$F$36,2,0)," ")</f>
        <v>O230117</v>
      </c>
      <c r="Q391" s="178" t="str">
        <f>IFERROR(VLOOKUP(C391,TD!$B$32:$F$36,3,0)," ")</f>
        <v>4599</v>
      </c>
      <c r="R391" s="178">
        <f>IFERROR(VLOOKUP(C391,TD!$B$32:$F$36,4,0)," ")</f>
        <v>20240207</v>
      </c>
      <c r="S391" s="173" t="s">
        <v>185</v>
      </c>
      <c r="T391" s="178" t="str">
        <f>IFERROR(VLOOKUP(S391,TD!$J$33:$K$43,2,0)," ")</f>
        <v>Infraestructura física, mantenimiento y dotación (Sedes construidas, mantenidas reforzadas)</v>
      </c>
      <c r="U391" s="127" t="str">
        <f>CONCATENATE(S391,"-",T391)</f>
        <v>08-Infraestructura física, mantenimiento y dotación (Sedes construidas, mantenidas reforzadas)</v>
      </c>
      <c r="V391" s="173" t="s">
        <v>238</v>
      </c>
      <c r="W391" s="178" t="str">
        <f>IFERROR(VLOOKUP(V391,TD!$N$33:$O$45,2,0)," ")</f>
        <v>Sedes mantenidas</v>
      </c>
      <c r="X391" s="127" t="str">
        <f>CONCATENATE(V391,"_",W391)</f>
        <v>016_Sedes mantenidas</v>
      </c>
      <c r="Y391" s="127" t="str">
        <f>CONCATENATE(U391," ",X391)</f>
        <v>08-Infraestructura física, mantenimiento y dotación (Sedes construidas, mantenidas reforzadas) 016_Sedes mantenidas</v>
      </c>
      <c r="Z391" s="178" t="str">
        <f>CONCATENATE(P391,Q391,R391,S391,V391)</f>
        <v>O23011745992024020708016</v>
      </c>
      <c r="AA391" s="178" t="str">
        <f>IFERROR(VLOOKUP(Y391,TD!$K$46:$L$64,2,0)," ")</f>
        <v>PM/0131/0108/45990160207</v>
      </c>
      <c r="AB391" s="177" t="s">
        <v>138</v>
      </c>
      <c r="AC391" s="179" t="s">
        <v>204</v>
      </c>
    </row>
    <row r="392" spans="2:29" s="28" customFormat="1" ht="74.25" customHeight="1" x14ac:dyDescent="0.35">
      <c r="B392" s="170">
        <v>20250537</v>
      </c>
      <c r="C392" s="171" t="s">
        <v>208</v>
      </c>
      <c r="D392" s="172" t="s">
        <v>166</v>
      </c>
      <c r="E392" s="173" t="s">
        <v>632</v>
      </c>
      <c r="F392" s="172" t="s">
        <v>759</v>
      </c>
      <c r="G392" s="172" t="s">
        <v>155</v>
      </c>
      <c r="H392" s="174" t="s">
        <v>700</v>
      </c>
      <c r="I392" s="175">
        <v>2</v>
      </c>
      <c r="J392" s="175">
        <v>11</v>
      </c>
      <c r="K392" s="176">
        <v>0</v>
      </c>
      <c r="L392" s="177">
        <v>76230000</v>
      </c>
      <c r="M392" s="172" t="s">
        <v>484</v>
      </c>
      <c r="N392" s="177" t="s">
        <v>701</v>
      </c>
      <c r="O392" s="173" t="s">
        <v>219</v>
      </c>
      <c r="P392" s="178" t="str">
        <f>IFERROR(VLOOKUP(C392,TD!$B$32:$F$36,2,0)," ")</f>
        <v>O230117</v>
      </c>
      <c r="Q392" s="178" t="str">
        <f>IFERROR(VLOOKUP(C392,TD!$B$32:$F$36,3,0)," ")</f>
        <v>4599</v>
      </c>
      <c r="R392" s="178">
        <f>IFERROR(VLOOKUP(C392,TD!$B$32:$F$36,4,0)," ")</f>
        <v>20240207</v>
      </c>
      <c r="S392" s="173" t="s">
        <v>185</v>
      </c>
      <c r="T392" s="178" t="str">
        <f>IFERROR(VLOOKUP(S392,TD!$J$33:$K$43,2,0)," ")</f>
        <v>Infraestructura física, mantenimiento y dotación (Sedes construidas, mantenidas reforzadas)</v>
      </c>
      <c r="U392" s="127" t="str">
        <f>CONCATENATE(S392,"-",T392)</f>
        <v>08-Infraestructura física, mantenimiento y dotación (Sedes construidas, mantenidas reforzadas)</v>
      </c>
      <c r="V392" s="173" t="s">
        <v>238</v>
      </c>
      <c r="W392" s="178" t="str">
        <f>IFERROR(VLOOKUP(V392,TD!$N$33:$O$45,2,0)," ")</f>
        <v>Sedes mantenidas</v>
      </c>
      <c r="X392" s="127" t="str">
        <f>CONCATENATE(V392,"_",W392)</f>
        <v>016_Sedes mantenidas</v>
      </c>
      <c r="Y392" s="127" t="str">
        <f>CONCATENATE(U392," ",X392)</f>
        <v>08-Infraestructura física, mantenimiento y dotación (Sedes construidas, mantenidas reforzadas) 016_Sedes mantenidas</v>
      </c>
      <c r="Z392" s="178" t="str">
        <f>CONCATENATE(P392,Q392,R392,S392,V392)</f>
        <v>O23011745992024020708016</v>
      </c>
      <c r="AA392" s="178" t="str">
        <f>IFERROR(VLOOKUP(Y392,TD!$K$46:$L$64,2,0)," ")</f>
        <v>PM/0131/0108/45990160207</v>
      </c>
      <c r="AB392" s="177" t="s">
        <v>138</v>
      </c>
      <c r="AC392" s="179" t="s">
        <v>204</v>
      </c>
    </row>
    <row r="393" spans="2:29" s="28" customFormat="1" ht="74.25" customHeight="1" x14ac:dyDescent="0.35">
      <c r="B393" s="170">
        <v>20250538</v>
      </c>
      <c r="C393" s="171" t="s">
        <v>208</v>
      </c>
      <c r="D393" s="172" t="s">
        <v>166</v>
      </c>
      <c r="E393" s="173" t="s">
        <v>632</v>
      </c>
      <c r="F393" s="172" t="s">
        <v>760</v>
      </c>
      <c r="G393" s="172" t="s">
        <v>155</v>
      </c>
      <c r="H393" s="174" t="s">
        <v>700</v>
      </c>
      <c r="I393" s="175">
        <v>2</v>
      </c>
      <c r="J393" s="175">
        <v>11</v>
      </c>
      <c r="K393" s="176">
        <v>0</v>
      </c>
      <c r="L393" s="177">
        <v>99918896</v>
      </c>
      <c r="M393" s="172" t="s">
        <v>484</v>
      </c>
      <c r="N393" s="177" t="s">
        <v>701</v>
      </c>
      <c r="O393" s="173" t="s">
        <v>219</v>
      </c>
      <c r="P393" s="178" t="str">
        <f>IFERROR(VLOOKUP(C393,TD!$B$32:$F$36,2,0)," ")</f>
        <v>O230117</v>
      </c>
      <c r="Q393" s="178" t="str">
        <f>IFERROR(VLOOKUP(C393,TD!$B$32:$F$36,3,0)," ")</f>
        <v>4599</v>
      </c>
      <c r="R393" s="178">
        <f>IFERROR(VLOOKUP(C393,TD!$B$32:$F$36,4,0)," ")</f>
        <v>20240207</v>
      </c>
      <c r="S393" s="173" t="s">
        <v>185</v>
      </c>
      <c r="T393" s="178" t="str">
        <f>IFERROR(VLOOKUP(S393,TD!$J$33:$K$43,2,0)," ")</f>
        <v>Infraestructura física, mantenimiento y dotación (Sedes construidas, mantenidas reforzadas)</v>
      </c>
      <c r="U393" s="127" t="str">
        <f>CONCATENATE(S393,"-",T393)</f>
        <v>08-Infraestructura física, mantenimiento y dotación (Sedes construidas, mantenidas reforzadas)</v>
      </c>
      <c r="V393" s="173" t="s">
        <v>238</v>
      </c>
      <c r="W393" s="178" t="str">
        <f>IFERROR(VLOOKUP(V393,TD!$N$33:$O$45,2,0)," ")</f>
        <v>Sedes mantenidas</v>
      </c>
      <c r="X393" s="127" t="str">
        <f>CONCATENATE(V393,"_",W393)</f>
        <v>016_Sedes mantenidas</v>
      </c>
      <c r="Y393" s="127" t="str">
        <f>CONCATENATE(U393," ",X393)</f>
        <v>08-Infraestructura física, mantenimiento y dotación (Sedes construidas, mantenidas reforzadas) 016_Sedes mantenidas</v>
      </c>
      <c r="Z393" s="178" t="str">
        <f>CONCATENATE(P393,Q393,R393,S393,V393)</f>
        <v>O23011745992024020708016</v>
      </c>
      <c r="AA393" s="178" t="str">
        <f>IFERROR(VLOOKUP(Y393,TD!$K$46:$L$64,2,0)," ")</f>
        <v>PM/0131/0108/45990160207</v>
      </c>
      <c r="AB393" s="177" t="s">
        <v>120</v>
      </c>
      <c r="AC393" s="179" t="s">
        <v>204</v>
      </c>
    </row>
    <row r="394" spans="2:29" s="28" customFormat="1" ht="74.25" customHeight="1" x14ac:dyDescent="0.35">
      <c r="B394" s="170">
        <v>20250539</v>
      </c>
      <c r="C394" s="171" t="s">
        <v>208</v>
      </c>
      <c r="D394" s="172" t="s">
        <v>166</v>
      </c>
      <c r="E394" s="173" t="s">
        <v>632</v>
      </c>
      <c r="F394" s="172" t="s">
        <v>761</v>
      </c>
      <c r="G394" s="172" t="s">
        <v>156</v>
      </c>
      <c r="H394" s="174" t="s">
        <v>700</v>
      </c>
      <c r="I394" s="175">
        <v>2</v>
      </c>
      <c r="J394" s="175">
        <v>11</v>
      </c>
      <c r="K394" s="176">
        <v>0</v>
      </c>
      <c r="L394" s="177">
        <v>43800064</v>
      </c>
      <c r="M394" s="172" t="s">
        <v>484</v>
      </c>
      <c r="N394" s="177" t="s">
        <v>701</v>
      </c>
      <c r="O394" s="173" t="s">
        <v>219</v>
      </c>
      <c r="P394" s="178" t="str">
        <f>IFERROR(VLOOKUP(C394,TD!$B$32:$F$36,2,0)," ")</f>
        <v>O230117</v>
      </c>
      <c r="Q394" s="178" t="str">
        <f>IFERROR(VLOOKUP(C394,TD!$B$32:$F$36,3,0)," ")</f>
        <v>4599</v>
      </c>
      <c r="R394" s="178">
        <f>IFERROR(VLOOKUP(C394,TD!$B$32:$F$36,4,0)," ")</f>
        <v>20240207</v>
      </c>
      <c r="S394" s="173" t="s">
        <v>185</v>
      </c>
      <c r="T394" s="178" t="str">
        <f>IFERROR(VLOOKUP(S394,TD!$J$33:$K$43,2,0)," ")</f>
        <v>Infraestructura física, mantenimiento y dotación (Sedes construidas, mantenidas reforzadas)</v>
      </c>
      <c r="U394" s="127" t="str">
        <f>CONCATENATE(S394,"-",T394)</f>
        <v>08-Infraestructura física, mantenimiento y dotación (Sedes construidas, mantenidas reforzadas)</v>
      </c>
      <c r="V394" s="173" t="s">
        <v>238</v>
      </c>
      <c r="W394" s="178" t="str">
        <f>IFERROR(VLOOKUP(V394,TD!$N$33:$O$45,2,0)," ")</f>
        <v>Sedes mantenidas</v>
      </c>
      <c r="X394" s="127" t="str">
        <f>CONCATENATE(V394,"_",W394)</f>
        <v>016_Sedes mantenidas</v>
      </c>
      <c r="Y394" s="127" t="str">
        <f>CONCATENATE(U394," ",X394)</f>
        <v>08-Infraestructura física, mantenimiento y dotación (Sedes construidas, mantenidas reforzadas) 016_Sedes mantenidas</v>
      </c>
      <c r="Z394" s="178" t="str">
        <f>CONCATENATE(P394,Q394,R394,S394,V394)</f>
        <v>O23011745992024020708016</v>
      </c>
      <c r="AA394" s="178" t="str">
        <f>IFERROR(VLOOKUP(Y394,TD!$K$46:$L$64,2,0)," ")</f>
        <v>PM/0131/0108/45990160207</v>
      </c>
      <c r="AB394" s="177" t="s">
        <v>138</v>
      </c>
      <c r="AC394" s="179" t="s">
        <v>204</v>
      </c>
    </row>
    <row r="395" spans="2:29" s="28" customFormat="1" ht="74.25" customHeight="1" x14ac:dyDescent="0.35">
      <c r="B395" s="170">
        <v>20250540</v>
      </c>
      <c r="C395" s="171" t="s">
        <v>209</v>
      </c>
      <c r="D395" s="172" t="s">
        <v>166</v>
      </c>
      <c r="E395" s="173" t="s">
        <v>632</v>
      </c>
      <c r="F395" s="172" t="s">
        <v>651</v>
      </c>
      <c r="G395" s="172" t="s">
        <v>155</v>
      </c>
      <c r="H395" s="174" t="s">
        <v>700</v>
      </c>
      <c r="I395" s="175">
        <v>2</v>
      </c>
      <c r="J395" s="175">
        <v>11</v>
      </c>
      <c r="K395" s="176">
        <v>0</v>
      </c>
      <c r="L395" s="177">
        <v>99918896</v>
      </c>
      <c r="M395" s="172" t="s">
        <v>484</v>
      </c>
      <c r="N395" s="177" t="s">
        <v>701</v>
      </c>
      <c r="O395" s="173" t="s">
        <v>228</v>
      </c>
      <c r="P395" s="178" t="str">
        <f>IFERROR(VLOOKUP(C395,TD!$B$32:$F$36,2,0)," ")</f>
        <v>O230117</v>
      </c>
      <c r="Q395" s="178" t="str">
        <f>IFERROR(VLOOKUP(C395,TD!$B$32:$F$36,3,0)," ")</f>
        <v>4503</v>
      </c>
      <c r="R395" s="178">
        <f>IFERROR(VLOOKUP(C395,TD!$B$32:$F$36,4,0)," ")</f>
        <v>20240255</v>
      </c>
      <c r="S395" s="173" t="s">
        <v>185</v>
      </c>
      <c r="T395" s="178" t="str">
        <f>IFERROR(VLOOKUP(S395,TD!$J$33:$K$43,2,0)," ")</f>
        <v>Infraestructura física, mantenimiento y dotación (Sedes construidas, mantenidas reforzadas)</v>
      </c>
      <c r="U395" s="127" t="str">
        <f>CONCATENATE(S395,"-",T395)</f>
        <v>08-Infraestructura física, mantenimiento y dotación (Sedes construidas, mantenidas reforzadas)</v>
      </c>
      <c r="V395" s="173" t="s">
        <v>237</v>
      </c>
      <c r="W395" s="178" t="str">
        <f>IFERROR(VLOOKUP(V395,TD!$N$33:$O$45,2,0)," ")</f>
        <v>Estaciones de bomberos construidas</v>
      </c>
      <c r="X395" s="127" t="str">
        <f>CONCATENATE(V395,"_",W395)</f>
        <v>015_Estaciones de bomberos construidas</v>
      </c>
      <c r="Y395" s="127" t="str">
        <f>CONCATENATE(U395," ",X395)</f>
        <v>08-Infraestructura física, mantenimiento y dotación (Sedes construidas, mantenidas reforzadas) 015_Estaciones de bomberos construidas</v>
      </c>
      <c r="Z395" s="178" t="str">
        <f>CONCATENATE(P395,Q395,R395,S395,V395)</f>
        <v>O23011745032024025508015</v>
      </c>
      <c r="AA395" s="178" t="str">
        <f>IFERROR(VLOOKUP(Y395,TD!$K$46:$L$64,2,0)," ")</f>
        <v>PM/0131/0108/45030150255</v>
      </c>
      <c r="AB395" s="177" t="s">
        <v>138</v>
      </c>
      <c r="AC395" s="179" t="s">
        <v>204</v>
      </c>
    </row>
    <row r="396" spans="2:29" s="28" customFormat="1" ht="74.25" customHeight="1" x14ac:dyDescent="0.35">
      <c r="B396" s="170">
        <v>20250541</v>
      </c>
      <c r="C396" s="171" t="s">
        <v>208</v>
      </c>
      <c r="D396" s="172" t="s">
        <v>166</v>
      </c>
      <c r="E396" s="173" t="s">
        <v>632</v>
      </c>
      <c r="F396" s="172" t="s">
        <v>762</v>
      </c>
      <c r="G396" s="172" t="s">
        <v>156</v>
      </c>
      <c r="H396" s="174" t="s">
        <v>700</v>
      </c>
      <c r="I396" s="175">
        <v>2</v>
      </c>
      <c r="J396" s="175">
        <v>11</v>
      </c>
      <c r="K396" s="176">
        <v>0</v>
      </c>
      <c r="L396" s="177">
        <v>33534424</v>
      </c>
      <c r="M396" s="172" t="s">
        <v>484</v>
      </c>
      <c r="N396" s="177" t="s">
        <v>701</v>
      </c>
      <c r="O396" s="173" t="s">
        <v>219</v>
      </c>
      <c r="P396" s="178" t="str">
        <f>IFERROR(VLOOKUP(C396,TD!$B$32:$F$36,2,0)," ")</f>
        <v>O230117</v>
      </c>
      <c r="Q396" s="178" t="str">
        <f>IFERROR(VLOOKUP(C396,TD!$B$32:$F$36,3,0)," ")</f>
        <v>4599</v>
      </c>
      <c r="R396" s="178">
        <f>IFERROR(VLOOKUP(C396,TD!$B$32:$F$36,4,0)," ")</f>
        <v>20240207</v>
      </c>
      <c r="S396" s="173" t="s">
        <v>185</v>
      </c>
      <c r="T396" s="178" t="str">
        <f>IFERROR(VLOOKUP(S396,TD!$J$33:$K$43,2,0)," ")</f>
        <v>Infraestructura física, mantenimiento y dotación (Sedes construidas, mantenidas reforzadas)</v>
      </c>
      <c r="U396" s="127" t="str">
        <f>CONCATENATE(S396,"-",T396)</f>
        <v>08-Infraestructura física, mantenimiento y dotación (Sedes construidas, mantenidas reforzadas)</v>
      </c>
      <c r="V396" s="173" t="s">
        <v>238</v>
      </c>
      <c r="W396" s="178" t="str">
        <f>IFERROR(VLOOKUP(V396,TD!$N$33:$O$45,2,0)," ")</f>
        <v>Sedes mantenidas</v>
      </c>
      <c r="X396" s="127" t="str">
        <f>CONCATENATE(V396,"_",W396)</f>
        <v>016_Sedes mantenidas</v>
      </c>
      <c r="Y396" s="127" t="str">
        <f>CONCATENATE(U396," ",X396)</f>
        <v>08-Infraestructura física, mantenimiento y dotación (Sedes construidas, mantenidas reforzadas) 016_Sedes mantenidas</v>
      </c>
      <c r="Z396" s="178" t="str">
        <f>CONCATENATE(P396,Q396,R396,S396,V396)</f>
        <v>O23011745992024020708016</v>
      </c>
      <c r="AA396" s="178" t="str">
        <f>IFERROR(VLOOKUP(Y396,TD!$K$46:$L$64,2,0)," ")</f>
        <v>PM/0131/0108/45990160207</v>
      </c>
      <c r="AB396" s="177" t="s">
        <v>138</v>
      </c>
      <c r="AC396" s="179" t="s">
        <v>204</v>
      </c>
    </row>
    <row r="397" spans="2:29" s="28" customFormat="1" ht="74.25" customHeight="1" x14ac:dyDescent="0.35">
      <c r="B397" s="170">
        <v>20250542</v>
      </c>
      <c r="C397" s="171" t="s">
        <v>208</v>
      </c>
      <c r="D397" s="172" t="s">
        <v>166</v>
      </c>
      <c r="E397" s="173" t="s">
        <v>632</v>
      </c>
      <c r="F397" s="172" t="s">
        <v>763</v>
      </c>
      <c r="G397" s="172" t="s">
        <v>155</v>
      </c>
      <c r="H397" s="174" t="s">
        <v>700</v>
      </c>
      <c r="I397" s="175">
        <v>2</v>
      </c>
      <c r="J397" s="175">
        <v>11</v>
      </c>
      <c r="K397" s="176">
        <v>0</v>
      </c>
      <c r="L397" s="177">
        <v>72600000</v>
      </c>
      <c r="M397" s="172" t="s">
        <v>484</v>
      </c>
      <c r="N397" s="177" t="s">
        <v>701</v>
      </c>
      <c r="O397" s="173" t="s">
        <v>219</v>
      </c>
      <c r="P397" s="178" t="str">
        <f>IFERROR(VLOOKUP(C397,TD!$B$32:$F$36,2,0)," ")</f>
        <v>O230117</v>
      </c>
      <c r="Q397" s="178" t="str">
        <f>IFERROR(VLOOKUP(C397,TD!$B$32:$F$36,3,0)," ")</f>
        <v>4599</v>
      </c>
      <c r="R397" s="178">
        <f>IFERROR(VLOOKUP(C397,TD!$B$32:$F$36,4,0)," ")</f>
        <v>20240207</v>
      </c>
      <c r="S397" s="173" t="s">
        <v>185</v>
      </c>
      <c r="T397" s="178" t="str">
        <f>IFERROR(VLOOKUP(S397,TD!$J$33:$K$43,2,0)," ")</f>
        <v>Infraestructura física, mantenimiento y dotación (Sedes construidas, mantenidas reforzadas)</v>
      </c>
      <c r="U397" s="127" t="str">
        <f>CONCATENATE(S397,"-",T397)</f>
        <v>08-Infraestructura física, mantenimiento y dotación (Sedes construidas, mantenidas reforzadas)</v>
      </c>
      <c r="V397" s="173" t="s">
        <v>238</v>
      </c>
      <c r="W397" s="178" t="str">
        <f>IFERROR(VLOOKUP(V397,TD!$N$33:$O$45,2,0)," ")</f>
        <v>Sedes mantenidas</v>
      </c>
      <c r="X397" s="127" t="str">
        <f>CONCATENATE(V397,"_",W397)</f>
        <v>016_Sedes mantenidas</v>
      </c>
      <c r="Y397" s="127" t="str">
        <f>CONCATENATE(U397," ",X397)</f>
        <v>08-Infraestructura física, mantenimiento y dotación (Sedes construidas, mantenidas reforzadas) 016_Sedes mantenidas</v>
      </c>
      <c r="Z397" s="178" t="str">
        <f>CONCATENATE(P397,Q397,R397,S397,V397)</f>
        <v>O23011745992024020708016</v>
      </c>
      <c r="AA397" s="178" t="str">
        <f>IFERROR(VLOOKUP(Y397,TD!$K$46:$L$64,2,0)," ")</f>
        <v>PM/0131/0108/45990160207</v>
      </c>
      <c r="AB397" s="177" t="s">
        <v>138</v>
      </c>
      <c r="AC397" s="179" t="s">
        <v>204</v>
      </c>
    </row>
    <row r="398" spans="2:29" s="28" customFormat="1" ht="74.25" customHeight="1" x14ac:dyDescent="0.35">
      <c r="B398" s="170">
        <v>20250543</v>
      </c>
      <c r="C398" s="171" t="s">
        <v>208</v>
      </c>
      <c r="D398" s="172" t="s">
        <v>166</v>
      </c>
      <c r="E398" s="173" t="s">
        <v>632</v>
      </c>
      <c r="F398" s="172" t="s">
        <v>764</v>
      </c>
      <c r="G398" s="172" t="s">
        <v>156</v>
      </c>
      <c r="H398" s="174" t="s">
        <v>700</v>
      </c>
      <c r="I398" s="175">
        <v>2</v>
      </c>
      <c r="J398" s="175">
        <v>11</v>
      </c>
      <c r="K398" s="176">
        <v>0</v>
      </c>
      <c r="L398" s="177">
        <v>37243800</v>
      </c>
      <c r="M398" s="172" t="s">
        <v>484</v>
      </c>
      <c r="N398" s="177" t="s">
        <v>701</v>
      </c>
      <c r="O398" s="173" t="s">
        <v>219</v>
      </c>
      <c r="P398" s="178" t="str">
        <f>IFERROR(VLOOKUP(C398,TD!$B$32:$F$36,2,0)," ")</f>
        <v>O230117</v>
      </c>
      <c r="Q398" s="178" t="str">
        <f>IFERROR(VLOOKUP(C398,TD!$B$32:$F$36,3,0)," ")</f>
        <v>4599</v>
      </c>
      <c r="R398" s="178">
        <f>IFERROR(VLOOKUP(C398,TD!$B$32:$F$36,4,0)," ")</f>
        <v>20240207</v>
      </c>
      <c r="S398" s="173" t="s">
        <v>185</v>
      </c>
      <c r="T398" s="178" t="str">
        <f>IFERROR(VLOOKUP(S398,TD!$J$33:$K$43,2,0)," ")</f>
        <v>Infraestructura física, mantenimiento y dotación (Sedes construidas, mantenidas reforzadas)</v>
      </c>
      <c r="U398" s="127" t="str">
        <f>CONCATENATE(S398,"-",T398)</f>
        <v>08-Infraestructura física, mantenimiento y dotación (Sedes construidas, mantenidas reforzadas)</v>
      </c>
      <c r="V398" s="173" t="s">
        <v>238</v>
      </c>
      <c r="W398" s="178" t="str">
        <f>IFERROR(VLOOKUP(V398,TD!$N$33:$O$45,2,0)," ")</f>
        <v>Sedes mantenidas</v>
      </c>
      <c r="X398" s="127" t="str">
        <f>CONCATENATE(V398,"_",W398)</f>
        <v>016_Sedes mantenidas</v>
      </c>
      <c r="Y398" s="127" t="str">
        <f>CONCATENATE(U398," ",X398)</f>
        <v>08-Infraestructura física, mantenimiento y dotación (Sedes construidas, mantenidas reforzadas) 016_Sedes mantenidas</v>
      </c>
      <c r="Z398" s="178" t="str">
        <f>CONCATENATE(P398,Q398,R398,S398,V398)</f>
        <v>O23011745992024020708016</v>
      </c>
      <c r="AA398" s="178" t="str">
        <f>IFERROR(VLOOKUP(Y398,TD!$K$46:$L$64,2,0)," ")</f>
        <v>PM/0131/0108/45990160207</v>
      </c>
      <c r="AB398" s="177" t="s">
        <v>138</v>
      </c>
      <c r="AC398" s="179" t="s">
        <v>204</v>
      </c>
    </row>
    <row r="399" spans="2:29" s="28" customFormat="1" ht="74.25" customHeight="1" x14ac:dyDescent="0.35">
      <c r="B399" s="170">
        <v>20250544</v>
      </c>
      <c r="C399" s="171" t="s">
        <v>208</v>
      </c>
      <c r="D399" s="172" t="s">
        <v>166</v>
      </c>
      <c r="E399" s="173" t="s">
        <v>632</v>
      </c>
      <c r="F399" s="172" t="s">
        <v>765</v>
      </c>
      <c r="G399" s="172" t="s">
        <v>155</v>
      </c>
      <c r="H399" s="174" t="s">
        <v>700</v>
      </c>
      <c r="I399" s="175">
        <v>2</v>
      </c>
      <c r="J399" s="175">
        <v>11</v>
      </c>
      <c r="K399" s="176">
        <v>0</v>
      </c>
      <c r="L399" s="177">
        <v>67386352</v>
      </c>
      <c r="M399" s="172" t="s">
        <v>484</v>
      </c>
      <c r="N399" s="177" t="s">
        <v>701</v>
      </c>
      <c r="O399" s="173" t="s">
        <v>219</v>
      </c>
      <c r="P399" s="178" t="str">
        <f>IFERROR(VLOOKUP(C399,TD!$B$32:$F$36,2,0)," ")</f>
        <v>O230117</v>
      </c>
      <c r="Q399" s="178" t="str">
        <f>IFERROR(VLOOKUP(C399,TD!$B$32:$F$36,3,0)," ")</f>
        <v>4599</v>
      </c>
      <c r="R399" s="178">
        <f>IFERROR(VLOOKUP(C399,TD!$B$32:$F$36,4,0)," ")</f>
        <v>20240207</v>
      </c>
      <c r="S399" s="173" t="s">
        <v>185</v>
      </c>
      <c r="T399" s="178" t="str">
        <f>IFERROR(VLOOKUP(S399,TD!$J$33:$K$43,2,0)," ")</f>
        <v>Infraestructura física, mantenimiento y dotación (Sedes construidas, mantenidas reforzadas)</v>
      </c>
      <c r="U399" s="127" t="str">
        <f>CONCATENATE(S399,"-",T399)</f>
        <v>08-Infraestructura física, mantenimiento y dotación (Sedes construidas, mantenidas reforzadas)</v>
      </c>
      <c r="V399" s="173" t="s">
        <v>238</v>
      </c>
      <c r="W399" s="178" t="str">
        <f>IFERROR(VLOOKUP(V399,TD!$N$33:$O$45,2,0)," ")</f>
        <v>Sedes mantenidas</v>
      </c>
      <c r="X399" s="127" t="str">
        <f>CONCATENATE(V399,"_",W399)</f>
        <v>016_Sedes mantenidas</v>
      </c>
      <c r="Y399" s="127" t="str">
        <f>CONCATENATE(U399," ",X399)</f>
        <v>08-Infraestructura física, mantenimiento y dotación (Sedes construidas, mantenidas reforzadas) 016_Sedes mantenidas</v>
      </c>
      <c r="Z399" s="178" t="str">
        <f>CONCATENATE(P399,Q399,R399,S399,V399)</f>
        <v>O23011745992024020708016</v>
      </c>
      <c r="AA399" s="178" t="str">
        <f>IFERROR(VLOOKUP(Y399,TD!$K$46:$L$64,2,0)," ")</f>
        <v>PM/0131/0108/45990160207</v>
      </c>
      <c r="AB399" s="177" t="s">
        <v>138</v>
      </c>
      <c r="AC399" s="179" t="s">
        <v>204</v>
      </c>
    </row>
    <row r="400" spans="2:29" s="28" customFormat="1" ht="74.25" customHeight="1" x14ac:dyDescent="0.35">
      <c r="B400" s="170">
        <v>20250545</v>
      </c>
      <c r="C400" s="171" t="s">
        <v>208</v>
      </c>
      <c r="D400" s="172" t="s">
        <v>166</v>
      </c>
      <c r="E400" s="173" t="s">
        <v>632</v>
      </c>
      <c r="F400" s="172" t="s">
        <v>766</v>
      </c>
      <c r="G400" s="172" t="s">
        <v>155</v>
      </c>
      <c r="H400" s="174" t="s">
        <v>700</v>
      </c>
      <c r="I400" s="175">
        <v>2</v>
      </c>
      <c r="J400" s="175">
        <v>11</v>
      </c>
      <c r="K400" s="176">
        <v>0</v>
      </c>
      <c r="L400" s="177">
        <v>49066952</v>
      </c>
      <c r="M400" s="172" t="s">
        <v>484</v>
      </c>
      <c r="N400" s="177" t="s">
        <v>701</v>
      </c>
      <c r="O400" s="173" t="s">
        <v>219</v>
      </c>
      <c r="P400" s="178" t="str">
        <f>IFERROR(VLOOKUP(C400,TD!$B$32:$F$36,2,0)," ")</f>
        <v>O230117</v>
      </c>
      <c r="Q400" s="178" t="str">
        <f>IFERROR(VLOOKUP(C400,TD!$B$32:$F$36,3,0)," ")</f>
        <v>4599</v>
      </c>
      <c r="R400" s="178">
        <f>IFERROR(VLOOKUP(C400,TD!$B$32:$F$36,4,0)," ")</f>
        <v>20240207</v>
      </c>
      <c r="S400" s="173" t="s">
        <v>185</v>
      </c>
      <c r="T400" s="178" t="str">
        <f>IFERROR(VLOOKUP(S400,TD!$J$33:$K$43,2,0)," ")</f>
        <v>Infraestructura física, mantenimiento y dotación (Sedes construidas, mantenidas reforzadas)</v>
      </c>
      <c r="U400" s="127" t="str">
        <f>CONCATENATE(S400,"-",T400)</f>
        <v>08-Infraestructura física, mantenimiento y dotación (Sedes construidas, mantenidas reforzadas)</v>
      </c>
      <c r="V400" s="173" t="s">
        <v>238</v>
      </c>
      <c r="W400" s="178" t="str">
        <f>IFERROR(VLOOKUP(V400,TD!$N$33:$O$45,2,0)," ")</f>
        <v>Sedes mantenidas</v>
      </c>
      <c r="X400" s="127" t="str">
        <f>CONCATENATE(V400,"_",W400)</f>
        <v>016_Sedes mantenidas</v>
      </c>
      <c r="Y400" s="127" t="str">
        <f>CONCATENATE(U400," ",X400)</f>
        <v>08-Infraestructura física, mantenimiento y dotación (Sedes construidas, mantenidas reforzadas) 016_Sedes mantenidas</v>
      </c>
      <c r="Z400" s="178" t="str">
        <f>CONCATENATE(P400,Q400,R400,S400,V400)</f>
        <v>O23011745992024020708016</v>
      </c>
      <c r="AA400" s="178" t="str">
        <f>IFERROR(VLOOKUP(Y400,TD!$K$46:$L$64,2,0)," ")</f>
        <v>PM/0131/0108/45990160207</v>
      </c>
      <c r="AB400" s="177" t="s">
        <v>138</v>
      </c>
      <c r="AC400" s="179" t="s">
        <v>204</v>
      </c>
    </row>
    <row r="401" spans="2:29" s="28" customFormat="1" ht="74.25" customHeight="1" x14ac:dyDescent="0.35">
      <c r="B401" s="170">
        <v>20250546</v>
      </c>
      <c r="C401" s="171" t="s">
        <v>209</v>
      </c>
      <c r="D401" s="172" t="s">
        <v>166</v>
      </c>
      <c r="E401" s="173" t="s">
        <v>632</v>
      </c>
      <c r="F401" s="172" t="s">
        <v>767</v>
      </c>
      <c r="G401" s="172" t="s">
        <v>155</v>
      </c>
      <c r="H401" s="174" t="s">
        <v>700</v>
      </c>
      <c r="I401" s="175">
        <v>2</v>
      </c>
      <c r="J401" s="175">
        <v>11</v>
      </c>
      <c r="K401" s="176">
        <v>0</v>
      </c>
      <c r="L401" s="177">
        <v>60500000</v>
      </c>
      <c r="M401" s="172" t="s">
        <v>484</v>
      </c>
      <c r="N401" s="177" t="s">
        <v>701</v>
      </c>
      <c r="O401" s="173" t="s">
        <v>227</v>
      </c>
      <c r="P401" s="178" t="str">
        <f>IFERROR(VLOOKUP(C401,TD!$B$32:$F$36,2,0)," ")</f>
        <v>O230117</v>
      </c>
      <c r="Q401" s="178" t="str">
        <f>IFERROR(VLOOKUP(C401,TD!$B$32:$F$36,3,0)," ")</f>
        <v>4503</v>
      </c>
      <c r="R401" s="178">
        <f>IFERROR(VLOOKUP(C401,TD!$B$32:$F$36,4,0)," ")</f>
        <v>20240255</v>
      </c>
      <c r="S401" s="173" t="s">
        <v>185</v>
      </c>
      <c r="T401" s="178" t="str">
        <f>IFERROR(VLOOKUP(S401,TD!$J$33:$K$43,2,0)," ")</f>
        <v>Infraestructura física, mantenimiento y dotación (Sedes construidas, mantenidas reforzadas)</v>
      </c>
      <c r="U401" s="127" t="str">
        <f>CONCATENATE(S401,"-",T401)</f>
        <v>08-Infraestructura física, mantenimiento y dotación (Sedes construidas, mantenidas reforzadas)</v>
      </c>
      <c r="V401" s="173" t="s">
        <v>236</v>
      </c>
      <c r="W401" s="178" t="str">
        <f>IFERROR(VLOOKUP(V401,TD!$N$33:$O$45,2,0)," ")</f>
        <v>Estaciones de bomberos adecuadas</v>
      </c>
      <c r="X401" s="127" t="str">
        <f>CONCATENATE(V401,"_",W401)</f>
        <v>014_Estaciones de bomberos adecuadas</v>
      </c>
      <c r="Y401" s="127" t="str">
        <f>CONCATENATE(U401," ",X401)</f>
        <v>08-Infraestructura física, mantenimiento y dotación (Sedes construidas, mantenidas reforzadas) 014_Estaciones de bomberos adecuadas</v>
      </c>
      <c r="Z401" s="178" t="str">
        <f>CONCATENATE(P401,Q401,R401,S401,V401)</f>
        <v>O23011745032024025508014</v>
      </c>
      <c r="AA401" s="178" t="str">
        <f>IFERROR(VLOOKUP(Y401,TD!$K$46:$L$64,2,0)," ")</f>
        <v>PM/0131/0108/45030140255</v>
      </c>
      <c r="AB401" s="177" t="s">
        <v>777</v>
      </c>
      <c r="AC401" s="179" t="s">
        <v>204</v>
      </c>
    </row>
    <row r="402" spans="2:29" s="28" customFormat="1" ht="74.25" customHeight="1" x14ac:dyDescent="0.35">
      <c r="B402" s="170">
        <v>20250547</v>
      </c>
      <c r="C402" s="171" t="s">
        <v>209</v>
      </c>
      <c r="D402" s="172" t="s">
        <v>166</v>
      </c>
      <c r="E402" s="173" t="s">
        <v>632</v>
      </c>
      <c r="F402" s="172" t="s">
        <v>768</v>
      </c>
      <c r="G402" s="172" t="s">
        <v>155</v>
      </c>
      <c r="H402" s="174" t="s">
        <v>700</v>
      </c>
      <c r="I402" s="175">
        <v>2</v>
      </c>
      <c r="J402" s="175">
        <v>11</v>
      </c>
      <c r="K402" s="176">
        <v>0</v>
      </c>
      <c r="L402" s="177">
        <v>72600000</v>
      </c>
      <c r="M402" s="172" t="s">
        <v>484</v>
      </c>
      <c r="N402" s="177" t="s">
        <v>701</v>
      </c>
      <c r="O402" s="173" t="s">
        <v>228</v>
      </c>
      <c r="P402" s="178" t="str">
        <f>IFERROR(VLOOKUP(C402,TD!$B$32:$F$36,2,0)," ")</f>
        <v>O230117</v>
      </c>
      <c r="Q402" s="178" t="str">
        <f>IFERROR(VLOOKUP(C402,TD!$B$32:$F$36,3,0)," ")</f>
        <v>4503</v>
      </c>
      <c r="R402" s="178">
        <f>IFERROR(VLOOKUP(C402,TD!$B$32:$F$36,4,0)," ")</f>
        <v>20240255</v>
      </c>
      <c r="S402" s="173" t="s">
        <v>185</v>
      </c>
      <c r="T402" s="178" t="str">
        <f>IFERROR(VLOOKUP(S402,TD!$J$33:$K$43,2,0)," ")</f>
        <v>Infraestructura física, mantenimiento y dotación (Sedes construidas, mantenidas reforzadas)</v>
      </c>
      <c r="U402" s="127" t="str">
        <f>CONCATENATE(S402,"-",T402)</f>
        <v>08-Infraestructura física, mantenimiento y dotación (Sedes construidas, mantenidas reforzadas)</v>
      </c>
      <c r="V402" s="173" t="s">
        <v>237</v>
      </c>
      <c r="W402" s="178" t="str">
        <f>IFERROR(VLOOKUP(V402,TD!$N$33:$O$45,2,0)," ")</f>
        <v>Estaciones de bomberos construidas</v>
      </c>
      <c r="X402" s="127" t="str">
        <f>CONCATENATE(V402,"_",W402)</f>
        <v>015_Estaciones de bomberos construidas</v>
      </c>
      <c r="Y402" s="127" t="str">
        <f>CONCATENATE(U402," ",X402)</f>
        <v>08-Infraestructura física, mantenimiento y dotación (Sedes construidas, mantenidas reforzadas) 015_Estaciones de bomberos construidas</v>
      </c>
      <c r="Z402" s="178" t="str">
        <f>CONCATENATE(P402,Q402,R402,S402,V402)</f>
        <v>O23011745032024025508015</v>
      </c>
      <c r="AA402" s="178" t="str">
        <f>IFERROR(VLOOKUP(Y402,TD!$K$46:$L$64,2,0)," ")</f>
        <v>PM/0131/0108/45030150255</v>
      </c>
      <c r="AB402" s="177" t="s">
        <v>120</v>
      </c>
      <c r="AC402" s="179" t="s">
        <v>204</v>
      </c>
    </row>
    <row r="403" spans="2:29" s="28" customFormat="1" ht="74.25" customHeight="1" x14ac:dyDescent="0.35">
      <c r="B403" s="170">
        <v>20250548</v>
      </c>
      <c r="C403" s="171" t="s">
        <v>209</v>
      </c>
      <c r="D403" s="172" t="s">
        <v>166</v>
      </c>
      <c r="E403" s="173" t="s">
        <v>632</v>
      </c>
      <c r="F403" s="172" t="s">
        <v>769</v>
      </c>
      <c r="G403" s="172" t="s">
        <v>155</v>
      </c>
      <c r="H403" s="174" t="s">
        <v>700</v>
      </c>
      <c r="I403" s="175">
        <v>2</v>
      </c>
      <c r="J403" s="175">
        <v>11</v>
      </c>
      <c r="K403" s="176">
        <v>0</v>
      </c>
      <c r="L403" s="177">
        <v>72600000</v>
      </c>
      <c r="M403" s="172" t="s">
        <v>484</v>
      </c>
      <c r="N403" s="177" t="s">
        <v>701</v>
      </c>
      <c r="O403" s="173" t="s">
        <v>230</v>
      </c>
      <c r="P403" s="178" t="str">
        <f>IFERROR(VLOOKUP(C403,TD!$B$32:$F$36,2,0)," ")</f>
        <v>O230117</v>
      </c>
      <c r="Q403" s="178" t="str">
        <f>IFERROR(VLOOKUP(C403,TD!$B$32:$F$36,3,0)," ")</f>
        <v>4503</v>
      </c>
      <c r="R403" s="178">
        <f>IFERROR(VLOOKUP(C403,TD!$B$32:$F$36,4,0)," ")</f>
        <v>20240255</v>
      </c>
      <c r="S403" s="173" t="s">
        <v>185</v>
      </c>
      <c r="T403" s="178" t="str">
        <f>IFERROR(VLOOKUP(S403,TD!$J$33:$K$43,2,0)," ")</f>
        <v>Infraestructura física, mantenimiento y dotación (Sedes construidas, mantenidas reforzadas)</v>
      </c>
      <c r="U403" s="127" t="str">
        <f>CONCATENATE(S403,"-",T403)</f>
        <v>08-Infraestructura física, mantenimiento y dotación (Sedes construidas, mantenidas reforzadas)</v>
      </c>
      <c r="V403" s="173" t="s">
        <v>294</v>
      </c>
      <c r="W403" s="178" t="str">
        <f>IFERROR(VLOOKUP(V403,TD!$N$33:$O$45,2,0)," ")</f>
        <v>Documentos de lineamientos técnicos</v>
      </c>
      <c r="X403" s="127" t="str">
        <f>CONCATENATE(V403,"_",W403)</f>
        <v>031__Documentos de lineamientos técnicos</v>
      </c>
      <c r="Y403" s="127" t="str">
        <f>CONCATENATE(U403," ",X403)</f>
        <v>08-Infraestructura física, mantenimiento y dotación (Sedes construidas, mantenidas reforzadas) 031__Documentos de lineamientos técnicos</v>
      </c>
      <c r="Z403" s="178" t="str">
        <f>CONCATENATE(P403,Q403,R403,S403,V403)</f>
        <v>O23011745032024025508031_</v>
      </c>
      <c r="AA403" s="178" t="str">
        <f>IFERROR(VLOOKUP(Y403,TD!$K$46:$L$64,2,0)," ")</f>
        <v>PM/0131/0108/45030310255</v>
      </c>
      <c r="AB403" s="177" t="s">
        <v>777</v>
      </c>
      <c r="AC403" s="179" t="s">
        <v>204</v>
      </c>
    </row>
    <row r="404" spans="2:29" s="28" customFormat="1" ht="74.25" customHeight="1" x14ac:dyDescent="0.35">
      <c r="B404" s="170">
        <v>20250549</v>
      </c>
      <c r="C404" s="171" t="s">
        <v>209</v>
      </c>
      <c r="D404" s="172" t="s">
        <v>166</v>
      </c>
      <c r="E404" s="173" t="s">
        <v>632</v>
      </c>
      <c r="F404" s="172" t="s">
        <v>770</v>
      </c>
      <c r="G404" s="172" t="s">
        <v>155</v>
      </c>
      <c r="H404" s="174" t="s">
        <v>700</v>
      </c>
      <c r="I404" s="175">
        <v>2</v>
      </c>
      <c r="J404" s="175">
        <v>11</v>
      </c>
      <c r="K404" s="176">
        <v>0</v>
      </c>
      <c r="L404" s="177">
        <v>67386352</v>
      </c>
      <c r="M404" s="172" t="s">
        <v>484</v>
      </c>
      <c r="N404" s="177" t="s">
        <v>701</v>
      </c>
      <c r="O404" s="173" t="s">
        <v>227</v>
      </c>
      <c r="P404" s="178" t="str">
        <f>IFERROR(VLOOKUP(C404,TD!$B$32:$F$36,2,0)," ")</f>
        <v>O230117</v>
      </c>
      <c r="Q404" s="178" t="str">
        <f>IFERROR(VLOOKUP(C404,TD!$B$32:$F$36,3,0)," ")</f>
        <v>4503</v>
      </c>
      <c r="R404" s="178">
        <f>IFERROR(VLOOKUP(C404,TD!$B$32:$F$36,4,0)," ")</f>
        <v>20240255</v>
      </c>
      <c r="S404" s="173" t="s">
        <v>185</v>
      </c>
      <c r="T404" s="178" t="str">
        <f>IFERROR(VLOOKUP(S404,TD!$J$33:$K$43,2,0)," ")</f>
        <v>Infraestructura física, mantenimiento y dotación (Sedes construidas, mantenidas reforzadas)</v>
      </c>
      <c r="U404" s="127" t="str">
        <f>CONCATENATE(S404,"-",T404)</f>
        <v>08-Infraestructura física, mantenimiento y dotación (Sedes construidas, mantenidas reforzadas)</v>
      </c>
      <c r="V404" s="173" t="s">
        <v>236</v>
      </c>
      <c r="W404" s="178" t="str">
        <f>IFERROR(VLOOKUP(V404,TD!$N$33:$O$45,2,0)," ")</f>
        <v>Estaciones de bomberos adecuadas</v>
      </c>
      <c r="X404" s="127" t="str">
        <f>CONCATENATE(V404,"_",W404)</f>
        <v>014_Estaciones de bomberos adecuadas</v>
      </c>
      <c r="Y404" s="127" t="str">
        <f>CONCATENATE(U404," ",X404)</f>
        <v>08-Infraestructura física, mantenimiento y dotación (Sedes construidas, mantenidas reforzadas) 014_Estaciones de bomberos adecuadas</v>
      </c>
      <c r="Z404" s="178" t="str">
        <f>CONCATENATE(P404,Q404,R404,S404,V404)</f>
        <v>O23011745032024025508014</v>
      </c>
      <c r="AA404" s="178" t="str">
        <f>IFERROR(VLOOKUP(Y404,TD!$K$46:$L$64,2,0)," ")</f>
        <v>PM/0131/0108/45030140255</v>
      </c>
      <c r="AB404" s="177" t="s">
        <v>777</v>
      </c>
      <c r="AC404" s="179" t="s">
        <v>204</v>
      </c>
    </row>
    <row r="405" spans="2:29" s="28" customFormat="1" ht="74.25" customHeight="1" x14ac:dyDescent="0.35">
      <c r="B405" s="170">
        <v>20250550</v>
      </c>
      <c r="C405" s="171" t="s">
        <v>209</v>
      </c>
      <c r="D405" s="172" t="s">
        <v>166</v>
      </c>
      <c r="E405" s="173" t="s">
        <v>632</v>
      </c>
      <c r="F405" s="172" t="s">
        <v>771</v>
      </c>
      <c r="G405" s="172" t="s">
        <v>155</v>
      </c>
      <c r="H405" s="174" t="s">
        <v>700</v>
      </c>
      <c r="I405" s="175">
        <v>2</v>
      </c>
      <c r="J405" s="175">
        <v>11</v>
      </c>
      <c r="K405" s="176">
        <v>0</v>
      </c>
      <c r="L405" s="177">
        <v>90750000</v>
      </c>
      <c r="M405" s="172" t="s">
        <v>484</v>
      </c>
      <c r="N405" s="177" t="s">
        <v>701</v>
      </c>
      <c r="O405" s="173" t="s">
        <v>227</v>
      </c>
      <c r="P405" s="178" t="str">
        <f>IFERROR(VLOOKUP(C405,TD!$B$32:$F$36,2,0)," ")</f>
        <v>O230117</v>
      </c>
      <c r="Q405" s="178" t="str">
        <f>IFERROR(VLOOKUP(C405,TD!$B$32:$F$36,3,0)," ")</f>
        <v>4503</v>
      </c>
      <c r="R405" s="178">
        <f>IFERROR(VLOOKUP(C405,TD!$B$32:$F$36,4,0)," ")</f>
        <v>20240255</v>
      </c>
      <c r="S405" s="173" t="s">
        <v>185</v>
      </c>
      <c r="T405" s="178" t="str">
        <f>IFERROR(VLOOKUP(S405,TD!$J$33:$K$43,2,0)," ")</f>
        <v>Infraestructura física, mantenimiento y dotación (Sedes construidas, mantenidas reforzadas)</v>
      </c>
      <c r="U405" s="127" t="str">
        <f>CONCATENATE(S405,"-",T405)</f>
        <v>08-Infraestructura física, mantenimiento y dotación (Sedes construidas, mantenidas reforzadas)</v>
      </c>
      <c r="V405" s="173" t="s">
        <v>236</v>
      </c>
      <c r="W405" s="178" t="str">
        <f>IFERROR(VLOOKUP(V405,TD!$N$33:$O$45,2,0)," ")</f>
        <v>Estaciones de bomberos adecuadas</v>
      </c>
      <c r="X405" s="127" t="str">
        <f>CONCATENATE(V405,"_",W405)</f>
        <v>014_Estaciones de bomberos adecuadas</v>
      </c>
      <c r="Y405" s="127" t="str">
        <f>CONCATENATE(U405," ",X405)</f>
        <v>08-Infraestructura física, mantenimiento y dotación (Sedes construidas, mantenidas reforzadas) 014_Estaciones de bomberos adecuadas</v>
      </c>
      <c r="Z405" s="178" t="str">
        <f>CONCATENATE(P405,Q405,R405,S405,V405)</f>
        <v>O23011745032024025508014</v>
      </c>
      <c r="AA405" s="178" t="str">
        <f>IFERROR(VLOOKUP(Y405,TD!$K$46:$L$64,2,0)," ")</f>
        <v>PM/0131/0108/45030140255</v>
      </c>
      <c r="AB405" s="177" t="s">
        <v>777</v>
      </c>
      <c r="AC405" s="173" t="s">
        <v>204</v>
      </c>
    </row>
    <row r="406" spans="2:29" s="28" customFormat="1" ht="74.25" customHeight="1" x14ac:dyDescent="0.35">
      <c r="B406" s="170">
        <v>20250551</v>
      </c>
      <c r="C406" s="171" t="s">
        <v>208</v>
      </c>
      <c r="D406" s="172" t="s">
        <v>166</v>
      </c>
      <c r="E406" s="173" t="s">
        <v>632</v>
      </c>
      <c r="F406" s="172" t="s">
        <v>642</v>
      </c>
      <c r="G406" s="172" t="s">
        <v>156</v>
      </c>
      <c r="H406" s="174" t="s">
        <v>700</v>
      </c>
      <c r="I406" s="175">
        <v>2</v>
      </c>
      <c r="J406" s="175">
        <v>11</v>
      </c>
      <c r="K406" s="176">
        <v>0</v>
      </c>
      <c r="L406" s="177">
        <v>33534424</v>
      </c>
      <c r="M406" s="172" t="s">
        <v>484</v>
      </c>
      <c r="N406" s="177" t="s">
        <v>701</v>
      </c>
      <c r="O406" s="173" t="s">
        <v>219</v>
      </c>
      <c r="P406" s="178" t="str">
        <f>IFERROR(VLOOKUP(C406,TD!$B$32:$F$36,2,0)," ")</f>
        <v>O230117</v>
      </c>
      <c r="Q406" s="178" t="str">
        <f>IFERROR(VLOOKUP(C406,TD!$B$32:$F$36,3,0)," ")</f>
        <v>4599</v>
      </c>
      <c r="R406" s="178">
        <f>IFERROR(VLOOKUP(C406,TD!$B$32:$F$36,4,0)," ")</f>
        <v>20240207</v>
      </c>
      <c r="S406" s="173" t="s">
        <v>185</v>
      </c>
      <c r="T406" s="178" t="str">
        <f>IFERROR(VLOOKUP(S406,TD!$J$33:$K$43,2,0)," ")</f>
        <v>Infraestructura física, mantenimiento y dotación (Sedes construidas, mantenidas reforzadas)</v>
      </c>
      <c r="U406" s="127" t="str">
        <f>CONCATENATE(S406,"-",T406)</f>
        <v>08-Infraestructura física, mantenimiento y dotación (Sedes construidas, mantenidas reforzadas)</v>
      </c>
      <c r="V406" s="173" t="s">
        <v>238</v>
      </c>
      <c r="W406" s="178" t="str">
        <f>IFERROR(VLOOKUP(V406,TD!$N$33:$O$45,2,0)," ")</f>
        <v>Sedes mantenidas</v>
      </c>
      <c r="X406" s="127" t="str">
        <f>CONCATENATE(V406,"_",W406)</f>
        <v>016_Sedes mantenidas</v>
      </c>
      <c r="Y406" s="127" t="str">
        <f>CONCATENATE(U406," ",X406)</f>
        <v>08-Infraestructura física, mantenimiento y dotación (Sedes construidas, mantenidas reforzadas) 016_Sedes mantenidas</v>
      </c>
      <c r="Z406" s="178" t="str">
        <f>CONCATENATE(P406,Q406,R406,S406,V406)</f>
        <v>O23011745992024020708016</v>
      </c>
      <c r="AA406" s="178" t="str">
        <f>IFERROR(VLOOKUP(Y406,TD!$K$46:$L$64,2,0)," ")</f>
        <v>PM/0131/0108/45990160207</v>
      </c>
      <c r="AB406" s="177" t="s">
        <v>138</v>
      </c>
      <c r="AC406" s="179" t="s">
        <v>204</v>
      </c>
    </row>
    <row r="407" spans="2:29" s="28" customFormat="1" ht="74.25" customHeight="1" x14ac:dyDescent="0.35">
      <c r="B407" s="170">
        <v>20250552</v>
      </c>
      <c r="C407" s="171" t="s">
        <v>208</v>
      </c>
      <c r="D407" s="172" t="s">
        <v>166</v>
      </c>
      <c r="E407" s="173" t="s">
        <v>632</v>
      </c>
      <c r="F407" s="172" t="s">
        <v>642</v>
      </c>
      <c r="G407" s="172" t="s">
        <v>156</v>
      </c>
      <c r="H407" s="174" t="s">
        <v>700</v>
      </c>
      <c r="I407" s="175">
        <v>2</v>
      </c>
      <c r="J407" s="175">
        <v>11</v>
      </c>
      <c r="K407" s="176">
        <v>0</v>
      </c>
      <c r="L407" s="177">
        <v>33534424</v>
      </c>
      <c r="M407" s="172" t="s">
        <v>484</v>
      </c>
      <c r="N407" s="177" t="s">
        <v>701</v>
      </c>
      <c r="O407" s="173" t="s">
        <v>219</v>
      </c>
      <c r="P407" s="178" t="str">
        <f>IFERROR(VLOOKUP(C407,TD!$B$32:$F$36,2,0)," ")</f>
        <v>O230117</v>
      </c>
      <c r="Q407" s="178" t="str">
        <f>IFERROR(VLOOKUP(C407,TD!$B$32:$F$36,3,0)," ")</f>
        <v>4599</v>
      </c>
      <c r="R407" s="178">
        <f>IFERROR(VLOOKUP(C407,TD!$B$32:$F$36,4,0)," ")</f>
        <v>20240207</v>
      </c>
      <c r="S407" s="173" t="s">
        <v>185</v>
      </c>
      <c r="T407" s="178" t="str">
        <f>IFERROR(VLOOKUP(S407,TD!$J$33:$K$43,2,0)," ")</f>
        <v>Infraestructura física, mantenimiento y dotación (Sedes construidas, mantenidas reforzadas)</v>
      </c>
      <c r="U407" s="127" t="str">
        <f>CONCATENATE(S407,"-",T407)</f>
        <v>08-Infraestructura física, mantenimiento y dotación (Sedes construidas, mantenidas reforzadas)</v>
      </c>
      <c r="V407" s="173" t="s">
        <v>238</v>
      </c>
      <c r="W407" s="178" t="str">
        <f>IFERROR(VLOOKUP(V407,TD!$N$33:$O$45,2,0)," ")</f>
        <v>Sedes mantenidas</v>
      </c>
      <c r="X407" s="127" t="str">
        <f>CONCATENATE(V407,"_",W407)</f>
        <v>016_Sedes mantenidas</v>
      </c>
      <c r="Y407" s="127" t="str">
        <f>CONCATENATE(U407," ",X407)</f>
        <v>08-Infraestructura física, mantenimiento y dotación (Sedes construidas, mantenidas reforzadas) 016_Sedes mantenidas</v>
      </c>
      <c r="Z407" s="178" t="str">
        <f>CONCATENATE(P407,Q407,R407,S407,V407)</f>
        <v>O23011745992024020708016</v>
      </c>
      <c r="AA407" s="178" t="str">
        <f>IFERROR(VLOOKUP(Y407,TD!$K$46:$L$64,2,0)," ")</f>
        <v>PM/0131/0108/45990160207</v>
      </c>
      <c r="AB407" s="177" t="s">
        <v>138</v>
      </c>
      <c r="AC407" s="179" t="s">
        <v>204</v>
      </c>
    </row>
    <row r="408" spans="2:29" s="28" customFormat="1" ht="74.25" customHeight="1" x14ac:dyDescent="0.35">
      <c r="B408" s="170">
        <v>20250553</v>
      </c>
      <c r="C408" s="171" t="s">
        <v>208</v>
      </c>
      <c r="D408" s="172" t="s">
        <v>166</v>
      </c>
      <c r="E408" s="173" t="s">
        <v>632</v>
      </c>
      <c r="F408" s="172" t="s">
        <v>772</v>
      </c>
      <c r="G408" s="172" t="s">
        <v>156</v>
      </c>
      <c r="H408" s="174" t="s">
        <v>700</v>
      </c>
      <c r="I408" s="175">
        <v>2</v>
      </c>
      <c r="J408" s="175">
        <v>11</v>
      </c>
      <c r="K408" s="176">
        <v>0</v>
      </c>
      <c r="L408" s="177">
        <v>46585000</v>
      </c>
      <c r="M408" s="172" t="s">
        <v>484</v>
      </c>
      <c r="N408" s="177" t="s">
        <v>701</v>
      </c>
      <c r="O408" s="173" t="s">
        <v>218</v>
      </c>
      <c r="P408" s="178" t="str">
        <f>IFERROR(VLOOKUP(C408,TD!$B$32:$F$36,2,0)," ")</f>
        <v>O230117</v>
      </c>
      <c r="Q408" s="178" t="str">
        <f>IFERROR(VLOOKUP(C408,TD!$B$32:$F$36,3,0)," ")</f>
        <v>4599</v>
      </c>
      <c r="R408" s="178">
        <f>IFERROR(VLOOKUP(C408,TD!$B$32:$F$36,4,0)," ")</f>
        <v>20240207</v>
      </c>
      <c r="S408" s="173" t="s">
        <v>185</v>
      </c>
      <c r="T408" s="178" t="str">
        <f>IFERROR(VLOOKUP(S408,TD!$J$33:$K$43,2,0)," ")</f>
        <v>Infraestructura física, mantenimiento y dotación (Sedes construidas, mantenidas reforzadas)</v>
      </c>
      <c r="U408" s="127" t="str">
        <f>CONCATENATE(S408,"-",T408)</f>
        <v>08-Infraestructura física, mantenimiento y dotación (Sedes construidas, mantenidas reforzadas)</v>
      </c>
      <c r="V408" s="173" t="s">
        <v>238</v>
      </c>
      <c r="W408" s="178" t="str">
        <f>IFERROR(VLOOKUP(V408,TD!$N$33:$O$45,2,0)," ")</f>
        <v>Sedes mantenidas</v>
      </c>
      <c r="X408" s="127" t="str">
        <f>CONCATENATE(V408,"_",W408)</f>
        <v>016_Sedes mantenidas</v>
      </c>
      <c r="Y408" s="127" t="str">
        <f>CONCATENATE(U408," ",X408)</f>
        <v>08-Infraestructura física, mantenimiento y dotación (Sedes construidas, mantenidas reforzadas) 016_Sedes mantenidas</v>
      </c>
      <c r="Z408" s="178" t="str">
        <f>CONCATENATE(P408,Q408,R408,S408,V408)</f>
        <v>O23011745992024020708016</v>
      </c>
      <c r="AA408" s="178" t="str">
        <f>IFERROR(VLOOKUP(Y408,TD!$K$46:$L$64,2,0)," ")</f>
        <v>PM/0131/0108/45990160207</v>
      </c>
      <c r="AB408" s="177" t="s">
        <v>138</v>
      </c>
      <c r="AC408" s="179" t="s">
        <v>204</v>
      </c>
    </row>
    <row r="409" spans="2:29" s="28" customFormat="1" ht="74.25" customHeight="1" x14ac:dyDescent="0.35">
      <c r="B409" s="170">
        <v>20250554</v>
      </c>
      <c r="C409" s="171" t="s">
        <v>208</v>
      </c>
      <c r="D409" s="172" t="s">
        <v>166</v>
      </c>
      <c r="E409" s="173" t="s">
        <v>632</v>
      </c>
      <c r="F409" s="172" t="s">
        <v>663</v>
      </c>
      <c r="G409" s="172" t="s">
        <v>156</v>
      </c>
      <c r="H409" s="174" t="s">
        <v>700</v>
      </c>
      <c r="I409" s="175">
        <v>2</v>
      </c>
      <c r="J409" s="175">
        <v>11</v>
      </c>
      <c r="K409" s="176">
        <v>0</v>
      </c>
      <c r="L409" s="177">
        <v>33534424</v>
      </c>
      <c r="M409" s="172" t="s">
        <v>484</v>
      </c>
      <c r="N409" s="177" t="s">
        <v>701</v>
      </c>
      <c r="O409" s="173" t="s">
        <v>219</v>
      </c>
      <c r="P409" s="178" t="str">
        <f>IFERROR(VLOOKUP(C409,TD!$B$32:$F$36,2,0)," ")</f>
        <v>O230117</v>
      </c>
      <c r="Q409" s="178" t="str">
        <f>IFERROR(VLOOKUP(C409,TD!$B$32:$F$36,3,0)," ")</f>
        <v>4599</v>
      </c>
      <c r="R409" s="178">
        <f>IFERROR(VLOOKUP(C409,TD!$B$32:$F$36,4,0)," ")</f>
        <v>20240207</v>
      </c>
      <c r="S409" s="173" t="s">
        <v>185</v>
      </c>
      <c r="T409" s="178" t="str">
        <f>IFERROR(VLOOKUP(S409,TD!$J$33:$K$43,2,0)," ")</f>
        <v>Infraestructura física, mantenimiento y dotación (Sedes construidas, mantenidas reforzadas)</v>
      </c>
      <c r="U409" s="127" t="str">
        <f>CONCATENATE(S409,"-",T409)</f>
        <v>08-Infraestructura física, mantenimiento y dotación (Sedes construidas, mantenidas reforzadas)</v>
      </c>
      <c r="V409" s="173" t="s">
        <v>238</v>
      </c>
      <c r="W409" s="178" t="str">
        <f>IFERROR(VLOOKUP(V409,TD!$N$33:$O$45,2,0)," ")</f>
        <v>Sedes mantenidas</v>
      </c>
      <c r="X409" s="127" t="str">
        <f>CONCATENATE(V409,"_",W409)</f>
        <v>016_Sedes mantenidas</v>
      </c>
      <c r="Y409" s="127" t="str">
        <f>CONCATENATE(U409," ",X409)</f>
        <v>08-Infraestructura física, mantenimiento y dotación (Sedes construidas, mantenidas reforzadas) 016_Sedes mantenidas</v>
      </c>
      <c r="Z409" s="178" t="str">
        <f>CONCATENATE(P409,Q409,R409,S409,V409)</f>
        <v>O23011745992024020708016</v>
      </c>
      <c r="AA409" s="178" t="str">
        <f>IFERROR(VLOOKUP(Y409,TD!$K$46:$L$64,2,0)," ")</f>
        <v>PM/0131/0108/45990160207</v>
      </c>
      <c r="AB409" s="177" t="s">
        <v>138</v>
      </c>
      <c r="AC409" s="179" t="s">
        <v>204</v>
      </c>
    </row>
    <row r="410" spans="2:29" s="28" customFormat="1" ht="74.25" customHeight="1" x14ac:dyDescent="0.35">
      <c r="B410" s="170">
        <v>20250555</v>
      </c>
      <c r="C410" s="171" t="s">
        <v>208</v>
      </c>
      <c r="D410" s="172" t="s">
        <v>166</v>
      </c>
      <c r="E410" s="173" t="s">
        <v>632</v>
      </c>
      <c r="F410" s="172" t="s">
        <v>663</v>
      </c>
      <c r="G410" s="172" t="s">
        <v>156</v>
      </c>
      <c r="H410" s="174" t="s">
        <v>700</v>
      </c>
      <c r="I410" s="175">
        <v>2</v>
      </c>
      <c r="J410" s="175">
        <v>11</v>
      </c>
      <c r="K410" s="176">
        <v>0</v>
      </c>
      <c r="L410" s="177">
        <v>33534424</v>
      </c>
      <c r="M410" s="172" t="s">
        <v>484</v>
      </c>
      <c r="N410" s="177" t="s">
        <v>701</v>
      </c>
      <c r="O410" s="173" t="s">
        <v>219</v>
      </c>
      <c r="P410" s="178" t="str">
        <f>IFERROR(VLOOKUP(C410,TD!$B$32:$F$36,2,0)," ")</f>
        <v>O230117</v>
      </c>
      <c r="Q410" s="178" t="str">
        <f>IFERROR(VLOOKUP(C410,TD!$B$32:$F$36,3,0)," ")</f>
        <v>4599</v>
      </c>
      <c r="R410" s="178">
        <f>IFERROR(VLOOKUP(C410,TD!$B$32:$F$36,4,0)," ")</f>
        <v>20240207</v>
      </c>
      <c r="S410" s="173" t="s">
        <v>185</v>
      </c>
      <c r="T410" s="178" t="str">
        <f>IFERROR(VLOOKUP(S410,TD!$J$33:$K$43,2,0)," ")</f>
        <v>Infraestructura física, mantenimiento y dotación (Sedes construidas, mantenidas reforzadas)</v>
      </c>
      <c r="U410" s="127" t="str">
        <f>CONCATENATE(S410,"-",T410)</f>
        <v>08-Infraestructura física, mantenimiento y dotación (Sedes construidas, mantenidas reforzadas)</v>
      </c>
      <c r="V410" s="173" t="s">
        <v>238</v>
      </c>
      <c r="W410" s="178" t="str">
        <f>IFERROR(VLOOKUP(V410,TD!$N$33:$O$45,2,0)," ")</f>
        <v>Sedes mantenidas</v>
      </c>
      <c r="X410" s="127" t="str">
        <f>CONCATENATE(V410,"_",W410)</f>
        <v>016_Sedes mantenidas</v>
      </c>
      <c r="Y410" s="127" t="str">
        <f>CONCATENATE(U410," ",X410)</f>
        <v>08-Infraestructura física, mantenimiento y dotación (Sedes construidas, mantenidas reforzadas) 016_Sedes mantenidas</v>
      </c>
      <c r="Z410" s="178" t="str">
        <f>CONCATENATE(P410,Q410,R410,S410,V410)</f>
        <v>O23011745992024020708016</v>
      </c>
      <c r="AA410" s="178" t="str">
        <f>IFERROR(VLOOKUP(Y410,TD!$K$46:$L$64,2,0)," ")</f>
        <v>PM/0131/0108/45990160207</v>
      </c>
      <c r="AB410" s="177" t="s">
        <v>138</v>
      </c>
      <c r="AC410" s="179" t="s">
        <v>204</v>
      </c>
    </row>
    <row r="411" spans="2:29" s="28" customFormat="1" ht="74.25" customHeight="1" x14ac:dyDescent="0.35">
      <c r="B411" s="170">
        <v>20250556</v>
      </c>
      <c r="C411" s="171" t="s">
        <v>208</v>
      </c>
      <c r="D411" s="172" t="s">
        <v>166</v>
      </c>
      <c r="E411" s="173" t="s">
        <v>632</v>
      </c>
      <c r="F411" s="172" t="s">
        <v>773</v>
      </c>
      <c r="G411" s="172" t="s">
        <v>156</v>
      </c>
      <c r="H411" s="174" t="s">
        <v>700</v>
      </c>
      <c r="I411" s="175">
        <v>2</v>
      </c>
      <c r="J411" s="175">
        <v>11</v>
      </c>
      <c r="K411" s="176">
        <v>0</v>
      </c>
      <c r="L411" s="177">
        <v>33534424</v>
      </c>
      <c r="M411" s="172" t="s">
        <v>484</v>
      </c>
      <c r="N411" s="177" t="s">
        <v>701</v>
      </c>
      <c r="O411" s="173" t="s">
        <v>219</v>
      </c>
      <c r="P411" s="178" t="str">
        <f>IFERROR(VLOOKUP(C411,TD!$B$32:$F$36,2,0)," ")</f>
        <v>O230117</v>
      </c>
      <c r="Q411" s="178" t="str">
        <f>IFERROR(VLOOKUP(C411,TD!$B$32:$F$36,3,0)," ")</f>
        <v>4599</v>
      </c>
      <c r="R411" s="178">
        <f>IFERROR(VLOOKUP(C411,TD!$B$32:$F$36,4,0)," ")</f>
        <v>20240207</v>
      </c>
      <c r="S411" s="173" t="s">
        <v>185</v>
      </c>
      <c r="T411" s="178" t="str">
        <f>IFERROR(VLOOKUP(S411,TD!$J$33:$K$43,2,0)," ")</f>
        <v>Infraestructura física, mantenimiento y dotación (Sedes construidas, mantenidas reforzadas)</v>
      </c>
      <c r="U411" s="127" t="str">
        <f>CONCATENATE(S411,"-",T411)</f>
        <v>08-Infraestructura física, mantenimiento y dotación (Sedes construidas, mantenidas reforzadas)</v>
      </c>
      <c r="V411" s="173" t="s">
        <v>238</v>
      </c>
      <c r="W411" s="178" t="str">
        <f>IFERROR(VLOOKUP(V411,TD!$N$33:$O$45,2,0)," ")</f>
        <v>Sedes mantenidas</v>
      </c>
      <c r="X411" s="127" t="str">
        <f>CONCATENATE(V411,"_",W411)</f>
        <v>016_Sedes mantenidas</v>
      </c>
      <c r="Y411" s="127" t="str">
        <f>CONCATENATE(U411," ",X411)</f>
        <v>08-Infraestructura física, mantenimiento y dotación (Sedes construidas, mantenidas reforzadas) 016_Sedes mantenidas</v>
      </c>
      <c r="Z411" s="178" t="str">
        <f>CONCATENATE(P411,Q411,R411,S411,V411)</f>
        <v>O23011745992024020708016</v>
      </c>
      <c r="AA411" s="178" t="str">
        <f>IFERROR(VLOOKUP(Y411,TD!$K$46:$L$64,2,0)," ")</f>
        <v>PM/0131/0108/45990160207</v>
      </c>
      <c r="AB411" s="177" t="s">
        <v>138</v>
      </c>
      <c r="AC411" s="179" t="s">
        <v>204</v>
      </c>
    </row>
    <row r="412" spans="2:29" s="28" customFormat="1" ht="74.25" customHeight="1" x14ac:dyDescent="0.35">
      <c r="B412" s="170">
        <v>20250557</v>
      </c>
      <c r="C412" s="171" t="s">
        <v>208</v>
      </c>
      <c r="D412" s="172" t="s">
        <v>166</v>
      </c>
      <c r="E412" s="173" t="s">
        <v>632</v>
      </c>
      <c r="F412" s="172" t="s">
        <v>774</v>
      </c>
      <c r="G412" s="172" t="s">
        <v>156</v>
      </c>
      <c r="H412" s="174" t="s">
        <v>700</v>
      </c>
      <c r="I412" s="175">
        <v>2</v>
      </c>
      <c r="J412" s="175">
        <v>11</v>
      </c>
      <c r="K412" s="176">
        <v>0</v>
      </c>
      <c r="L412" s="177">
        <v>45853192</v>
      </c>
      <c r="M412" s="172" t="s">
        <v>484</v>
      </c>
      <c r="N412" s="177" t="s">
        <v>701</v>
      </c>
      <c r="O412" s="173" t="s">
        <v>219</v>
      </c>
      <c r="P412" s="178" t="str">
        <f>IFERROR(VLOOKUP(C412,TD!$B$32:$F$36,2,0)," ")</f>
        <v>O230117</v>
      </c>
      <c r="Q412" s="178" t="str">
        <f>IFERROR(VLOOKUP(C412,TD!$B$32:$F$36,3,0)," ")</f>
        <v>4599</v>
      </c>
      <c r="R412" s="178">
        <f>IFERROR(VLOOKUP(C412,TD!$B$32:$F$36,4,0)," ")</f>
        <v>20240207</v>
      </c>
      <c r="S412" s="173" t="s">
        <v>185</v>
      </c>
      <c r="T412" s="178" t="str">
        <f>IFERROR(VLOOKUP(S412,TD!$J$33:$K$43,2,0)," ")</f>
        <v>Infraestructura física, mantenimiento y dotación (Sedes construidas, mantenidas reforzadas)</v>
      </c>
      <c r="U412" s="127" t="str">
        <f>CONCATENATE(S412,"-",T412)</f>
        <v>08-Infraestructura física, mantenimiento y dotación (Sedes construidas, mantenidas reforzadas)</v>
      </c>
      <c r="V412" s="173" t="s">
        <v>238</v>
      </c>
      <c r="W412" s="178" t="str">
        <f>IFERROR(VLOOKUP(V412,TD!$N$33:$O$45,2,0)," ")</f>
        <v>Sedes mantenidas</v>
      </c>
      <c r="X412" s="127" t="str">
        <f>CONCATENATE(V412,"_",W412)</f>
        <v>016_Sedes mantenidas</v>
      </c>
      <c r="Y412" s="127" t="str">
        <f>CONCATENATE(U412," ",X412)</f>
        <v>08-Infraestructura física, mantenimiento y dotación (Sedes construidas, mantenidas reforzadas) 016_Sedes mantenidas</v>
      </c>
      <c r="Z412" s="178" t="str">
        <f>CONCATENATE(P412,Q412,R412,S412,V412)</f>
        <v>O23011745992024020708016</v>
      </c>
      <c r="AA412" s="178" t="str">
        <f>IFERROR(VLOOKUP(Y412,TD!$K$46:$L$64,2,0)," ")</f>
        <v>PM/0131/0108/45990160207</v>
      </c>
      <c r="AB412" s="177" t="s">
        <v>138</v>
      </c>
      <c r="AC412" s="179" t="s">
        <v>204</v>
      </c>
    </row>
    <row r="413" spans="2:29" s="28" customFormat="1" ht="74.25" customHeight="1" x14ac:dyDescent="0.35">
      <c r="B413" s="170">
        <v>20250558</v>
      </c>
      <c r="C413" s="171" t="s">
        <v>346</v>
      </c>
      <c r="D413" s="172" t="s">
        <v>166</v>
      </c>
      <c r="E413" s="173" t="s">
        <v>632</v>
      </c>
      <c r="F413" s="172" t="s">
        <v>753</v>
      </c>
      <c r="G413" s="172" t="s">
        <v>96</v>
      </c>
      <c r="H413" s="174" t="s">
        <v>727</v>
      </c>
      <c r="I413" s="175">
        <v>2</v>
      </c>
      <c r="J413" s="175">
        <v>2</v>
      </c>
      <c r="K413" s="176">
        <v>0</v>
      </c>
      <c r="L413" s="177">
        <v>240000000</v>
      </c>
      <c r="M413" s="172" t="s">
        <v>172</v>
      </c>
      <c r="N413" s="177" t="s">
        <v>85</v>
      </c>
      <c r="O413" s="173" t="s">
        <v>347</v>
      </c>
      <c r="P413" s="178" t="str">
        <f>IFERROR(VLOOKUP(C413,TD!$B$32:$F$36,2,0)," ")</f>
        <v>NA</v>
      </c>
      <c r="Q413" s="178" t="str">
        <f>IFERROR(VLOOKUP(C413,TD!$B$32:$F$36,3,0)," ")</f>
        <v>NA</v>
      </c>
      <c r="R413" s="178" t="str">
        <f>IFERROR(VLOOKUP(C413,TD!$B$32:$F$36,4,0)," ")</f>
        <v>NA</v>
      </c>
      <c r="S413" s="173" t="s">
        <v>409</v>
      </c>
      <c r="T413" s="178" t="str">
        <f>IFERROR(VLOOKUP(S413,TD!$J$33:$K$43,2,0)," ")</f>
        <v>N/A</v>
      </c>
      <c r="U413" s="127" t="str">
        <f>CONCATENATE(S413,"-",T413)</f>
        <v>N/A-N/A</v>
      </c>
      <c r="V413" s="173" t="s">
        <v>409</v>
      </c>
      <c r="W413" s="178" t="str">
        <f>IFERROR(VLOOKUP(V413,TD!$N$33:$O$45,2,0)," ")</f>
        <v>N/A</v>
      </c>
      <c r="X413" s="127" t="str">
        <f>CONCATENATE(V413,"_",W413)</f>
        <v>N/A_N/A</v>
      </c>
      <c r="Y413" s="127" t="str">
        <f>CONCATENATE(U413," ",X413)</f>
        <v>N/A-N/A N/A_N/A</v>
      </c>
      <c r="Z413" s="178" t="str">
        <f>CONCATENATE(P413,Q413,R413,S413,V413)</f>
        <v>NANANAN/AN/A</v>
      </c>
      <c r="AA413" s="178" t="str">
        <f>IFERROR(VLOOKUP(Y413,TD!$K$46:$L$64,2,0)," ")</f>
        <v>N/A</v>
      </c>
      <c r="AB413" s="177" t="s">
        <v>779</v>
      </c>
      <c r="AC413" s="179" t="s">
        <v>204</v>
      </c>
    </row>
    <row r="414" spans="2:29" s="28" customFormat="1" ht="74.25" customHeight="1" x14ac:dyDescent="0.35">
      <c r="B414" s="170">
        <v>20250560</v>
      </c>
      <c r="C414" s="171" t="s">
        <v>346</v>
      </c>
      <c r="D414" s="172" t="s">
        <v>162</v>
      </c>
      <c r="E414" s="173" t="s">
        <v>355</v>
      </c>
      <c r="F414" s="172" t="s">
        <v>781</v>
      </c>
      <c r="G414" s="172" t="s">
        <v>154</v>
      </c>
      <c r="H414" s="174">
        <v>81112100</v>
      </c>
      <c r="I414" s="175">
        <v>3</v>
      </c>
      <c r="J414" s="175">
        <v>11</v>
      </c>
      <c r="K414" s="176">
        <v>0</v>
      </c>
      <c r="L414" s="177">
        <v>350000000</v>
      </c>
      <c r="M414" s="172" t="s">
        <v>172</v>
      </c>
      <c r="N414" s="177" t="s">
        <v>113</v>
      </c>
      <c r="O414" s="173" t="s">
        <v>347</v>
      </c>
      <c r="P414" s="178" t="str">
        <f>IFERROR(VLOOKUP(C414,TD!$B$32:$F$36,2,0)," ")</f>
        <v>NA</v>
      </c>
      <c r="Q414" s="178" t="str">
        <f>IFERROR(VLOOKUP(C414,TD!$B$32:$F$36,3,0)," ")</f>
        <v>NA</v>
      </c>
      <c r="R414" s="178" t="str">
        <f>IFERROR(VLOOKUP(C414,TD!$B$32:$F$36,4,0)," ")</f>
        <v>NA</v>
      </c>
      <c r="S414" s="173" t="s">
        <v>409</v>
      </c>
      <c r="T414" s="178" t="str">
        <f>IFERROR(VLOOKUP(S414,TD!$J$33:$K$43,2,0)," ")</f>
        <v>N/A</v>
      </c>
      <c r="U414" s="127" t="str">
        <f>CONCATENATE(S414,"-",T414)</f>
        <v>N/A-N/A</v>
      </c>
      <c r="V414" s="173" t="s">
        <v>409</v>
      </c>
      <c r="W414" s="178" t="str">
        <f>IFERROR(VLOOKUP(V414,TD!$N$33:$O$45,2,0)," ")</f>
        <v>N/A</v>
      </c>
      <c r="X414" s="127" t="str">
        <f>CONCATENATE(V414,"_",W414)</f>
        <v>N/A_N/A</v>
      </c>
      <c r="Y414" s="127" t="str">
        <f>CONCATENATE(U414," ",X414)</f>
        <v>N/A-N/A N/A_N/A</v>
      </c>
      <c r="Z414" s="178" t="str">
        <f>CONCATENATE(P414,Q414,R414,S414,V414)</f>
        <v>NANANAN/AN/A</v>
      </c>
      <c r="AA414" s="178" t="str">
        <f>IFERROR(VLOOKUP(Y414,TD!$K$46:$L$64,2,0)," ")</f>
        <v>N/A</v>
      </c>
      <c r="AB414" s="177" t="s">
        <v>457</v>
      </c>
      <c r="AC414" s="179" t="s">
        <v>204</v>
      </c>
    </row>
    <row r="415" spans="2:29" s="28" customFormat="1" ht="74.25" customHeight="1" x14ac:dyDescent="0.35">
      <c r="B415" s="170">
        <v>20250561</v>
      </c>
      <c r="C415" s="171" t="s">
        <v>346</v>
      </c>
      <c r="D415" s="172" t="s">
        <v>162</v>
      </c>
      <c r="E415" s="173" t="s">
        <v>355</v>
      </c>
      <c r="F415" s="172" t="s">
        <v>782</v>
      </c>
      <c r="G415" s="172" t="s">
        <v>149</v>
      </c>
      <c r="H415" s="174" t="s">
        <v>785</v>
      </c>
      <c r="I415" s="175">
        <v>11</v>
      </c>
      <c r="J415" s="175">
        <v>12</v>
      </c>
      <c r="K415" s="176">
        <v>0</v>
      </c>
      <c r="L415" s="177">
        <v>53000000</v>
      </c>
      <c r="M415" s="172" t="s">
        <v>172</v>
      </c>
      <c r="N415" s="177" t="s">
        <v>100</v>
      </c>
      <c r="O415" s="173" t="s">
        <v>347</v>
      </c>
      <c r="P415" s="178" t="str">
        <f>IFERROR(VLOOKUP(C415,TD!$B$32:$F$36,2,0)," ")</f>
        <v>NA</v>
      </c>
      <c r="Q415" s="178" t="str">
        <f>IFERROR(VLOOKUP(C415,TD!$B$32:$F$36,3,0)," ")</f>
        <v>NA</v>
      </c>
      <c r="R415" s="178" t="str">
        <f>IFERROR(VLOOKUP(C415,TD!$B$32:$F$36,4,0)," ")</f>
        <v>NA</v>
      </c>
      <c r="S415" s="173" t="s">
        <v>409</v>
      </c>
      <c r="T415" s="178" t="str">
        <f>IFERROR(VLOOKUP(S415,TD!$J$33:$K$43,2,0)," ")</f>
        <v>N/A</v>
      </c>
      <c r="U415" s="127" t="str">
        <f>CONCATENATE(S415,"-",T415)</f>
        <v>N/A-N/A</v>
      </c>
      <c r="V415" s="173" t="s">
        <v>409</v>
      </c>
      <c r="W415" s="178" t="str">
        <f>IFERROR(VLOOKUP(V415,TD!$N$33:$O$45,2,0)," ")</f>
        <v>N/A</v>
      </c>
      <c r="X415" s="127" t="str">
        <f>CONCATENATE(V415,"_",W415)</f>
        <v>N/A_N/A</v>
      </c>
      <c r="Y415" s="127" t="str">
        <f>CONCATENATE(U415," ",X415)</f>
        <v>N/A-N/A N/A_N/A</v>
      </c>
      <c r="Z415" s="178" t="str">
        <f>CONCATENATE(P415,Q415,R415,S415,V415)</f>
        <v>NANANAN/AN/A</v>
      </c>
      <c r="AA415" s="178" t="str">
        <f>IFERROR(VLOOKUP(Y415,TD!$K$46:$L$64,2,0)," ")</f>
        <v>N/A</v>
      </c>
      <c r="AB415" s="177" t="s">
        <v>458</v>
      </c>
      <c r="AC415" s="179" t="s">
        <v>204</v>
      </c>
    </row>
    <row r="416" spans="2:29" s="28" customFormat="1" ht="74.25" customHeight="1" x14ac:dyDescent="0.35">
      <c r="B416" s="170">
        <v>20250562</v>
      </c>
      <c r="C416" s="171" t="s">
        <v>346</v>
      </c>
      <c r="D416" s="172" t="s">
        <v>162</v>
      </c>
      <c r="E416" s="173" t="s">
        <v>355</v>
      </c>
      <c r="F416" s="172" t="s">
        <v>783</v>
      </c>
      <c r="G416" s="172" t="s">
        <v>158</v>
      </c>
      <c r="H416" s="174" t="s">
        <v>786</v>
      </c>
      <c r="I416" s="175">
        <v>11</v>
      </c>
      <c r="J416" s="175">
        <v>12</v>
      </c>
      <c r="K416" s="176">
        <v>0</v>
      </c>
      <c r="L416" s="177">
        <v>13000000</v>
      </c>
      <c r="M416" s="172" t="s">
        <v>172</v>
      </c>
      <c r="N416" s="177" t="s">
        <v>100</v>
      </c>
      <c r="O416" s="173" t="s">
        <v>347</v>
      </c>
      <c r="P416" s="178" t="str">
        <f>IFERROR(VLOOKUP(C416,TD!$B$32:$F$36,2,0)," ")</f>
        <v>NA</v>
      </c>
      <c r="Q416" s="178" t="str">
        <f>IFERROR(VLOOKUP(C416,TD!$B$32:$F$36,3,0)," ")</f>
        <v>NA</v>
      </c>
      <c r="R416" s="178" t="str">
        <f>IFERROR(VLOOKUP(C416,TD!$B$32:$F$36,4,0)," ")</f>
        <v>NA</v>
      </c>
      <c r="S416" s="173" t="s">
        <v>409</v>
      </c>
      <c r="T416" s="178" t="str">
        <f>IFERROR(VLOOKUP(S416,TD!$J$33:$K$43,2,0)," ")</f>
        <v>N/A</v>
      </c>
      <c r="U416" s="127" t="str">
        <f>CONCATENATE(S416,"-",T416)</f>
        <v>N/A-N/A</v>
      </c>
      <c r="V416" s="173" t="s">
        <v>409</v>
      </c>
      <c r="W416" s="178" t="str">
        <f>IFERROR(VLOOKUP(V416,TD!$N$33:$O$45,2,0)," ")</f>
        <v>N/A</v>
      </c>
      <c r="X416" s="127" t="str">
        <f>CONCATENATE(V416,"_",W416)</f>
        <v>N/A_N/A</v>
      </c>
      <c r="Y416" s="127" t="str">
        <f>CONCATENATE(U416," ",X416)</f>
        <v>N/A-N/A N/A_N/A</v>
      </c>
      <c r="Z416" s="178" t="str">
        <f>CONCATENATE(P416,Q416,R416,S416,V416)</f>
        <v>NANANAN/AN/A</v>
      </c>
      <c r="AA416" s="178" t="str">
        <f>IFERROR(VLOOKUP(Y416,TD!$K$46:$L$64,2,0)," ")</f>
        <v>N/A</v>
      </c>
      <c r="AB416" s="177" t="s">
        <v>457</v>
      </c>
      <c r="AC416" s="179" t="s">
        <v>204</v>
      </c>
    </row>
    <row r="417" spans="2:29" s="28" customFormat="1" ht="74.25" customHeight="1" x14ac:dyDescent="0.35">
      <c r="B417" s="170">
        <v>20250563</v>
      </c>
      <c r="C417" s="171" t="s">
        <v>208</v>
      </c>
      <c r="D417" s="172" t="s">
        <v>45</v>
      </c>
      <c r="E417" s="173" t="s">
        <v>355</v>
      </c>
      <c r="F417" s="172" t="s">
        <v>789</v>
      </c>
      <c r="G417" s="172" t="s">
        <v>155</v>
      </c>
      <c r="H417" s="174">
        <v>80111600</v>
      </c>
      <c r="I417" s="175">
        <v>2</v>
      </c>
      <c r="J417" s="175">
        <v>8</v>
      </c>
      <c r="K417" s="176">
        <v>0</v>
      </c>
      <c r="L417" s="177">
        <v>64000000</v>
      </c>
      <c r="M417" s="172" t="s">
        <v>484</v>
      </c>
      <c r="N417" s="177" t="s">
        <v>113</v>
      </c>
      <c r="O417" s="173" t="s">
        <v>219</v>
      </c>
      <c r="P417" s="178" t="str">
        <f>IFERROR(VLOOKUP(C417,TD!$B$32:$F$36,2,0)," ")</f>
        <v>O230117</v>
      </c>
      <c r="Q417" s="178" t="str">
        <f>IFERROR(VLOOKUP(C417,TD!$B$32:$F$36,3,0)," ")</f>
        <v>4599</v>
      </c>
      <c r="R417" s="178">
        <f>IFERROR(VLOOKUP(C417,TD!$B$32:$F$36,4,0)," ")</f>
        <v>20240207</v>
      </c>
      <c r="S417" s="173" t="s">
        <v>185</v>
      </c>
      <c r="T417" s="178" t="str">
        <f>IFERROR(VLOOKUP(S417,TD!$J$33:$K$43,2,0)," ")</f>
        <v>Infraestructura física, mantenimiento y dotación (Sedes construidas, mantenidas reforzadas)</v>
      </c>
      <c r="U417" s="180" t="str">
        <f>CONCATENATE(S417,"-",T417)</f>
        <v>08-Infraestructura física, mantenimiento y dotación (Sedes construidas, mantenidas reforzadas)</v>
      </c>
      <c r="V417" s="173" t="s">
        <v>238</v>
      </c>
      <c r="W417" s="178" t="str">
        <f>IFERROR(VLOOKUP(V417,TD!$N$33:$O$45,2,0)," ")</f>
        <v>Sedes mantenidas</v>
      </c>
      <c r="X417" s="180" t="str">
        <f>CONCATENATE(V417,"_",W417)</f>
        <v>016_Sedes mantenidas</v>
      </c>
      <c r="Y417" s="180" t="str">
        <f>CONCATENATE(U417," ",X417)</f>
        <v>08-Infraestructura física, mantenimiento y dotación (Sedes construidas, mantenidas reforzadas) 016_Sedes mantenidas</v>
      </c>
      <c r="Z417" s="178" t="str">
        <f>CONCATENATE(P417,Q417,R417,S417,V417)</f>
        <v>O23011745992024020708016</v>
      </c>
      <c r="AA417" s="178" t="str">
        <f>IFERROR(VLOOKUP(Y417,TD!$K$46:$L$64,2,0)," ")</f>
        <v>PM/0131/0108/45990160207</v>
      </c>
      <c r="AB417" s="177" t="s">
        <v>138</v>
      </c>
      <c r="AC417" s="179" t="s">
        <v>204</v>
      </c>
    </row>
    <row r="418" spans="2:29" s="28" customFormat="1" ht="74.25" customHeight="1" x14ac:dyDescent="0.35">
      <c r="B418" s="170">
        <v>20250564</v>
      </c>
      <c r="C418" s="171" t="s">
        <v>208</v>
      </c>
      <c r="D418" s="172" t="s">
        <v>45</v>
      </c>
      <c r="E418" s="173" t="s">
        <v>355</v>
      </c>
      <c r="F418" s="172" t="s">
        <v>790</v>
      </c>
      <c r="G418" s="172" t="s">
        <v>155</v>
      </c>
      <c r="H418" s="174">
        <v>80111600</v>
      </c>
      <c r="I418" s="175">
        <v>2</v>
      </c>
      <c r="J418" s="175">
        <v>8</v>
      </c>
      <c r="K418" s="176">
        <v>0</v>
      </c>
      <c r="L418" s="177">
        <v>72000000</v>
      </c>
      <c r="M418" s="172" t="s">
        <v>484</v>
      </c>
      <c r="N418" s="177" t="s">
        <v>113</v>
      </c>
      <c r="O418" s="173" t="s">
        <v>219</v>
      </c>
      <c r="P418" s="178" t="str">
        <f>IFERROR(VLOOKUP(C418,TD!$B$32:$F$36,2,0)," ")</f>
        <v>O230117</v>
      </c>
      <c r="Q418" s="178" t="str">
        <f>IFERROR(VLOOKUP(C418,TD!$B$32:$F$36,3,0)," ")</f>
        <v>4599</v>
      </c>
      <c r="R418" s="178">
        <f>IFERROR(VLOOKUP(C418,TD!$B$32:$F$36,4,0)," ")</f>
        <v>20240207</v>
      </c>
      <c r="S418" s="173" t="s">
        <v>185</v>
      </c>
      <c r="T418" s="178" t="str">
        <f>IFERROR(VLOOKUP(S418,TD!$J$33:$K$43,2,0)," ")</f>
        <v>Infraestructura física, mantenimiento y dotación (Sedes construidas, mantenidas reforzadas)</v>
      </c>
      <c r="U418" s="180" t="str">
        <f>CONCATENATE(S418,"-",T418)</f>
        <v>08-Infraestructura física, mantenimiento y dotación (Sedes construidas, mantenidas reforzadas)</v>
      </c>
      <c r="V418" s="173" t="s">
        <v>238</v>
      </c>
      <c r="W418" s="178" t="str">
        <f>IFERROR(VLOOKUP(V418,TD!$N$33:$O$45,2,0)," ")</f>
        <v>Sedes mantenidas</v>
      </c>
      <c r="X418" s="180" t="str">
        <f>CONCATENATE(V418,"_",W418)</f>
        <v>016_Sedes mantenidas</v>
      </c>
      <c r="Y418" s="180" t="str">
        <f>CONCATENATE(U418," ",X418)</f>
        <v>08-Infraestructura física, mantenimiento y dotación (Sedes construidas, mantenidas reforzadas) 016_Sedes mantenidas</v>
      </c>
      <c r="Z418" s="178" t="str">
        <f>CONCATENATE(P418,Q418,R418,S418,V418)</f>
        <v>O23011745992024020708016</v>
      </c>
      <c r="AA418" s="178" t="str">
        <f>IFERROR(VLOOKUP(Y418,TD!$K$46:$L$64,2,0)," ")</f>
        <v>PM/0131/0108/45990160207</v>
      </c>
      <c r="AB418" s="177" t="s">
        <v>138</v>
      </c>
      <c r="AC418" s="179" t="s">
        <v>204</v>
      </c>
    </row>
    <row r="419" spans="2:29" s="28" customFormat="1" ht="74.25" customHeight="1" x14ac:dyDescent="0.35">
      <c r="B419" s="170">
        <v>20250565</v>
      </c>
      <c r="C419" s="171" t="s">
        <v>208</v>
      </c>
      <c r="D419" s="172" t="s">
        <v>161</v>
      </c>
      <c r="E419" s="173" t="s">
        <v>355</v>
      </c>
      <c r="F419" s="172" t="s">
        <v>824</v>
      </c>
      <c r="G419" s="172" t="s">
        <v>156</v>
      </c>
      <c r="H419" s="174">
        <v>80111600</v>
      </c>
      <c r="I419" s="175">
        <v>2</v>
      </c>
      <c r="J419" s="175">
        <v>6</v>
      </c>
      <c r="K419" s="176">
        <v>0</v>
      </c>
      <c r="L419" s="177">
        <v>26400000</v>
      </c>
      <c r="M419" s="172" t="s">
        <v>484</v>
      </c>
      <c r="N419" s="177" t="s">
        <v>113</v>
      </c>
      <c r="O419" s="173" t="s">
        <v>220</v>
      </c>
      <c r="P419" s="178" t="str">
        <f>IFERROR(VLOOKUP(C419,TD!$B$32:$F$36,2,0)," ")</f>
        <v>O230117</v>
      </c>
      <c r="Q419" s="178" t="str">
        <f>IFERROR(VLOOKUP(C419,TD!$B$32:$F$36,3,0)," ")</f>
        <v>4599</v>
      </c>
      <c r="R419" s="178">
        <f>IFERROR(VLOOKUP(C419,TD!$B$32:$F$36,4,0)," ")</f>
        <v>20240207</v>
      </c>
      <c r="S419" s="173" t="s">
        <v>193</v>
      </c>
      <c r="T419" s="178" t="str">
        <f>IFERROR(VLOOKUP(S419,TD!$J$33:$K$43,2,0)," ")</f>
        <v>Servicios para la planeación y sistemas de gestión y comunicación estratégica</v>
      </c>
      <c r="U419" s="180" t="str">
        <f>CONCATENATE(S419,"-",T419)</f>
        <v>13-Servicios para la planeación y sistemas de gestión y comunicación estratégica</v>
      </c>
      <c r="V419" s="173" t="s">
        <v>242</v>
      </c>
      <c r="W419" s="178" t="str">
        <f>IFERROR(VLOOKUP(V419,TD!$N$33:$O$45,2,0)," ")</f>
        <v>Documentos de planeación</v>
      </c>
      <c r="X419" s="180" t="str">
        <f>CONCATENATE(V419,"_",W419)</f>
        <v>019_Documentos de planeación</v>
      </c>
      <c r="Y419" s="180" t="str">
        <f>CONCATENATE(U419," ",X419)</f>
        <v>13-Servicios para la planeación y sistemas de gestión y comunicación estratégica 019_Documentos de planeación</v>
      </c>
      <c r="Z419" s="178" t="str">
        <f>CONCATENATE(P419,Q419,R419,S419,V419)</f>
        <v>O23011745992024020713019</v>
      </c>
      <c r="AA419" s="178" t="str">
        <f>IFERROR(VLOOKUP(Y419,TD!$K$46:$L$64,2,0)," ")</f>
        <v>PM/0131/0113/45990190207</v>
      </c>
      <c r="AB419" s="177" t="s">
        <v>138</v>
      </c>
      <c r="AC419" s="179" t="s">
        <v>204</v>
      </c>
    </row>
    <row r="420" spans="2:29" s="28" customFormat="1" ht="74.25" customHeight="1" x14ac:dyDescent="0.35">
      <c r="B420" s="170">
        <v>20250566</v>
      </c>
      <c r="C420" s="171" t="s">
        <v>208</v>
      </c>
      <c r="D420" s="172" t="s">
        <v>161</v>
      </c>
      <c r="E420" s="173" t="s">
        <v>355</v>
      </c>
      <c r="F420" s="172" t="s">
        <v>791</v>
      </c>
      <c r="G420" s="172" t="s">
        <v>155</v>
      </c>
      <c r="H420" s="174">
        <v>80111600</v>
      </c>
      <c r="I420" s="175">
        <v>2</v>
      </c>
      <c r="J420" s="175">
        <v>3</v>
      </c>
      <c r="K420" s="176">
        <v>0</v>
      </c>
      <c r="L420" s="177">
        <v>27000000</v>
      </c>
      <c r="M420" s="172" t="s">
        <v>484</v>
      </c>
      <c r="N420" s="177" t="s">
        <v>113</v>
      </c>
      <c r="O420" s="173" t="s">
        <v>220</v>
      </c>
      <c r="P420" s="178" t="str">
        <f>IFERROR(VLOOKUP(C420,TD!$B$32:$F$36,2,0)," ")</f>
        <v>O230117</v>
      </c>
      <c r="Q420" s="178" t="str">
        <f>IFERROR(VLOOKUP(C420,TD!$B$32:$F$36,3,0)," ")</f>
        <v>4599</v>
      </c>
      <c r="R420" s="178">
        <f>IFERROR(VLOOKUP(C420,TD!$B$32:$F$36,4,0)," ")</f>
        <v>20240207</v>
      </c>
      <c r="S420" s="173" t="s">
        <v>193</v>
      </c>
      <c r="T420" s="178" t="str">
        <f>IFERROR(VLOOKUP(S420,TD!$J$33:$K$43,2,0)," ")</f>
        <v>Servicios para la planeación y sistemas de gestión y comunicación estratégica</v>
      </c>
      <c r="U420" s="180" t="str">
        <f>CONCATENATE(S420,"-",T420)</f>
        <v>13-Servicios para la planeación y sistemas de gestión y comunicación estratégica</v>
      </c>
      <c r="V420" s="173" t="s">
        <v>242</v>
      </c>
      <c r="W420" s="178" t="str">
        <f>IFERROR(VLOOKUP(V420,TD!$N$33:$O$45,2,0)," ")</f>
        <v>Documentos de planeación</v>
      </c>
      <c r="X420" s="180" t="str">
        <f>CONCATENATE(V420,"_",W420)</f>
        <v>019_Documentos de planeación</v>
      </c>
      <c r="Y420" s="180" t="str">
        <f>CONCATENATE(U420," ",X420)</f>
        <v>13-Servicios para la planeación y sistemas de gestión y comunicación estratégica 019_Documentos de planeación</v>
      </c>
      <c r="Z420" s="178" t="str">
        <f>CONCATENATE(P420,Q420,R420,S420,V420)</f>
        <v>O23011745992024020713019</v>
      </c>
      <c r="AA420" s="178" t="str">
        <f>IFERROR(VLOOKUP(Y420,TD!$K$46:$L$64,2,0)," ")</f>
        <v>PM/0131/0113/45990190207</v>
      </c>
      <c r="AB420" s="177" t="s">
        <v>138</v>
      </c>
      <c r="AC420" s="179" t="s">
        <v>204</v>
      </c>
    </row>
    <row r="421" spans="2:29" s="28" customFormat="1" ht="74.25" customHeight="1" x14ac:dyDescent="0.35">
      <c r="B421" s="170">
        <v>20250567</v>
      </c>
      <c r="C421" s="171" t="s">
        <v>208</v>
      </c>
      <c r="D421" s="172" t="s">
        <v>45</v>
      </c>
      <c r="E421" s="173" t="s">
        <v>355</v>
      </c>
      <c r="F421" s="172" t="s">
        <v>792</v>
      </c>
      <c r="G421" s="172" t="s">
        <v>155</v>
      </c>
      <c r="H421" s="174">
        <v>80111600</v>
      </c>
      <c r="I421" s="175">
        <v>2</v>
      </c>
      <c r="J421" s="175">
        <v>8</v>
      </c>
      <c r="K421" s="176">
        <v>0</v>
      </c>
      <c r="L421" s="177">
        <v>64000000</v>
      </c>
      <c r="M421" s="172" t="s">
        <v>484</v>
      </c>
      <c r="N421" s="177" t="s">
        <v>113</v>
      </c>
      <c r="O421" s="173" t="s">
        <v>219</v>
      </c>
      <c r="P421" s="178" t="str">
        <f>IFERROR(VLOOKUP(C421,TD!$B$32:$F$36,2,0)," ")</f>
        <v>O230117</v>
      </c>
      <c r="Q421" s="178" t="str">
        <f>IFERROR(VLOOKUP(C421,TD!$B$32:$F$36,3,0)," ")</f>
        <v>4599</v>
      </c>
      <c r="R421" s="178">
        <f>IFERROR(VLOOKUP(C421,TD!$B$32:$F$36,4,0)," ")</f>
        <v>20240207</v>
      </c>
      <c r="S421" s="173" t="s">
        <v>185</v>
      </c>
      <c r="T421" s="178" t="str">
        <f>IFERROR(VLOOKUP(S421,TD!$J$33:$K$43,2,0)," ")</f>
        <v>Infraestructura física, mantenimiento y dotación (Sedes construidas, mantenidas reforzadas)</v>
      </c>
      <c r="U421" s="180" t="str">
        <f>CONCATENATE(S421,"-",T421)</f>
        <v>08-Infraestructura física, mantenimiento y dotación (Sedes construidas, mantenidas reforzadas)</v>
      </c>
      <c r="V421" s="173" t="s">
        <v>238</v>
      </c>
      <c r="W421" s="178" t="str">
        <f>IFERROR(VLOOKUP(V421,TD!$N$33:$O$45,2,0)," ")</f>
        <v>Sedes mantenidas</v>
      </c>
      <c r="X421" s="180" t="str">
        <f>CONCATENATE(V421,"_",W421)</f>
        <v>016_Sedes mantenidas</v>
      </c>
      <c r="Y421" s="180" t="str">
        <f>CONCATENATE(U421," ",X421)</f>
        <v>08-Infraestructura física, mantenimiento y dotación (Sedes construidas, mantenidas reforzadas) 016_Sedes mantenidas</v>
      </c>
      <c r="Z421" s="178" t="str">
        <f>CONCATENATE(P421,Q421,R421,S421,V421)</f>
        <v>O23011745992024020708016</v>
      </c>
      <c r="AA421" s="178" t="str">
        <f>IFERROR(VLOOKUP(Y421,TD!$K$46:$L$64,2,0)," ")</f>
        <v>PM/0131/0108/45990160207</v>
      </c>
      <c r="AB421" s="177" t="s">
        <v>138</v>
      </c>
      <c r="AC421" s="179" t="s">
        <v>204</v>
      </c>
    </row>
    <row r="422" spans="2:29" s="28" customFormat="1" ht="74.25" customHeight="1" x14ac:dyDescent="0.35">
      <c r="B422" s="170">
        <v>20250568</v>
      </c>
      <c r="C422" s="171" t="s">
        <v>208</v>
      </c>
      <c r="D422" s="172" t="s">
        <v>161</v>
      </c>
      <c r="E422" s="173" t="s">
        <v>355</v>
      </c>
      <c r="F422" s="172" t="s">
        <v>793</v>
      </c>
      <c r="G422" s="172" t="s">
        <v>155</v>
      </c>
      <c r="H422" s="174">
        <v>80111600</v>
      </c>
      <c r="I422" s="175">
        <v>2</v>
      </c>
      <c r="J422" s="175">
        <v>11</v>
      </c>
      <c r="K422" s="176">
        <v>0</v>
      </c>
      <c r="L422" s="177">
        <v>91800000</v>
      </c>
      <c r="M422" s="172" t="s">
        <v>484</v>
      </c>
      <c r="N422" s="177" t="s">
        <v>113</v>
      </c>
      <c r="O422" s="173" t="s">
        <v>220</v>
      </c>
      <c r="P422" s="178" t="str">
        <f>IFERROR(VLOOKUP(C422,TD!$B$32:$F$36,2,0)," ")</f>
        <v>O230117</v>
      </c>
      <c r="Q422" s="178" t="str">
        <f>IFERROR(VLOOKUP(C422,TD!$B$32:$F$36,3,0)," ")</f>
        <v>4599</v>
      </c>
      <c r="R422" s="178">
        <f>IFERROR(VLOOKUP(C422,TD!$B$32:$F$36,4,0)," ")</f>
        <v>20240207</v>
      </c>
      <c r="S422" s="173" t="s">
        <v>193</v>
      </c>
      <c r="T422" s="178" t="str">
        <f>IFERROR(VLOOKUP(S422,TD!$J$33:$K$43,2,0)," ")</f>
        <v>Servicios para la planeación y sistemas de gestión y comunicación estratégica</v>
      </c>
      <c r="U422" s="180" t="str">
        <f>CONCATENATE(S422,"-",T422)</f>
        <v>13-Servicios para la planeación y sistemas de gestión y comunicación estratégica</v>
      </c>
      <c r="V422" s="173" t="s">
        <v>242</v>
      </c>
      <c r="W422" s="178" t="str">
        <f>IFERROR(VLOOKUP(V422,TD!$N$33:$O$45,2,0)," ")</f>
        <v>Documentos de planeación</v>
      </c>
      <c r="X422" s="180" t="str">
        <f>CONCATENATE(V422,"_",W422)</f>
        <v>019_Documentos de planeación</v>
      </c>
      <c r="Y422" s="180" t="str">
        <f>CONCATENATE(U422," ",X422)</f>
        <v>13-Servicios para la planeación y sistemas de gestión y comunicación estratégica 019_Documentos de planeación</v>
      </c>
      <c r="Z422" s="178" t="str">
        <f>CONCATENATE(P422,Q422,R422,S422,V422)</f>
        <v>O23011745992024020713019</v>
      </c>
      <c r="AA422" s="178" t="str">
        <f>IFERROR(VLOOKUP(Y422,TD!$K$46:$L$64,2,0)," ")</f>
        <v>PM/0131/0113/45990190207</v>
      </c>
      <c r="AB422" s="177" t="s">
        <v>138</v>
      </c>
      <c r="AC422" s="179" t="s">
        <v>204</v>
      </c>
    </row>
    <row r="423" spans="2:29" s="28" customFormat="1" ht="74.25" customHeight="1" x14ac:dyDescent="0.35">
      <c r="B423" s="170">
        <v>20250569</v>
      </c>
      <c r="C423" s="171" t="s">
        <v>209</v>
      </c>
      <c r="D423" s="172" t="s">
        <v>165</v>
      </c>
      <c r="E423" s="173" t="s">
        <v>510</v>
      </c>
      <c r="F423" s="172" t="s">
        <v>801</v>
      </c>
      <c r="G423" s="172" t="s">
        <v>155</v>
      </c>
      <c r="H423" s="174">
        <v>80111600</v>
      </c>
      <c r="I423" s="175">
        <v>2</v>
      </c>
      <c r="J423" s="175">
        <v>8</v>
      </c>
      <c r="K423" s="176">
        <v>15</v>
      </c>
      <c r="L423" s="177">
        <v>51272000</v>
      </c>
      <c r="M423" s="172" t="s">
        <v>484</v>
      </c>
      <c r="N423" s="177" t="s">
        <v>113</v>
      </c>
      <c r="O423" s="173" t="s">
        <v>229</v>
      </c>
      <c r="P423" s="178" t="str">
        <f>IFERROR(VLOOKUP(C423,TD!$B$32:$F$36,2,0)," ")</f>
        <v>O230117</v>
      </c>
      <c r="Q423" s="178" t="str">
        <f>IFERROR(VLOOKUP(C423,TD!$B$32:$F$36,3,0)," ")</f>
        <v>4503</v>
      </c>
      <c r="R423" s="178">
        <f>IFERROR(VLOOKUP(C423,TD!$B$32:$F$36,4,0)," ")</f>
        <v>20240255</v>
      </c>
      <c r="S423" s="173" t="s">
        <v>183</v>
      </c>
      <c r="T423" s="178" t="str">
        <f>IFERROR(VLOOKUP(S423,TD!$J$33:$K$43,2,0)," ")</f>
        <v>Servicio de formación en gestión del riesgo de incendios para el personal UAECOB</v>
      </c>
      <c r="U423" s="189" t="str">
        <f>CONCATENATE(S423,"-",T423)</f>
        <v>07-Servicio de formación en gestión del riesgo de incendios para el personal UAECOB</v>
      </c>
      <c r="V423" s="173" t="s">
        <v>233</v>
      </c>
      <c r="W423" s="178" t="str">
        <f>IFERROR(VLOOKUP(V423,TD!$N$33:$O$45,2,0)," ")</f>
        <v>Servicio de educación informal</v>
      </c>
      <c r="X423" s="189" t="str">
        <f>CONCATENATE(V423,"_",W423)</f>
        <v>002_Servicio de educación informal</v>
      </c>
      <c r="Y423" s="189" t="str">
        <f>CONCATENATE(U423," ",X423)</f>
        <v>07-Servicio de formación en gestión del riesgo de incendios para el personal UAECOB 002_Servicio de educación informal</v>
      </c>
      <c r="Z423" s="178" t="str">
        <f>CONCATENATE(P423,Q423,R423,S423,V423)</f>
        <v>O23011745032024025507002</v>
      </c>
      <c r="AA423" s="178" t="str">
        <f>IFERROR(VLOOKUP(Y423,TD!$K$46:$L$64,2,0)," ")</f>
        <v>PM/0131/0107/45030020255</v>
      </c>
      <c r="AB423" s="188" t="s">
        <v>138</v>
      </c>
      <c r="AC423" s="179" t="s">
        <v>204</v>
      </c>
    </row>
    <row r="424" spans="2:29" s="28" customFormat="1" ht="74.25" customHeight="1" x14ac:dyDescent="0.35">
      <c r="B424" s="170">
        <f>B423+1</f>
        <v>20250570</v>
      </c>
      <c r="C424" s="171" t="s">
        <v>209</v>
      </c>
      <c r="D424" s="172" t="s">
        <v>165</v>
      </c>
      <c r="E424" s="173" t="s">
        <v>510</v>
      </c>
      <c r="F424" s="172" t="s">
        <v>802</v>
      </c>
      <c r="G424" s="172" t="s">
        <v>156</v>
      </c>
      <c r="H424" s="174">
        <v>80111600</v>
      </c>
      <c r="I424" s="175">
        <v>2</v>
      </c>
      <c r="J424" s="175">
        <v>10</v>
      </c>
      <c r="K424" s="176">
        <v>0</v>
      </c>
      <c r="L424" s="177">
        <v>22118946</v>
      </c>
      <c r="M424" s="172" t="s">
        <v>484</v>
      </c>
      <c r="N424" s="177" t="s">
        <v>113</v>
      </c>
      <c r="O424" s="173" t="s">
        <v>229</v>
      </c>
      <c r="P424" s="178" t="str">
        <f>IFERROR(VLOOKUP(C424,TD!$B$32:$F$36,2,0)," ")</f>
        <v>O230117</v>
      </c>
      <c r="Q424" s="178" t="str">
        <f>IFERROR(VLOOKUP(C424,TD!$B$32:$F$36,3,0)," ")</f>
        <v>4503</v>
      </c>
      <c r="R424" s="178">
        <f>IFERROR(VLOOKUP(C424,TD!$B$32:$F$36,4,0)," ")</f>
        <v>20240255</v>
      </c>
      <c r="S424" s="173" t="s">
        <v>183</v>
      </c>
      <c r="T424" s="178" t="str">
        <f>IFERROR(VLOOKUP(S424,TD!$J$33:$K$43,2,0)," ")</f>
        <v>Servicio de formación en gestión del riesgo de incendios para el personal UAECOB</v>
      </c>
      <c r="U424" s="189" t="str">
        <f>CONCATENATE(S424,"-",T424)</f>
        <v>07-Servicio de formación en gestión del riesgo de incendios para el personal UAECOB</v>
      </c>
      <c r="V424" s="173" t="s">
        <v>233</v>
      </c>
      <c r="W424" s="178" t="str">
        <f>IFERROR(VLOOKUP(V424,TD!$N$33:$O$45,2,0)," ")</f>
        <v>Servicio de educación informal</v>
      </c>
      <c r="X424" s="189" t="str">
        <f>CONCATENATE(V424,"_",W424)</f>
        <v>002_Servicio de educación informal</v>
      </c>
      <c r="Y424" s="189" t="str">
        <f>CONCATENATE(U424," ",X424)</f>
        <v>07-Servicio de formación en gestión del riesgo de incendios para el personal UAECOB 002_Servicio de educación informal</v>
      </c>
      <c r="Z424" s="178" t="str">
        <f>CONCATENATE(P424,Q424,R424,S424,V424)</f>
        <v>O23011745032024025507002</v>
      </c>
      <c r="AA424" s="178" t="str">
        <f>IFERROR(VLOOKUP(Y424,TD!$K$46:$L$64,2,0)," ")</f>
        <v>PM/0131/0107/45030020255</v>
      </c>
      <c r="AB424" s="188" t="s">
        <v>138</v>
      </c>
      <c r="AC424" s="179" t="s">
        <v>204</v>
      </c>
    </row>
    <row r="425" spans="2:29" s="28" customFormat="1" ht="74.25" customHeight="1" x14ac:dyDescent="0.35">
      <c r="B425" s="170">
        <f>B424+1</f>
        <v>20250571</v>
      </c>
      <c r="C425" s="171" t="s">
        <v>209</v>
      </c>
      <c r="D425" s="172" t="s">
        <v>165</v>
      </c>
      <c r="E425" s="173" t="s">
        <v>510</v>
      </c>
      <c r="F425" s="172" t="s">
        <v>803</v>
      </c>
      <c r="G425" s="172" t="s">
        <v>155</v>
      </c>
      <c r="H425" s="174">
        <v>80111600</v>
      </c>
      <c r="I425" s="175">
        <v>2</v>
      </c>
      <c r="J425" s="175">
        <v>11</v>
      </c>
      <c r="K425" s="176">
        <v>0</v>
      </c>
      <c r="L425" s="177">
        <v>49500000</v>
      </c>
      <c r="M425" s="172" t="s">
        <v>484</v>
      </c>
      <c r="N425" s="177" t="s">
        <v>113</v>
      </c>
      <c r="O425" s="173" t="s">
        <v>229</v>
      </c>
      <c r="P425" s="178" t="str">
        <f>IFERROR(VLOOKUP(C425,TD!$B$32:$F$36,2,0)," ")</f>
        <v>O230117</v>
      </c>
      <c r="Q425" s="178" t="str">
        <f>IFERROR(VLOOKUP(C425,TD!$B$32:$F$36,3,0)," ")</f>
        <v>4503</v>
      </c>
      <c r="R425" s="178">
        <f>IFERROR(VLOOKUP(C425,TD!$B$32:$F$36,4,0)," ")</f>
        <v>20240255</v>
      </c>
      <c r="S425" s="173" t="s">
        <v>183</v>
      </c>
      <c r="T425" s="178" t="str">
        <f>IFERROR(VLOOKUP(S425,TD!$J$33:$K$43,2,0)," ")</f>
        <v>Servicio de formación en gestión del riesgo de incendios para el personal UAECOB</v>
      </c>
      <c r="U425" s="189" t="str">
        <f>CONCATENATE(S425,"-",T425)</f>
        <v>07-Servicio de formación en gestión del riesgo de incendios para el personal UAECOB</v>
      </c>
      <c r="V425" s="173" t="s">
        <v>233</v>
      </c>
      <c r="W425" s="178" t="str">
        <f>IFERROR(VLOOKUP(V425,TD!$N$33:$O$45,2,0)," ")</f>
        <v>Servicio de educación informal</v>
      </c>
      <c r="X425" s="189" t="str">
        <f>CONCATENATE(V425,"_",W425)</f>
        <v>002_Servicio de educación informal</v>
      </c>
      <c r="Y425" s="189" t="str">
        <f>CONCATENATE(U425," ",X425)</f>
        <v>07-Servicio de formación en gestión del riesgo de incendios para el personal UAECOB 002_Servicio de educación informal</v>
      </c>
      <c r="Z425" s="178" t="str">
        <f>CONCATENATE(P425,Q425,R425,S425,V425)</f>
        <v>O23011745032024025507002</v>
      </c>
      <c r="AA425" s="178" t="str">
        <f>IFERROR(VLOOKUP(Y425,TD!$K$46:$L$64,2,0)," ")</f>
        <v>PM/0131/0107/45030020255</v>
      </c>
      <c r="AB425" s="188" t="s">
        <v>138</v>
      </c>
      <c r="AC425" s="179" t="s">
        <v>204</v>
      </c>
    </row>
    <row r="426" spans="2:29" s="28" customFormat="1" ht="74.25" customHeight="1" x14ac:dyDescent="0.35">
      <c r="B426" s="170">
        <f>B425+1</f>
        <v>20250572</v>
      </c>
      <c r="C426" s="171" t="s">
        <v>209</v>
      </c>
      <c r="D426" s="172" t="s">
        <v>165</v>
      </c>
      <c r="E426" s="173" t="s">
        <v>510</v>
      </c>
      <c r="F426" s="172" t="s">
        <v>395</v>
      </c>
      <c r="G426" s="172" t="s">
        <v>155</v>
      </c>
      <c r="H426" s="174">
        <v>80111600</v>
      </c>
      <c r="I426" s="175">
        <v>2</v>
      </c>
      <c r="J426" s="175">
        <v>11</v>
      </c>
      <c r="K426" s="176">
        <v>0</v>
      </c>
      <c r="L426" s="177">
        <v>48828675</v>
      </c>
      <c r="M426" s="172" t="s">
        <v>484</v>
      </c>
      <c r="N426" s="177" t="s">
        <v>113</v>
      </c>
      <c r="O426" s="173" t="s">
        <v>229</v>
      </c>
      <c r="P426" s="178" t="str">
        <f>IFERROR(VLOOKUP(C426,TD!$B$32:$F$36,2,0)," ")</f>
        <v>O230117</v>
      </c>
      <c r="Q426" s="178" t="str">
        <f>IFERROR(VLOOKUP(C426,TD!$B$32:$F$36,3,0)," ")</f>
        <v>4503</v>
      </c>
      <c r="R426" s="178">
        <f>IFERROR(VLOOKUP(C426,TD!$B$32:$F$36,4,0)," ")</f>
        <v>20240255</v>
      </c>
      <c r="S426" s="173" t="s">
        <v>183</v>
      </c>
      <c r="T426" s="178" t="str">
        <f>IFERROR(VLOOKUP(S426,TD!$J$33:$K$43,2,0)," ")</f>
        <v>Servicio de formación en gestión del riesgo de incendios para el personal UAECOB</v>
      </c>
      <c r="U426" s="189" t="str">
        <f>CONCATENATE(S426,"-",T426)</f>
        <v>07-Servicio de formación en gestión del riesgo de incendios para el personal UAECOB</v>
      </c>
      <c r="V426" s="173" t="s">
        <v>233</v>
      </c>
      <c r="W426" s="178" t="str">
        <f>IFERROR(VLOOKUP(V426,TD!$N$33:$O$45,2,0)," ")</f>
        <v>Servicio de educación informal</v>
      </c>
      <c r="X426" s="189" t="str">
        <f>CONCATENATE(V426,"_",W426)</f>
        <v>002_Servicio de educación informal</v>
      </c>
      <c r="Y426" s="189" t="str">
        <f>CONCATENATE(U426," ",X426)</f>
        <v>07-Servicio de formación en gestión del riesgo de incendios para el personal UAECOB 002_Servicio de educación informal</v>
      </c>
      <c r="Z426" s="178" t="str">
        <f>CONCATENATE(P426,Q426,R426,S426,V426)</f>
        <v>O23011745032024025507002</v>
      </c>
      <c r="AA426" s="178" t="str">
        <f>IFERROR(VLOOKUP(Y426,TD!$K$46:$L$64,2,0)," ")</f>
        <v>PM/0131/0107/45030020255</v>
      </c>
      <c r="AB426" s="188" t="s">
        <v>138</v>
      </c>
      <c r="AC426" s="179" t="s">
        <v>204</v>
      </c>
    </row>
    <row r="427" spans="2:29" s="28" customFormat="1" ht="74.25" customHeight="1" x14ac:dyDescent="0.35">
      <c r="B427" s="170">
        <f>B426+1</f>
        <v>20250573</v>
      </c>
      <c r="C427" s="171" t="s">
        <v>209</v>
      </c>
      <c r="D427" s="172" t="s">
        <v>165</v>
      </c>
      <c r="E427" s="173" t="s">
        <v>510</v>
      </c>
      <c r="F427" s="172" t="s">
        <v>804</v>
      </c>
      <c r="G427" s="172" t="s">
        <v>155</v>
      </c>
      <c r="H427" s="174">
        <v>80111600</v>
      </c>
      <c r="I427" s="175">
        <v>2</v>
      </c>
      <c r="J427" s="175">
        <v>11</v>
      </c>
      <c r="K427" s="176">
        <v>0</v>
      </c>
      <c r="L427" s="177">
        <v>56230900</v>
      </c>
      <c r="M427" s="172" t="s">
        <v>484</v>
      </c>
      <c r="N427" s="177" t="s">
        <v>113</v>
      </c>
      <c r="O427" s="173" t="s">
        <v>229</v>
      </c>
      <c r="P427" s="178" t="str">
        <f>IFERROR(VLOOKUP(C427,TD!$B$32:$F$36,2,0)," ")</f>
        <v>O230117</v>
      </c>
      <c r="Q427" s="178" t="str">
        <f>IFERROR(VLOOKUP(C427,TD!$B$32:$F$36,3,0)," ")</f>
        <v>4503</v>
      </c>
      <c r="R427" s="178">
        <f>IFERROR(VLOOKUP(C427,TD!$B$32:$F$36,4,0)," ")</f>
        <v>20240255</v>
      </c>
      <c r="S427" s="173" t="s">
        <v>183</v>
      </c>
      <c r="T427" s="178" t="str">
        <f>IFERROR(VLOOKUP(S427,TD!$J$33:$K$43,2,0)," ")</f>
        <v>Servicio de formación en gestión del riesgo de incendios para el personal UAECOB</v>
      </c>
      <c r="U427" s="189" t="str">
        <f>CONCATENATE(S427,"-",T427)</f>
        <v>07-Servicio de formación en gestión del riesgo de incendios para el personal UAECOB</v>
      </c>
      <c r="V427" s="173" t="s">
        <v>233</v>
      </c>
      <c r="W427" s="178" t="str">
        <f>IFERROR(VLOOKUP(V427,TD!$N$33:$O$45,2,0)," ")</f>
        <v>Servicio de educación informal</v>
      </c>
      <c r="X427" s="189" t="str">
        <f>CONCATENATE(V427,"_",W427)</f>
        <v>002_Servicio de educación informal</v>
      </c>
      <c r="Y427" s="189" t="str">
        <f>CONCATENATE(U427," ",X427)</f>
        <v>07-Servicio de formación en gestión del riesgo de incendios para el personal UAECOB 002_Servicio de educación informal</v>
      </c>
      <c r="Z427" s="178" t="str">
        <f>CONCATENATE(P427,Q427,R427,S427,V427)</f>
        <v>O23011745032024025507002</v>
      </c>
      <c r="AA427" s="178" t="str">
        <f>IFERROR(VLOOKUP(Y427,TD!$K$46:$L$64,2,0)," ")</f>
        <v>PM/0131/0107/45030020255</v>
      </c>
      <c r="AB427" s="188" t="s">
        <v>138</v>
      </c>
      <c r="AC427" s="179" t="s">
        <v>204</v>
      </c>
    </row>
    <row r="428" spans="2:29" s="28" customFormat="1" ht="74.25" customHeight="1" x14ac:dyDescent="0.35">
      <c r="B428" s="170">
        <f>B427+1</f>
        <v>20250574</v>
      </c>
      <c r="C428" s="171" t="s">
        <v>209</v>
      </c>
      <c r="D428" s="172" t="s">
        <v>165</v>
      </c>
      <c r="E428" s="173" t="s">
        <v>510</v>
      </c>
      <c r="F428" s="172" t="s">
        <v>805</v>
      </c>
      <c r="G428" s="172" t="s">
        <v>155</v>
      </c>
      <c r="H428" s="193">
        <v>80111600</v>
      </c>
      <c r="I428" s="193">
        <v>2</v>
      </c>
      <c r="J428" s="193">
        <v>11</v>
      </c>
      <c r="K428" s="176">
        <v>0</v>
      </c>
      <c r="L428" s="177">
        <v>56230900</v>
      </c>
      <c r="M428" s="172" t="s">
        <v>484</v>
      </c>
      <c r="N428" s="177" t="s">
        <v>113</v>
      </c>
      <c r="O428" s="173" t="s">
        <v>229</v>
      </c>
      <c r="P428" s="178" t="str">
        <f>IFERROR(VLOOKUP(C428,TD!$B$32:$F$36,2,0)," ")</f>
        <v>O230117</v>
      </c>
      <c r="Q428" s="178" t="str">
        <f>IFERROR(VLOOKUP(C428,TD!$B$32:$F$36,3,0)," ")</f>
        <v>4503</v>
      </c>
      <c r="R428" s="178">
        <f>IFERROR(VLOOKUP(C428,TD!$B$32:$F$36,4,0)," ")</f>
        <v>20240255</v>
      </c>
      <c r="S428" s="173" t="s">
        <v>183</v>
      </c>
      <c r="T428" s="178" t="str">
        <f>IFERROR(VLOOKUP(S428,TD!$J$33:$K$43,2,0)," ")</f>
        <v>Servicio de formación en gestión del riesgo de incendios para el personal UAECOB</v>
      </c>
      <c r="U428" s="189" t="str">
        <f>CONCATENATE(S428,"-",T428)</f>
        <v>07-Servicio de formación en gestión del riesgo de incendios para el personal UAECOB</v>
      </c>
      <c r="V428" s="173" t="s">
        <v>233</v>
      </c>
      <c r="W428" s="178" t="str">
        <f>IFERROR(VLOOKUP(V428,TD!$N$33:$O$45,2,0)," ")</f>
        <v>Servicio de educación informal</v>
      </c>
      <c r="X428" s="189" t="str">
        <f>CONCATENATE(V428,"_",W428)</f>
        <v>002_Servicio de educación informal</v>
      </c>
      <c r="Y428" s="189" t="str">
        <f>CONCATENATE(U428," ",X428)</f>
        <v>07-Servicio de formación en gestión del riesgo de incendios para el personal UAECOB 002_Servicio de educación informal</v>
      </c>
      <c r="Z428" s="178" t="str">
        <f>CONCATENATE(P428,Q428,R428,S428,V428)</f>
        <v>O23011745032024025507002</v>
      </c>
      <c r="AA428" s="178" t="str">
        <f>IFERROR(VLOOKUP(Y428,TD!$K$46:$L$64,2,0)," ")</f>
        <v>PM/0131/0107/45030020255</v>
      </c>
      <c r="AB428" s="188" t="s">
        <v>138</v>
      </c>
      <c r="AC428" s="179" t="s">
        <v>204</v>
      </c>
    </row>
    <row r="429" spans="2:29" s="28" customFormat="1" ht="74.25" customHeight="1" x14ac:dyDescent="0.35">
      <c r="B429" s="170">
        <f>B428+1</f>
        <v>20250575</v>
      </c>
      <c r="C429" s="171" t="s">
        <v>209</v>
      </c>
      <c r="D429" s="172" t="s">
        <v>165</v>
      </c>
      <c r="E429" s="173" t="s">
        <v>510</v>
      </c>
      <c r="F429" s="172" t="s">
        <v>806</v>
      </c>
      <c r="G429" s="172" t="s">
        <v>155</v>
      </c>
      <c r="H429" s="193">
        <v>80111600</v>
      </c>
      <c r="I429" s="193">
        <v>2</v>
      </c>
      <c r="J429" s="193">
        <v>11</v>
      </c>
      <c r="K429" s="176">
        <v>0</v>
      </c>
      <c r="L429" s="177">
        <v>76500000</v>
      </c>
      <c r="M429" s="172" t="s">
        <v>484</v>
      </c>
      <c r="N429" s="177" t="s">
        <v>113</v>
      </c>
      <c r="O429" s="173" t="s">
        <v>229</v>
      </c>
      <c r="P429" s="178" t="str">
        <f>IFERROR(VLOOKUP(C429,TD!$B$32:$F$36,2,0)," ")</f>
        <v>O230117</v>
      </c>
      <c r="Q429" s="178" t="str">
        <f>IFERROR(VLOOKUP(C429,TD!$B$32:$F$36,3,0)," ")</f>
        <v>4503</v>
      </c>
      <c r="R429" s="178">
        <f>IFERROR(VLOOKUP(C429,TD!$B$32:$F$36,4,0)," ")</f>
        <v>20240255</v>
      </c>
      <c r="S429" s="173" t="s">
        <v>183</v>
      </c>
      <c r="T429" s="178" t="str">
        <f>IFERROR(VLOOKUP(S429,TD!$J$33:$K$43,2,0)," ")</f>
        <v>Servicio de formación en gestión del riesgo de incendios para el personal UAECOB</v>
      </c>
      <c r="U429" s="189" t="str">
        <f>CONCATENATE(S429,"-",T429)</f>
        <v>07-Servicio de formación en gestión del riesgo de incendios para el personal UAECOB</v>
      </c>
      <c r="V429" s="173" t="s">
        <v>233</v>
      </c>
      <c r="W429" s="178" t="str">
        <f>IFERROR(VLOOKUP(V429,TD!$N$33:$O$45,2,0)," ")</f>
        <v>Servicio de educación informal</v>
      </c>
      <c r="X429" s="189" t="str">
        <f>CONCATENATE(V429,"_",W429)</f>
        <v>002_Servicio de educación informal</v>
      </c>
      <c r="Y429" s="189" t="str">
        <f>CONCATENATE(U429," ",X429)</f>
        <v>07-Servicio de formación en gestión del riesgo de incendios para el personal UAECOB 002_Servicio de educación informal</v>
      </c>
      <c r="Z429" s="178" t="str">
        <f>CONCATENATE(P429,Q429,R429,S429,V429)</f>
        <v>O23011745032024025507002</v>
      </c>
      <c r="AA429" s="178" t="str">
        <f>IFERROR(VLOOKUP(Y429,TD!$K$46:$L$64,2,0)," ")</f>
        <v>PM/0131/0107/45030020255</v>
      </c>
      <c r="AB429" s="188" t="s">
        <v>138</v>
      </c>
      <c r="AC429" s="179" t="s">
        <v>204</v>
      </c>
    </row>
    <row r="430" spans="2:29" s="28" customFormat="1" ht="74.25" customHeight="1" x14ac:dyDescent="0.35">
      <c r="B430" s="170">
        <f>B429+1</f>
        <v>20250576</v>
      </c>
      <c r="C430" s="171" t="s">
        <v>209</v>
      </c>
      <c r="D430" s="172" t="s">
        <v>165</v>
      </c>
      <c r="E430" s="173" t="s">
        <v>510</v>
      </c>
      <c r="F430" s="172" t="s">
        <v>807</v>
      </c>
      <c r="G430" s="172" t="s">
        <v>156</v>
      </c>
      <c r="H430" s="174">
        <v>80111600</v>
      </c>
      <c r="I430" s="175">
        <v>2</v>
      </c>
      <c r="J430" s="175">
        <v>11</v>
      </c>
      <c r="K430" s="176">
        <v>0</v>
      </c>
      <c r="L430" s="177">
        <v>33178419</v>
      </c>
      <c r="M430" s="172" t="s">
        <v>484</v>
      </c>
      <c r="N430" s="177" t="s">
        <v>113</v>
      </c>
      <c r="O430" s="173" t="s">
        <v>229</v>
      </c>
      <c r="P430" s="178" t="str">
        <f>IFERROR(VLOOKUP(C430,TD!$B$32:$F$36,2,0)," ")</f>
        <v>O230117</v>
      </c>
      <c r="Q430" s="178" t="str">
        <f>IFERROR(VLOOKUP(C430,TD!$B$32:$F$36,3,0)," ")</f>
        <v>4503</v>
      </c>
      <c r="R430" s="178">
        <f>IFERROR(VLOOKUP(C430,TD!$B$32:$F$36,4,0)," ")</f>
        <v>20240255</v>
      </c>
      <c r="S430" s="173" t="s">
        <v>183</v>
      </c>
      <c r="T430" s="178" t="str">
        <f>IFERROR(VLOOKUP(S430,TD!$J$33:$K$43,2,0)," ")</f>
        <v>Servicio de formación en gestión del riesgo de incendios para el personal UAECOB</v>
      </c>
      <c r="U430" s="189" t="str">
        <f>CONCATENATE(S430,"-",T430)</f>
        <v>07-Servicio de formación en gestión del riesgo de incendios para el personal UAECOB</v>
      </c>
      <c r="V430" s="173" t="s">
        <v>233</v>
      </c>
      <c r="W430" s="178" t="str">
        <f>IFERROR(VLOOKUP(V430,TD!$N$33:$O$45,2,0)," ")</f>
        <v>Servicio de educación informal</v>
      </c>
      <c r="X430" s="189" t="str">
        <f>CONCATENATE(V430,"_",W430)</f>
        <v>002_Servicio de educación informal</v>
      </c>
      <c r="Y430" s="189" t="str">
        <f>CONCATENATE(U430," ",X430)</f>
        <v>07-Servicio de formación en gestión del riesgo de incendios para el personal UAECOB 002_Servicio de educación informal</v>
      </c>
      <c r="Z430" s="178" t="str">
        <f>CONCATENATE(P430,Q430,R430,S430,V430)</f>
        <v>O23011745032024025507002</v>
      </c>
      <c r="AA430" s="178" t="str">
        <f>IFERROR(VLOOKUP(Y430,TD!$K$46:$L$64,2,0)," ")</f>
        <v>PM/0131/0107/45030020255</v>
      </c>
      <c r="AB430" s="188" t="s">
        <v>138</v>
      </c>
      <c r="AC430" s="179" t="s">
        <v>204</v>
      </c>
    </row>
    <row r="431" spans="2:29" s="28" customFormat="1" ht="74.25" customHeight="1" x14ac:dyDescent="0.35">
      <c r="B431" s="170">
        <f>B430+1</f>
        <v>20250577</v>
      </c>
      <c r="C431" s="171" t="s">
        <v>209</v>
      </c>
      <c r="D431" s="172" t="s">
        <v>165</v>
      </c>
      <c r="E431" s="173" t="s">
        <v>510</v>
      </c>
      <c r="F431" s="172" t="s">
        <v>808</v>
      </c>
      <c r="G431" s="172" t="s">
        <v>156</v>
      </c>
      <c r="H431" s="174">
        <v>80111600</v>
      </c>
      <c r="I431" s="175">
        <v>2</v>
      </c>
      <c r="J431" s="175">
        <v>11</v>
      </c>
      <c r="K431" s="176">
        <v>0</v>
      </c>
      <c r="L431" s="177">
        <v>31014900</v>
      </c>
      <c r="M431" s="172" t="s">
        <v>484</v>
      </c>
      <c r="N431" s="177" t="s">
        <v>113</v>
      </c>
      <c r="O431" s="173" t="s">
        <v>229</v>
      </c>
      <c r="P431" s="178" t="str">
        <f>IFERROR(VLOOKUP(C431,TD!$B$32:$F$36,2,0)," ")</f>
        <v>O230117</v>
      </c>
      <c r="Q431" s="178" t="str">
        <f>IFERROR(VLOOKUP(C431,TD!$B$32:$F$36,3,0)," ")</f>
        <v>4503</v>
      </c>
      <c r="R431" s="178">
        <f>IFERROR(VLOOKUP(C431,TD!$B$32:$F$36,4,0)," ")</f>
        <v>20240255</v>
      </c>
      <c r="S431" s="173" t="s">
        <v>183</v>
      </c>
      <c r="T431" s="178" t="str">
        <f>IFERROR(VLOOKUP(S431,TD!$J$33:$K$43,2,0)," ")</f>
        <v>Servicio de formación en gestión del riesgo de incendios para el personal UAECOB</v>
      </c>
      <c r="U431" s="189" t="str">
        <f>CONCATENATE(S431,"-",T431)</f>
        <v>07-Servicio de formación en gestión del riesgo de incendios para el personal UAECOB</v>
      </c>
      <c r="V431" s="173" t="s">
        <v>233</v>
      </c>
      <c r="W431" s="178" t="str">
        <f>IFERROR(VLOOKUP(V431,TD!$N$33:$O$45,2,0)," ")</f>
        <v>Servicio de educación informal</v>
      </c>
      <c r="X431" s="189" t="str">
        <f>CONCATENATE(V431,"_",W431)</f>
        <v>002_Servicio de educación informal</v>
      </c>
      <c r="Y431" s="189" t="str">
        <f>CONCATENATE(U431," ",X431)</f>
        <v>07-Servicio de formación en gestión del riesgo de incendios para el personal UAECOB 002_Servicio de educación informal</v>
      </c>
      <c r="Z431" s="178" t="str">
        <f>CONCATENATE(P431,Q431,R431,S431,V431)</f>
        <v>O23011745032024025507002</v>
      </c>
      <c r="AA431" s="178" t="str">
        <f>IFERROR(VLOOKUP(Y431,TD!$K$46:$L$64,2,0)," ")</f>
        <v>PM/0131/0107/45030020255</v>
      </c>
      <c r="AB431" s="188" t="s">
        <v>138</v>
      </c>
      <c r="AC431" s="179" t="s">
        <v>204</v>
      </c>
    </row>
    <row r="432" spans="2:29" s="28" customFormat="1" ht="74.25" customHeight="1" x14ac:dyDescent="0.35">
      <c r="B432" s="170">
        <f>B431+1</f>
        <v>20250578</v>
      </c>
      <c r="C432" s="171" t="s">
        <v>209</v>
      </c>
      <c r="D432" s="172" t="s">
        <v>165</v>
      </c>
      <c r="E432" s="173" t="s">
        <v>510</v>
      </c>
      <c r="F432" s="172" t="s">
        <v>809</v>
      </c>
      <c r="G432" s="172" t="s">
        <v>155</v>
      </c>
      <c r="H432" s="174">
        <v>80111600</v>
      </c>
      <c r="I432" s="175">
        <v>2</v>
      </c>
      <c r="J432" s="175">
        <v>11</v>
      </c>
      <c r="K432" s="176">
        <v>0</v>
      </c>
      <c r="L432" s="177">
        <v>45000000</v>
      </c>
      <c r="M432" s="172" t="s">
        <v>484</v>
      </c>
      <c r="N432" s="177" t="s">
        <v>113</v>
      </c>
      <c r="O432" s="173" t="s">
        <v>229</v>
      </c>
      <c r="P432" s="178" t="str">
        <f>IFERROR(VLOOKUP(C432,TD!$B$32:$F$36,2,0)," ")</f>
        <v>O230117</v>
      </c>
      <c r="Q432" s="178" t="str">
        <f>IFERROR(VLOOKUP(C432,TD!$B$32:$F$36,3,0)," ")</f>
        <v>4503</v>
      </c>
      <c r="R432" s="178">
        <f>IFERROR(VLOOKUP(C432,TD!$B$32:$F$36,4,0)," ")</f>
        <v>20240255</v>
      </c>
      <c r="S432" s="173" t="s">
        <v>183</v>
      </c>
      <c r="T432" s="178" t="str">
        <f>IFERROR(VLOOKUP(S432,TD!$J$33:$K$43,2,0)," ")</f>
        <v>Servicio de formación en gestión del riesgo de incendios para el personal UAECOB</v>
      </c>
      <c r="U432" s="189" t="str">
        <f>CONCATENATE(S432,"-",T432)</f>
        <v>07-Servicio de formación en gestión del riesgo de incendios para el personal UAECOB</v>
      </c>
      <c r="V432" s="173" t="s">
        <v>233</v>
      </c>
      <c r="W432" s="178" t="str">
        <f>IFERROR(VLOOKUP(V432,TD!$N$33:$O$45,2,0)," ")</f>
        <v>Servicio de educación informal</v>
      </c>
      <c r="X432" s="189" t="str">
        <f>CONCATENATE(V432,"_",W432)</f>
        <v>002_Servicio de educación informal</v>
      </c>
      <c r="Y432" s="189" t="str">
        <f>CONCATENATE(U432," ",X432)</f>
        <v>07-Servicio de formación en gestión del riesgo de incendios para el personal UAECOB 002_Servicio de educación informal</v>
      </c>
      <c r="Z432" s="178" t="str">
        <f>CONCATENATE(P432,Q432,R432,S432,V432)</f>
        <v>O23011745032024025507002</v>
      </c>
      <c r="AA432" s="178" t="str">
        <f>IFERROR(VLOOKUP(Y432,TD!$K$46:$L$64,2,0)," ")</f>
        <v>PM/0131/0107/45030020255</v>
      </c>
      <c r="AB432" s="188" t="s">
        <v>138</v>
      </c>
      <c r="AC432" s="179" t="s">
        <v>204</v>
      </c>
    </row>
    <row r="433" spans="2:29" s="28" customFormat="1" ht="74.25" customHeight="1" x14ac:dyDescent="0.35">
      <c r="B433" s="170">
        <f>B432+1</f>
        <v>20250579</v>
      </c>
      <c r="C433" s="171" t="s">
        <v>209</v>
      </c>
      <c r="D433" s="172" t="s">
        <v>165</v>
      </c>
      <c r="E433" s="173" t="s">
        <v>510</v>
      </c>
      <c r="F433" s="172" t="s">
        <v>810</v>
      </c>
      <c r="G433" s="172" t="s">
        <v>155</v>
      </c>
      <c r="H433" s="174">
        <v>80111600</v>
      </c>
      <c r="I433" s="175">
        <v>2</v>
      </c>
      <c r="J433" s="175">
        <v>11</v>
      </c>
      <c r="K433" s="176">
        <v>0</v>
      </c>
      <c r="L433" s="177">
        <v>88065000</v>
      </c>
      <c r="M433" s="172" t="s">
        <v>484</v>
      </c>
      <c r="N433" s="177" t="s">
        <v>113</v>
      </c>
      <c r="O433" s="173" t="s">
        <v>229</v>
      </c>
      <c r="P433" s="178" t="str">
        <f>IFERROR(VLOOKUP(C433,TD!$B$32:$F$36,2,0)," ")</f>
        <v>O230117</v>
      </c>
      <c r="Q433" s="178" t="str">
        <f>IFERROR(VLOOKUP(C433,TD!$B$32:$F$36,3,0)," ")</f>
        <v>4503</v>
      </c>
      <c r="R433" s="178">
        <f>IFERROR(VLOOKUP(C433,TD!$B$32:$F$36,4,0)," ")</f>
        <v>20240255</v>
      </c>
      <c r="S433" s="173" t="s">
        <v>183</v>
      </c>
      <c r="T433" s="178" t="str">
        <f>IFERROR(VLOOKUP(S433,TD!$J$33:$K$43,2,0)," ")</f>
        <v>Servicio de formación en gestión del riesgo de incendios para el personal UAECOB</v>
      </c>
      <c r="U433" s="189" t="str">
        <f>CONCATENATE(S433,"-",T433)</f>
        <v>07-Servicio de formación en gestión del riesgo de incendios para el personal UAECOB</v>
      </c>
      <c r="V433" s="173" t="s">
        <v>233</v>
      </c>
      <c r="W433" s="178" t="str">
        <f>IFERROR(VLOOKUP(V433,TD!$N$33:$O$45,2,0)," ")</f>
        <v>Servicio de educación informal</v>
      </c>
      <c r="X433" s="189" t="str">
        <f>CONCATENATE(V433,"_",W433)</f>
        <v>002_Servicio de educación informal</v>
      </c>
      <c r="Y433" s="189" t="str">
        <f>CONCATENATE(U433," ",X433)</f>
        <v>07-Servicio de formación en gestión del riesgo de incendios para el personal UAECOB 002_Servicio de educación informal</v>
      </c>
      <c r="Z433" s="178" t="str">
        <f>CONCATENATE(P433,Q433,R433,S433,V433)</f>
        <v>O23011745032024025507002</v>
      </c>
      <c r="AA433" s="178" t="str">
        <f>IFERROR(VLOOKUP(Y433,TD!$K$46:$L$64,2,0)," ")</f>
        <v>PM/0131/0107/45030020255</v>
      </c>
      <c r="AB433" s="188" t="s">
        <v>120</v>
      </c>
      <c r="AC433" s="179" t="s">
        <v>204</v>
      </c>
    </row>
    <row r="434" spans="2:29" s="28" customFormat="1" ht="74.25" customHeight="1" x14ac:dyDescent="0.35">
      <c r="B434" s="170">
        <f>B433+1</f>
        <v>20250580</v>
      </c>
      <c r="C434" s="171" t="s">
        <v>209</v>
      </c>
      <c r="D434" s="172" t="s">
        <v>165</v>
      </c>
      <c r="E434" s="173" t="s">
        <v>510</v>
      </c>
      <c r="F434" s="172" t="s">
        <v>811</v>
      </c>
      <c r="G434" s="172" t="s">
        <v>155</v>
      </c>
      <c r="H434" s="174">
        <v>80111600</v>
      </c>
      <c r="I434" s="175">
        <v>2</v>
      </c>
      <c r="J434" s="175">
        <v>11</v>
      </c>
      <c r="K434" s="176">
        <v>0</v>
      </c>
      <c r="L434" s="177">
        <v>38500000</v>
      </c>
      <c r="M434" s="172" t="s">
        <v>484</v>
      </c>
      <c r="N434" s="177" t="s">
        <v>113</v>
      </c>
      <c r="O434" s="173" t="s">
        <v>229</v>
      </c>
      <c r="P434" s="178" t="str">
        <f>IFERROR(VLOOKUP(C434,TD!$B$32:$F$36,2,0)," ")</f>
        <v>O230117</v>
      </c>
      <c r="Q434" s="178" t="str">
        <f>IFERROR(VLOOKUP(C434,TD!$B$32:$F$36,3,0)," ")</f>
        <v>4503</v>
      </c>
      <c r="R434" s="178">
        <f>IFERROR(VLOOKUP(C434,TD!$B$32:$F$36,4,0)," ")</f>
        <v>20240255</v>
      </c>
      <c r="S434" s="173" t="s">
        <v>183</v>
      </c>
      <c r="T434" s="178" t="str">
        <f>IFERROR(VLOOKUP(S434,TD!$J$33:$K$43,2,0)," ")</f>
        <v>Servicio de formación en gestión del riesgo de incendios para el personal UAECOB</v>
      </c>
      <c r="U434" s="189" t="str">
        <f>CONCATENATE(S434,"-",T434)</f>
        <v>07-Servicio de formación en gestión del riesgo de incendios para el personal UAECOB</v>
      </c>
      <c r="V434" s="173" t="s">
        <v>233</v>
      </c>
      <c r="W434" s="178" t="str">
        <f>IFERROR(VLOOKUP(V434,TD!$N$33:$O$45,2,0)," ")</f>
        <v>Servicio de educación informal</v>
      </c>
      <c r="X434" s="189" t="str">
        <f>CONCATENATE(V434,"_",W434)</f>
        <v>002_Servicio de educación informal</v>
      </c>
      <c r="Y434" s="189" t="str">
        <f>CONCATENATE(U434," ",X434)</f>
        <v>07-Servicio de formación en gestión del riesgo de incendios para el personal UAECOB 002_Servicio de educación informal</v>
      </c>
      <c r="Z434" s="178" t="str">
        <f>CONCATENATE(P434,Q434,R434,S434,V434)</f>
        <v>O23011745032024025507002</v>
      </c>
      <c r="AA434" s="178" t="str">
        <f>IFERROR(VLOOKUP(Y434,TD!$K$46:$L$64,2,0)," ")</f>
        <v>PM/0131/0107/45030020255</v>
      </c>
      <c r="AB434" s="188" t="s">
        <v>138</v>
      </c>
      <c r="AC434" s="179" t="s">
        <v>204</v>
      </c>
    </row>
    <row r="435" spans="2:29" s="28" customFormat="1" ht="74.25" customHeight="1" x14ac:dyDescent="0.35">
      <c r="B435" s="170">
        <f>B434+1</f>
        <v>20250581</v>
      </c>
      <c r="C435" s="171" t="s">
        <v>209</v>
      </c>
      <c r="D435" s="172" t="s">
        <v>165</v>
      </c>
      <c r="E435" s="173" t="s">
        <v>510</v>
      </c>
      <c r="F435" s="172" t="s">
        <v>812</v>
      </c>
      <c r="G435" s="172" t="s">
        <v>155</v>
      </c>
      <c r="H435" s="174">
        <v>80111600</v>
      </c>
      <c r="I435" s="175">
        <v>2</v>
      </c>
      <c r="J435" s="175">
        <v>11</v>
      </c>
      <c r="K435" s="176">
        <v>0</v>
      </c>
      <c r="L435" s="177">
        <v>64000000</v>
      </c>
      <c r="M435" s="172" t="s">
        <v>484</v>
      </c>
      <c r="N435" s="177" t="s">
        <v>113</v>
      </c>
      <c r="O435" s="173" t="s">
        <v>229</v>
      </c>
      <c r="P435" s="178" t="str">
        <f>IFERROR(VLOOKUP(C435,TD!$B$32:$F$36,2,0)," ")</f>
        <v>O230117</v>
      </c>
      <c r="Q435" s="178" t="str">
        <f>IFERROR(VLOOKUP(C435,TD!$B$32:$F$36,3,0)," ")</f>
        <v>4503</v>
      </c>
      <c r="R435" s="178">
        <f>IFERROR(VLOOKUP(C435,TD!$B$32:$F$36,4,0)," ")</f>
        <v>20240255</v>
      </c>
      <c r="S435" s="173" t="s">
        <v>183</v>
      </c>
      <c r="T435" s="178" t="str">
        <f>IFERROR(VLOOKUP(S435,TD!$J$33:$K$43,2,0)," ")</f>
        <v>Servicio de formación en gestión del riesgo de incendios para el personal UAECOB</v>
      </c>
      <c r="U435" s="189" t="str">
        <f>CONCATENATE(S435,"-",T435)</f>
        <v>07-Servicio de formación en gestión del riesgo de incendios para el personal UAECOB</v>
      </c>
      <c r="V435" s="173" t="s">
        <v>233</v>
      </c>
      <c r="W435" s="178" t="str">
        <f>IFERROR(VLOOKUP(V435,TD!$N$33:$O$45,2,0)," ")</f>
        <v>Servicio de educación informal</v>
      </c>
      <c r="X435" s="189" t="str">
        <f>CONCATENATE(V435,"_",W435)</f>
        <v>002_Servicio de educación informal</v>
      </c>
      <c r="Y435" s="189" t="str">
        <f>CONCATENATE(U435," ",X435)</f>
        <v>07-Servicio de formación en gestión del riesgo de incendios para el personal UAECOB 002_Servicio de educación informal</v>
      </c>
      <c r="Z435" s="178" t="str">
        <f>CONCATENATE(P435,Q435,R435,S435,V435)</f>
        <v>O23011745032024025507002</v>
      </c>
      <c r="AA435" s="178" t="str">
        <f>IFERROR(VLOOKUP(Y435,TD!$K$46:$L$64,2,0)," ")</f>
        <v>PM/0131/0107/45030020255</v>
      </c>
      <c r="AB435" s="188" t="s">
        <v>138</v>
      </c>
      <c r="AC435" s="179" t="s">
        <v>204</v>
      </c>
    </row>
    <row r="436" spans="2:29" s="28" customFormat="1" ht="74.25" customHeight="1" x14ac:dyDescent="0.35">
      <c r="B436" s="170">
        <f>B435+1</f>
        <v>20250582</v>
      </c>
      <c r="C436" s="171" t="s">
        <v>209</v>
      </c>
      <c r="D436" s="172" t="s">
        <v>165</v>
      </c>
      <c r="E436" s="173" t="s">
        <v>510</v>
      </c>
      <c r="F436" s="172" t="s">
        <v>813</v>
      </c>
      <c r="G436" s="172" t="s">
        <v>155</v>
      </c>
      <c r="H436" s="174">
        <v>80111600</v>
      </c>
      <c r="I436" s="175">
        <v>2</v>
      </c>
      <c r="J436" s="175">
        <v>11</v>
      </c>
      <c r="K436" s="176">
        <v>0</v>
      </c>
      <c r="L436" s="177">
        <v>59500000</v>
      </c>
      <c r="M436" s="172" t="s">
        <v>484</v>
      </c>
      <c r="N436" s="177" t="s">
        <v>113</v>
      </c>
      <c r="O436" s="173" t="s">
        <v>229</v>
      </c>
      <c r="P436" s="178" t="str">
        <f>IFERROR(VLOOKUP(C436,TD!$B$32:$F$36,2,0)," ")</f>
        <v>O230117</v>
      </c>
      <c r="Q436" s="178" t="str">
        <f>IFERROR(VLOOKUP(C436,TD!$B$32:$F$36,3,0)," ")</f>
        <v>4503</v>
      </c>
      <c r="R436" s="178">
        <f>IFERROR(VLOOKUP(C436,TD!$B$32:$F$36,4,0)," ")</f>
        <v>20240255</v>
      </c>
      <c r="S436" s="173" t="s">
        <v>183</v>
      </c>
      <c r="T436" s="178" t="str">
        <f>IFERROR(VLOOKUP(S436,TD!$J$33:$K$43,2,0)," ")</f>
        <v>Servicio de formación en gestión del riesgo de incendios para el personal UAECOB</v>
      </c>
      <c r="U436" s="189" t="str">
        <f>CONCATENATE(S436,"-",T436)</f>
        <v>07-Servicio de formación en gestión del riesgo de incendios para el personal UAECOB</v>
      </c>
      <c r="V436" s="173" t="s">
        <v>233</v>
      </c>
      <c r="W436" s="178" t="str">
        <f>IFERROR(VLOOKUP(V436,TD!$N$33:$O$45,2,0)," ")</f>
        <v>Servicio de educación informal</v>
      </c>
      <c r="X436" s="189" t="str">
        <f>CONCATENATE(V436,"_",W436)</f>
        <v>002_Servicio de educación informal</v>
      </c>
      <c r="Y436" s="189" t="str">
        <f>CONCATENATE(U436," ",X436)</f>
        <v>07-Servicio de formación en gestión del riesgo de incendios para el personal UAECOB 002_Servicio de educación informal</v>
      </c>
      <c r="Z436" s="178" t="str">
        <f>CONCATENATE(P436,Q436,R436,S436,V436)</f>
        <v>O23011745032024025507002</v>
      </c>
      <c r="AA436" s="178" t="str">
        <f>IFERROR(VLOOKUP(Y436,TD!$K$46:$L$64,2,0)," ")</f>
        <v>PM/0131/0107/45030020255</v>
      </c>
      <c r="AB436" s="188" t="s">
        <v>138</v>
      </c>
      <c r="AC436" s="179" t="s">
        <v>204</v>
      </c>
    </row>
    <row r="437" spans="2:29" s="28" customFormat="1" ht="74.25" customHeight="1" x14ac:dyDescent="0.35">
      <c r="B437" s="170">
        <f>B436+1</f>
        <v>20250583</v>
      </c>
      <c r="C437" s="171" t="s">
        <v>209</v>
      </c>
      <c r="D437" s="172" t="s">
        <v>165</v>
      </c>
      <c r="E437" s="173" t="s">
        <v>510</v>
      </c>
      <c r="F437" s="172" t="s">
        <v>814</v>
      </c>
      <c r="G437" s="172" t="s">
        <v>155</v>
      </c>
      <c r="H437" s="174">
        <v>80111600</v>
      </c>
      <c r="I437" s="175">
        <v>2</v>
      </c>
      <c r="J437" s="175">
        <v>11</v>
      </c>
      <c r="K437" s="176">
        <v>0</v>
      </c>
      <c r="L437" s="177">
        <v>40849200</v>
      </c>
      <c r="M437" s="172" t="s">
        <v>484</v>
      </c>
      <c r="N437" s="177" t="s">
        <v>113</v>
      </c>
      <c r="O437" s="173" t="s">
        <v>229</v>
      </c>
      <c r="P437" s="178" t="str">
        <f>IFERROR(VLOOKUP(C437,TD!$B$32:$F$36,2,0)," ")</f>
        <v>O230117</v>
      </c>
      <c r="Q437" s="178" t="str">
        <f>IFERROR(VLOOKUP(C437,TD!$B$32:$F$36,3,0)," ")</f>
        <v>4503</v>
      </c>
      <c r="R437" s="178">
        <f>IFERROR(VLOOKUP(C437,TD!$B$32:$F$36,4,0)," ")</f>
        <v>20240255</v>
      </c>
      <c r="S437" s="173" t="s">
        <v>183</v>
      </c>
      <c r="T437" s="178" t="str">
        <f>IFERROR(VLOOKUP(S437,TD!$J$33:$K$43,2,0)," ")</f>
        <v>Servicio de formación en gestión del riesgo de incendios para el personal UAECOB</v>
      </c>
      <c r="U437" s="189" t="str">
        <f>CONCATENATE(S437,"-",T437)</f>
        <v>07-Servicio de formación en gestión del riesgo de incendios para el personal UAECOB</v>
      </c>
      <c r="V437" s="173" t="s">
        <v>233</v>
      </c>
      <c r="W437" s="178" t="str">
        <f>IFERROR(VLOOKUP(V437,TD!$N$33:$O$45,2,0)," ")</f>
        <v>Servicio de educación informal</v>
      </c>
      <c r="X437" s="189" t="str">
        <f>CONCATENATE(V437,"_",W437)</f>
        <v>002_Servicio de educación informal</v>
      </c>
      <c r="Y437" s="189" t="str">
        <f>CONCATENATE(U437," ",X437)</f>
        <v>07-Servicio de formación en gestión del riesgo de incendios para el personal UAECOB 002_Servicio de educación informal</v>
      </c>
      <c r="Z437" s="178" t="str">
        <f>CONCATENATE(P437,Q437,R437,S437,V437)</f>
        <v>O23011745032024025507002</v>
      </c>
      <c r="AA437" s="178" t="str">
        <f>IFERROR(VLOOKUP(Y437,TD!$K$46:$L$64,2,0)," ")</f>
        <v>PM/0131/0107/45030020255</v>
      </c>
      <c r="AB437" s="188" t="s">
        <v>138</v>
      </c>
      <c r="AC437" s="179" t="s">
        <v>204</v>
      </c>
    </row>
    <row r="438" spans="2:29" s="28" customFormat="1" ht="74.25" customHeight="1" x14ac:dyDescent="0.35">
      <c r="B438" s="170">
        <f>B437+1</f>
        <v>20250584</v>
      </c>
      <c r="C438" s="171" t="s">
        <v>209</v>
      </c>
      <c r="D438" s="172" t="s">
        <v>165</v>
      </c>
      <c r="E438" s="173" t="s">
        <v>510</v>
      </c>
      <c r="F438" s="172" t="s">
        <v>815</v>
      </c>
      <c r="G438" s="172" t="s">
        <v>155</v>
      </c>
      <c r="H438" s="174">
        <v>80111600</v>
      </c>
      <c r="I438" s="175">
        <v>2</v>
      </c>
      <c r="J438" s="175">
        <v>11</v>
      </c>
      <c r="K438" s="176">
        <v>0</v>
      </c>
      <c r="L438" s="177">
        <v>27344000</v>
      </c>
      <c r="M438" s="172" t="s">
        <v>484</v>
      </c>
      <c r="N438" s="177" t="s">
        <v>113</v>
      </c>
      <c r="O438" s="173" t="s">
        <v>229</v>
      </c>
      <c r="P438" s="178" t="str">
        <f>IFERROR(VLOOKUP(C438,TD!$B$32:$F$36,2,0)," ")</f>
        <v>O230117</v>
      </c>
      <c r="Q438" s="178" t="str">
        <f>IFERROR(VLOOKUP(C438,TD!$B$32:$F$36,3,0)," ")</f>
        <v>4503</v>
      </c>
      <c r="R438" s="178">
        <f>IFERROR(VLOOKUP(C438,TD!$B$32:$F$36,4,0)," ")</f>
        <v>20240255</v>
      </c>
      <c r="S438" s="173" t="s">
        <v>183</v>
      </c>
      <c r="T438" s="178" t="str">
        <f>IFERROR(VLOOKUP(S438,TD!$J$33:$K$43,2,0)," ")</f>
        <v>Servicio de formación en gestión del riesgo de incendios para el personal UAECOB</v>
      </c>
      <c r="U438" s="189" t="str">
        <f>CONCATENATE(S438,"-",T438)</f>
        <v>07-Servicio de formación en gestión del riesgo de incendios para el personal UAECOB</v>
      </c>
      <c r="V438" s="173" t="s">
        <v>233</v>
      </c>
      <c r="W438" s="178" t="str">
        <f>IFERROR(VLOOKUP(V438,TD!$N$33:$O$45,2,0)," ")</f>
        <v>Servicio de educación informal</v>
      </c>
      <c r="X438" s="189" t="str">
        <f>CONCATENATE(V438,"_",W438)</f>
        <v>002_Servicio de educación informal</v>
      </c>
      <c r="Y438" s="189" t="str">
        <f>CONCATENATE(U438," ",X438)</f>
        <v>07-Servicio de formación en gestión del riesgo de incendios para el personal UAECOB 002_Servicio de educación informal</v>
      </c>
      <c r="Z438" s="178" t="str">
        <f>CONCATENATE(P438,Q438,R438,S438,V438)</f>
        <v>O23011745032024025507002</v>
      </c>
      <c r="AA438" s="178" t="str">
        <f>IFERROR(VLOOKUP(Y438,TD!$K$46:$L$64,2,0)," ")</f>
        <v>PM/0131/0107/45030020255</v>
      </c>
      <c r="AB438" s="188" t="s">
        <v>138</v>
      </c>
      <c r="AC438" s="179" t="s">
        <v>204</v>
      </c>
    </row>
    <row r="439" spans="2:29" s="28" customFormat="1" ht="74.25" customHeight="1" x14ac:dyDescent="0.35">
      <c r="B439" s="170">
        <f>B438+1</f>
        <v>20250585</v>
      </c>
      <c r="C439" s="171" t="s">
        <v>209</v>
      </c>
      <c r="D439" s="172" t="s">
        <v>165</v>
      </c>
      <c r="E439" s="173" t="s">
        <v>510</v>
      </c>
      <c r="F439" s="172" t="s">
        <v>816</v>
      </c>
      <c r="G439" s="172" t="s">
        <v>155</v>
      </c>
      <c r="H439" s="174">
        <v>80111600</v>
      </c>
      <c r="I439" s="175">
        <v>2</v>
      </c>
      <c r="J439" s="175">
        <v>11</v>
      </c>
      <c r="K439" s="176">
        <v>0</v>
      </c>
      <c r="L439" s="177">
        <v>27344000</v>
      </c>
      <c r="M439" s="172" t="s">
        <v>484</v>
      </c>
      <c r="N439" s="177" t="s">
        <v>113</v>
      </c>
      <c r="O439" s="173" t="s">
        <v>229</v>
      </c>
      <c r="P439" s="178" t="str">
        <f>IFERROR(VLOOKUP(C439,TD!$B$32:$F$36,2,0)," ")</f>
        <v>O230117</v>
      </c>
      <c r="Q439" s="178" t="str">
        <f>IFERROR(VLOOKUP(C439,TD!$B$32:$F$36,3,0)," ")</f>
        <v>4503</v>
      </c>
      <c r="R439" s="178">
        <f>IFERROR(VLOOKUP(C439,TD!$B$32:$F$36,4,0)," ")</f>
        <v>20240255</v>
      </c>
      <c r="S439" s="173" t="s">
        <v>183</v>
      </c>
      <c r="T439" s="178" t="str">
        <f>IFERROR(VLOOKUP(S439,TD!$J$33:$K$43,2,0)," ")</f>
        <v>Servicio de formación en gestión del riesgo de incendios para el personal UAECOB</v>
      </c>
      <c r="U439" s="189" t="str">
        <f>CONCATENATE(S439,"-",T439)</f>
        <v>07-Servicio de formación en gestión del riesgo de incendios para el personal UAECOB</v>
      </c>
      <c r="V439" s="173" t="s">
        <v>233</v>
      </c>
      <c r="W439" s="178" t="str">
        <f>IFERROR(VLOOKUP(V439,TD!$N$33:$O$45,2,0)," ")</f>
        <v>Servicio de educación informal</v>
      </c>
      <c r="X439" s="189" t="str">
        <f>CONCATENATE(V439,"_",W439)</f>
        <v>002_Servicio de educación informal</v>
      </c>
      <c r="Y439" s="189" t="str">
        <f>CONCATENATE(U439," ",X439)</f>
        <v>07-Servicio de formación en gestión del riesgo de incendios para el personal UAECOB 002_Servicio de educación informal</v>
      </c>
      <c r="Z439" s="178" t="str">
        <f>CONCATENATE(P439,Q439,R439,S439,V439)</f>
        <v>O23011745032024025507002</v>
      </c>
      <c r="AA439" s="178" t="str">
        <f>IFERROR(VLOOKUP(Y439,TD!$K$46:$L$64,2,0)," ")</f>
        <v>PM/0131/0107/45030020255</v>
      </c>
      <c r="AB439" s="188" t="s">
        <v>138</v>
      </c>
      <c r="AC439" s="179" t="s">
        <v>204</v>
      </c>
    </row>
    <row r="440" spans="2:29" s="28" customFormat="1" ht="74.25" customHeight="1" x14ac:dyDescent="0.35">
      <c r="B440" s="170">
        <v>20250586</v>
      </c>
      <c r="C440" s="171" t="s">
        <v>208</v>
      </c>
      <c r="D440" s="172" t="s">
        <v>164</v>
      </c>
      <c r="E440" s="173" t="s">
        <v>392</v>
      </c>
      <c r="F440" s="172" t="s">
        <v>826</v>
      </c>
      <c r="G440" s="172" t="s">
        <v>155</v>
      </c>
      <c r="H440" s="174">
        <v>80111600</v>
      </c>
      <c r="I440" s="175">
        <v>2</v>
      </c>
      <c r="J440" s="175">
        <v>11</v>
      </c>
      <c r="K440" s="176">
        <v>0</v>
      </c>
      <c r="L440" s="177">
        <v>79450000</v>
      </c>
      <c r="M440" s="172" t="s">
        <v>484</v>
      </c>
      <c r="N440" s="177" t="s">
        <v>113</v>
      </c>
      <c r="O440" s="173" t="s">
        <v>219</v>
      </c>
      <c r="P440" s="178" t="str">
        <f>IFERROR(VLOOKUP(C440,TD!$B$32:$F$36,2,0)," ")</f>
        <v>O230117</v>
      </c>
      <c r="Q440" s="178" t="str">
        <f>IFERROR(VLOOKUP(C440,TD!$B$32:$F$36,3,0)," ")</f>
        <v>4599</v>
      </c>
      <c r="R440" s="178">
        <f>IFERROR(VLOOKUP(C440,TD!$B$32:$F$36,4,0)," ")</f>
        <v>20240207</v>
      </c>
      <c r="S440" s="173" t="s">
        <v>185</v>
      </c>
      <c r="T440" s="178" t="str">
        <f>IFERROR(VLOOKUP(S440,TD!$J$33:$K$43,2,0)," ")</f>
        <v>Infraestructura física, mantenimiento y dotación (Sedes construidas, mantenidas reforzadas)</v>
      </c>
      <c r="U440" s="180" t="str">
        <f>CONCATENATE(S440,"-",T440)</f>
        <v>08-Infraestructura física, mantenimiento y dotación (Sedes construidas, mantenidas reforzadas)</v>
      </c>
      <c r="V440" s="173" t="s">
        <v>238</v>
      </c>
      <c r="W440" s="178" t="str">
        <f>IFERROR(VLOOKUP(V440,TD!$N$33:$O$45,2,0)," ")</f>
        <v>Sedes mantenidas</v>
      </c>
      <c r="X440" s="180" t="str">
        <f>CONCATENATE(V440,"_",W440)</f>
        <v>016_Sedes mantenidas</v>
      </c>
      <c r="Y440" s="180" t="str">
        <f>CONCATENATE(U440," ",X440)</f>
        <v>08-Infraestructura física, mantenimiento y dotación (Sedes construidas, mantenidas reforzadas) 016_Sedes mantenidas</v>
      </c>
      <c r="Z440" s="178" t="str">
        <f>CONCATENATE(P440,Q440,R440,S440,V440)</f>
        <v>O23011745992024020708016</v>
      </c>
      <c r="AA440" s="178" t="str">
        <f>IFERROR(VLOOKUP(Y440,TD!$K$46:$L$64,2,0)," ")</f>
        <v>PM/0131/0108/45990160207</v>
      </c>
      <c r="AB440" s="177" t="s">
        <v>120</v>
      </c>
      <c r="AC440" s="179" t="s">
        <v>204</v>
      </c>
    </row>
    <row r="441" spans="2:29" s="28" customFormat="1" ht="74.25" customHeight="1" x14ac:dyDescent="0.35">
      <c r="B441" s="170">
        <v>20250587</v>
      </c>
      <c r="C441" s="171" t="s">
        <v>208</v>
      </c>
      <c r="D441" s="172" t="s">
        <v>164</v>
      </c>
      <c r="E441" s="173" t="s">
        <v>392</v>
      </c>
      <c r="F441" s="172" t="s">
        <v>830</v>
      </c>
      <c r="G441" s="172" t="s">
        <v>156</v>
      </c>
      <c r="H441" s="174">
        <v>80111600</v>
      </c>
      <c r="I441" s="175">
        <v>2</v>
      </c>
      <c r="J441" s="175">
        <v>4</v>
      </c>
      <c r="K441" s="176">
        <v>0</v>
      </c>
      <c r="L441" s="177">
        <v>24800000</v>
      </c>
      <c r="M441" s="172" t="s">
        <v>484</v>
      </c>
      <c r="N441" s="177" t="s">
        <v>113</v>
      </c>
      <c r="O441" s="173" t="s">
        <v>219</v>
      </c>
      <c r="P441" s="178" t="str">
        <f>IFERROR(VLOOKUP(C441,TD!$B$32:$F$36,2,0)," ")</f>
        <v>O230117</v>
      </c>
      <c r="Q441" s="178" t="str">
        <f>IFERROR(VLOOKUP(C441,TD!$B$32:$F$36,3,0)," ")</f>
        <v>4599</v>
      </c>
      <c r="R441" s="178">
        <f>IFERROR(VLOOKUP(C441,TD!$B$32:$F$36,4,0)," ")</f>
        <v>20240207</v>
      </c>
      <c r="S441" s="173" t="s">
        <v>185</v>
      </c>
      <c r="T441" s="178" t="str">
        <f>IFERROR(VLOOKUP(S441,TD!$J$33:$K$43,2,0)," ")</f>
        <v>Infraestructura física, mantenimiento y dotación (Sedes construidas, mantenidas reforzadas)</v>
      </c>
      <c r="U441" s="180" t="str">
        <f>CONCATENATE(S441,"-",T441)</f>
        <v>08-Infraestructura física, mantenimiento y dotación (Sedes construidas, mantenidas reforzadas)</v>
      </c>
      <c r="V441" s="173" t="s">
        <v>238</v>
      </c>
      <c r="W441" s="178" t="str">
        <f>IFERROR(VLOOKUP(V441,TD!$N$33:$O$45,2,0)," ")</f>
        <v>Sedes mantenidas</v>
      </c>
      <c r="X441" s="180" t="str">
        <f>CONCATENATE(V441,"_",W441)</f>
        <v>016_Sedes mantenidas</v>
      </c>
      <c r="Y441" s="180" t="str">
        <f>CONCATENATE(U441," ",X441)</f>
        <v>08-Infraestructura física, mantenimiento y dotación (Sedes construidas, mantenidas reforzadas) 016_Sedes mantenidas</v>
      </c>
      <c r="Z441" s="178" t="str">
        <f>CONCATENATE(P441,Q441,R441,S441,V441)</f>
        <v>O23011745992024020708016</v>
      </c>
      <c r="AA441" s="178" t="str">
        <f>IFERROR(VLOOKUP(Y441,TD!$K$46:$L$64,2,0)," ")</f>
        <v>PM/0131/0108/45990160207</v>
      </c>
      <c r="AB441" s="177" t="s">
        <v>138</v>
      </c>
      <c r="AC441" s="179" t="s">
        <v>204</v>
      </c>
    </row>
    <row r="442" spans="2:29" s="28" customFormat="1" ht="74.25" customHeight="1" x14ac:dyDescent="0.35">
      <c r="B442" s="170">
        <f>B441+1</f>
        <v>20250588</v>
      </c>
      <c r="C442" s="171" t="s">
        <v>346</v>
      </c>
      <c r="D442" s="172" t="s">
        <v>166</v>
      </c>
      <c r="E442" s="173" t="s">
        <v>632</v>
      </c>
      <c r="F442" s="172" t="s">
        <v>859</v>
      </c>
      <c r="G442" s="172" t="s">
        <v>129</v>
      </c>
      <c r="H442" s="174" t="s">
        <v>729</v>
      </c>
      <c r="I442" s="175">
        <v>2</v>
      </c>
      <c r="J442" s="175">
        <v>0</v>
      </c>
      <c r="K442" s="176">
        <v>0</v>
      </c>
      <c r="L442" s="177">
        <v>10000000</v>
      </c>
      <c r="M442" s="172" t="s">
        <v>172</v>
      </c>
      <c r="N442" s="177" t="s">
        <v>90</v>
      </c>
      <c r="O442" s="173" t="s">
        <v>347</v>
      </c>
      <c r="P442" s="178" t="str">
        <f>IFERROR(VLOOKUP(C442,TD!$B$32:$F$36,2,0)," ")</f>
        <v>NA</v>
      </c>
      <c r="Q442" s="178" t="str">
        <f>IFERROR(VLOOKUP(C442,TD!$B$32:$F$36,3,0)," ")</f>
        <v>NA</v>
      </c>
      <c r="R442" s="178" t="str">
        <f>IFERROR(VLOOKUP(C442,TD!$B$32:$F$36,4,0)," ")</f>
        <v>NA</v>
      </c>
      <c r="S442" s="173" t="s">
        <v>409</v>
      </c>
      <c r="T442" s="178" t="str">
        <f>IFERROR(VLOOKUP(S442,TD!$J$33:$K$43,2,0)," ")</f>
        <v>N/A</v>
      </c>
      <c r="U442" s="189" t="str">
        <f>CONCATENATE(S442,"-",T442)</f>
        <v>N/A-N/A</v>
      </c>
      <c r="V442" s="173" t="s">
        <v>409</v>
      </c>
      <c r="W442" s="178" t="str">
        <f>IFERROR(VLOOKUP(V442,TD!$N$33:$O$45,2,0)," ")</f>
        <v>N/A</v>
      </c>
      <c r="X442" s="189" t="str">
        <f>CONCATENATE(V442,"_",W442)</f>
        <v>N/A_N/A</v>
      </c>
      <c r="Y442" s="189" t="str">
        <f>CONCATENATE(U442," ",X442)</f>
        <v>N/A-N/A N/A_N/A</v>
      </c>
      <c r="Z442" s="178" t="str">
        <f>CONCATENATE(P442,Q442,R442,S442,V442)</f>
        <v>NANANAN/AN/A</v>
      </c>
      <c r="AA442" s="178" t="str">
        <f>IFERROR(VLOOKUP(Y442,TD!$K$46:$L$64,2,0)," ")</f>
        <v>N/A</v>
      </c>
      <c r="AB442" s="177" t="s">
        <v>348</v>
      </c>
      <c r="AC442" s="179" t="s">
        <v>204</v>
      </c>
    </row>
    <row r="443" spans="2:29" s="28" customFormat="1" ht="74.25" customHeight="1" x14ac:dyDescent="0.35">
      <c r="B443" s="170">
        <f>B442+1</f>
        <v>20250589</v>
      </c>
      <c r="C443" s="171" t="s">
        <v>208</v>
      </c>
      <c r="D443" s="172" t="s">
        <v>166</v>
      </c>
      <c r="E443" s="173" t="s">
        <v>632</v>
      </c>
      <c r="F443" s="172" t="s">
        <v>840</v>
      </c>
      <c r="G443" s="172" t="s">
        <v>119</v>
      </c>
      <c r="H443" s="174" t="s">
        <v>842</v>
      </c>
      <c r="I443" s="175">
        <v>0</v>
      </c>
      <c r="J443" s="175">
        <v>1</v>
      </c>
      <c r="K443" s="176">
        <v>0</v>
      </c>
      <c r="L443" s="177">
        <v>35000000</v>
      </c>
      <c r="M443" s="172" t="s">
        <v>484</v>
      </c>
      <c r="N443" s="177" t="s">
        <v>123</v>
      </c>
      <c r="O443" s="173" t="s">
        <v>218</v>
      </c>
      <c r="P443" s="178" t="str">
        <f>IFERROR(VLOOKUP(C443,TD!$B$32:$F$36,2,0)," ")</f>
        <v>O230117</v>
      </c>
      <c r="Q443" s="178" t="str">
        <f>IFERROR(VLOOKUP(C443,TD!$B$32:$F$36,3,0)," ")</f>
        <v>4599</v>
      </c>
      <c r="R443" s="178">
        <f>IFERROR(VLOOKUP(C443,TD!$B$32:$F$36,4,0)," ")</f>
        <v>20240207</v>
      </c>
      <c r="S443" s="173" t="s">
        <v>185</v>
      </c>
      <c r="T443" s="178" t="str">
        <f>IFERROR(VLOOKUP(S443,TD!$J$33:$K$43,2,0)," ")</f>
        <v>Infraestructura física, mantenimiento y dotación (Sedes construidas, mantenidas reforzadas)</v>
      </c>
      <c r="U443" s="189" t="str">
        <f>CONCATENATE(S443,"-",T443)</f>
        <v>08-Infraestructura física, mantenimiento y dotación (Sedes construidas, mantenidas reforzadas)</v>
      </c>
      <c r="V443" s="173" t="s">
        <v>238</v>
      </c>
      <c r="W443" s="178" t="str">
        <f>IFERROR(VLOOKUP(V443,TD!$N$33:$O$45,2,0)," ")</f>
        <v>Sedes mantenidas</v>
      </c>
      <c r="X443" s="189" t="str">
        <f>CONCATENATE(V443,"_",W443)</f>
        <v>016_Sedes mantenidas</v>
      </c>
      <c r="Y443" s="189" t="str">
        <f>CONCATENATE(U443," ",X443)</f>
        <v>08-Infraestructura física, mantenimiento y dotación (Sedes construidas, mantenidas reforzadas) 016_Sedes mantenidas</v>
      </c>
      <c r="Z443" s="178" t="str">
        <f>CONCATENATE(P443,Q443,R443,S443,V443)</f>
        <v>O23011745992024020708016</v>
      </c>
      <c r="AA443" s="178" t="str">
        <f>IFERROR(VLOOKUP(Y443,TD!$K$46:$L$64,2,0)," ")</f>
        <v>PM/0131/0108/45990160207</v>
      </c>
      <c r="AB443" s="177" t="s">
        <v>87</v>
      </c>
      <c r="AC443" s="179" t="s">
        <v>205</v>
      </c>
    </row>
    <row r="444" spans="2:29" s="28" customFormat="1" ht="74.25" customHeight="1" x14ac:dyDescent="0.35">
      <c r="B444" s="170">
        <f>B443+1</f>
        <v>20250590</v>
      </c>
      <c r="C444" s="171" t="s">
        <v>208</v>
      </c>
      <c r="D444" s="172" t="s">
        <v>166</v>
      </c>
      <c r="E444" s="173" t="s">
        <v>632</v>
      </c>
      <c r="F444" s="172" t="s">
        <v>635</v>
      </c>
      <c r="G444" s="172" t="s">
        <v>156</v>
      </c>
      <c r="H444" s="174" t="s">
        <v>700</v>
      </c>
      <c r="I444" s="175">
        <v>2</v>
      </c>
      <c r="J444" s="175">
        <v>9</v>
      </c>
      <c r="K444" s="176">
        <v>0</v>
      </c>
      <c r="L444" s="177">
        <v>29558952</v>
      </c>
      <c r="M444" s="172" t="s">
        <v>484</v>
      </c>
      <c r="N444" s="177" t="s">
        <v>113</v>
      </c>
      <c r="O444" s="173" t="s">
        <v>219</v>
      </c>
      <c r="P444" s="178" t="str">
        <f>IFERROR(VLOOKUP(C444,TD!$B$32:$F$36,2,0)," ")</f>
        <v>O230117</v>
      </c>
      <c r="Q444" s="178" t="str">
        <f>IFERROR(VLOOKUP(C444,TD!$B$32:$F$36,3,0)," ")</f>
        <v>4599</v>
      </c>
      <c r="R444" s="178">
        <f>IFERROR(VLOOKUP(C444,TD!$B$32:$F$36,4,0)," ")</f>
        <v>20240207</v>
      </c>
      <c r="S444" s="173" t="s">
        <v>185</v>
      </c>
      <c r="T444" s="178" t="str">
        <f>IFERROR(VLOOKUP(S444,TD!$J$33:$K$43,2,0)," ")</f>
        <v>Infraestructura física, mantenimiento y dotación (Sedes construidas, mantenidas reforzadas)</v>
      </c>
      <c r="U444" s="189" t="str">
        <f>CONCATENATE(S444,"-",T444)</f>
        <v>08-Infraestructura física, mantenimiento y dotación (Sedes construidas, mantenidas reforzadas)</v>
      </c>
      <c r="V444" s="173" t="s">
        <v>238</v>
      </c>
      <c r="W444" s="178" t="str">
        <f>IFERROR(VLOOKUP(V444,TD!$N$33:$O$45,2,0)," ")</f>
        <v>Sedes mantenidas</v>
      </c>
      <c r="X444" s="189" t="str">
        <f>CONCATENATE(V444,"_",W444)</f>
        <v>016_Sedes mantenidas</v>
      </c>
      <c r="Y444" s="189" t="str">
        <f>CONCATENATE(U444," ",X444)</f>
        <v>08-Infraestructura física, mantenimiento y dotación (Sedes construidas, mantenidas reforzadas) 016_Sedes mantenidas</v>
      </c>
      <c r="Z444" s="178" t="str">
        <f>CONCATENATE(P444,Q444,R444,S444,V444)</f>
        <v>O23011745992024020708016</v>
      </c>
      <c r="AA444" s="178" t="str">
        <f>IFERROR(VLOOKUP(Y444,TD!$K$46:$L$64,2,0)," ")</f>
        <v>PM/0131/0108/45990160207</v>
      </c>
      <c r="AB444" s="177" t="s">
        <v>138</v>
      </c>
      <c r="AC444" s="179" t="s">
        <v>204</v>
      </c>
    </row>
    <row r="445" spans="2:29" s="28" customFormat="1" ht="74.25" customHeight="1" x14ac:dyDescent="0.35">
      <c r="B445" s="170">
        <f>B444+1</f>
        <v>20250591</v>
      </c>
      <c r="C445" s="171" t="s">
        <v>208</v>
      </c>
      <c r="D445" s="172" t="s">
        <v>166</v>
      </c>
      <c r="E445" s="173" t="s">
        <v>632</v>
      </c>
      <c r="F445" s="172" t="s">
        <v>635</v>
      </c>
      <c r="G445" s="172" t="s">
        <v>156</v>
      </c>
      <c r="H445" s="174" t="s">
        <v>700</v>
      </c>
      <c r="I445" s="175">
        <v>2</v>
      </c>
      <c r="J445" s="175">
        <v>9</v>
      </c>
      <c r="K445" s="176">
        <v>0</v>
      </c>
      <c r="L445" s="177">
        <v>29558952</v>
      </c>
      <c r="M445" s="172" t="s">
        <v>484</v>
      </c>
      <c r="N445" s="177" t="s">
        <v>113</v>
      </c>
      <c r="O445" s="173" t="s">
        <v>219</v>
      </c>
      <c r="P445" s="178" t="str">
        <f>IFERROR(VLOOKUP(C445,TD!$B$32:$F$36,2,0)," ")</f>
        <v>O230117</v>
      </c>
      <c r="Q445" s="178" t="str">
        <f>IFERROR(VLOOKUP(C445,TD!$B$32:$F$36,3,0)," ")</f>
        <v>4599</v>
      </c>
      <c r="R445" s="178">
        <f>IFERROR(VLOOKUP(C445,TD!$B$32:$F$36,4,0)," ")</f>
        <v>20240207</v>
      </c>
      <c r="S445" s="173" t="s">
        <v>185</v>
      </c>
      <c r="T445" s="178" t="str">
        <f>IFERROR(VLOOKUP(S445,TD!$J$33:$K$43,2,0)," ")</f>
        <v>Infraestructura física, mantenimiento y dotación (Sedes construidas, mantenidas reforzadas)</v>
      </c>
      <c r="U445" s="189" t="str">
        <f>CONCATENATE(S445,"-",T445)</f>
        <v>08-Infraestructura física, mantenimiento y dotación (Sedes construidas, mantenidas reforzadas)</v>
      </c>
      <c r="V445" s="173" t="s">
        <v>238</v>
      </c>
      <c r="W445" s="178" t="str">
        <f>IFERROR(VLOOKUP(V445,TD!$N$33:$O$45,2,0)," ")</f>
        <v>Sedes mantenidas</v>
      </c>
      <c r="X445" s="189" t="str">
        <f>CONCATENATE(V445,"_",W445)</f>
        <v>016_Sedes mantenidas</v>
      </c>
      <c r="Y445" s="189" t="str">
        <f>CONCATENATE(U445," ",X445)</f>
        <v>08-Infraestructura física, mantenimiento y dotación (Sedes construidas, mantenidas reforzadas) 016_Sedes mantenidas</v>
      </c>
      <c r="Z445" s="178" t="str">
        <f>CONCATENATE(P445,Q445,R445,S445,V445)</f>
        <v>O23011745992024020708016</v>
      </c>
      <c r="AA445" s="178" t="str">
        <f>IFERROR(VLOOKUP(Y445,TD!$K$46:$L$64,2,0)," ")</f>
        <v>PM/0131/0108/45990160207</v>
      </c>
      <c r="AB445" s="177" t="s">
        <v>138</v>
      </c>
      <c r="AC445" s="179" t="s">
        <v>204</v>
      </c>
    </row>
    <row r="446" spans="2:29" s="28" customFormat="1" ht="74.25" customHeight="1" x14ac:dyDescent="0.35">
      <c r="B446" s="170">
        <f>B445+1</f>
        <v>20250592</v>
      </c>
      <c r="C446" s="171" t="s">
        <v>208</v>
      </c>
      <c r="D446" s="172" t="s">
        <v>166</v>
      </c>
      <c r="E446" s="173" t="s">
        <v>632</v>
      </c>
      <c r="F446" s="172" t="s">
        <v>635</v>
      </c>
      <c r="G446" s="172" t="s">
        <v>156</v>
      </c>
      <c r="H446" s="174" t="s">
        <v>700</v>
      </c>
      <c r="I446" s="175">
        <v>2</v>
      </c>
      <c r="J446" s="175">
        <v>9</v>
      </c>
      <c r="K446" s="176">
        <v>0</v>
      </c>
      <c r="L446" s="177">
        <v>29558952</v>
      </c>
      <c r="M446" s="172" t="s">
        <v>484</v>
      </c>
      <c r="N446" s="177" t="s">
        <v>113</v>
      </c>
      <c r="O446" s="173" t="s">
        <v>219</v>
      </c>
      <c r="P446" s="178" t="str">
        <f>IFERROR(VLOOKUP(C446,TD!$B$32:$F$36,2,0)," ")</f>
        <v>O230117</v>
      </c>
      <c r="Q446" s="178" t="str">
        <f>IFERROR(VLOOKUP(C446,TD!$B$32:$F$36,3,0)," ")</f>
        <v>4599</v>
      </c>
      <c r="R446" s="178">
        <f>IFERROR(VLOOKUP(C446,TD!$B$32:$F$36,4,0)," ")</f>
        <v>20240207</v>
      </c>
      <c r="S446" s="173" t="s">
        <v>185</v>
      </c>
      <c r="T446" s="178" t="str">
        <f>IFERROR(VLOOKUP(S446,TD!$J$33:$K$43,2,0)," ")</f>
        <v>Infraestructura física, mantenimiento y dotación (Sedes construidas, mantenidas reforzadas)</v>
      </c>
      <c r="U446" s="189" t="str">
        <f>CONCATENATE(S446,"-",T446)</f>
        <v>08-Infraestructura física, mantenimiento y dotación (Sedes construidas, mantenidas reforzadas)</v>
      </c>
      <c r="V446" s="173" t="s">
        <v>238</v>
      </c>
      <c r="W446" s="178" t="str">
        <f>IFERROR(VLOOKUP(V446,TD!$N$33:$O$45,2,0)," ")</f>
        <v>Sedes mantenidas</v>
      </c>
      <c r="X446" s="189" t="str">
        <f>CONCATENATE(V446,"_",W446)</f>
        <v>016_Sedes mantenidas</v>
      </c>
      <c r="Y446" s="189" t="str">
        <f>CONCATENATE(U446," ",X446)</f>
        <v>08-Infraestructura física, mantenimiento y dotación (Sedes construidas, mantenidas reforzadas) 016_Sedes mantenidas</v>
      </c>
      <c r="Z446" s="178" t="str">
        <f>CONCATENATE(P446,Q446,R446,S446,V446)</f>
        <v>O23011745992024020708016</v>
      </c>
      <c r="AA446" s="178" t="str">
        <f>IFERROR(VLOOKUP(Y446,TD!$K$46:$L$64,2,0)," ")</f>
        <v>PM/0131/0108/45990160207</v>
      </c>
      <c r="AB446" s="177" t="s">
        <v>138</v>
      </c>
      <c r="AC446" s="179" t="s">
        <v>204</v>
      </c>
    </row>
    <row r="447" spans="2:29" s="28" customFormat="1" ht="74.25" customHeight="1" x14ac:dyDescent="0.35">
      <c r="B447" s="170">
        <f>B446+1</f>
        <v>20250593</v>
      </c>
      <c r="C447" s="171" t="s">
        <v>208</v>
      </c>
      <c r="D447" s="172" t="s">
        <v>166</v>
      </c>
      <c r="E447" s="173" t="s">
        <v>632</v>
      </c>
      <c r="F447" s="172" t="s">
        <v>635</v>
      </c>
      <c r="G447" s="172" t="s">
        <v>156</v>
      </c>
      <c r="H447" s="174" t="s">
        <v>700</v>
      </c>
      <c r="I447" s="175">
        <v>2</v>
      </c>
      <c r="J447" s="175">
        <v>9</v>
      </c>
      <c r="K447" s="176">
        <v>0</v>
      </c>
      <c r="L447" s="177">
        <v>29558952</v>
      </c>
      <c r="M447" s="172" t="s">
        <v>484</v>
      </c>
      <c r="N447" s="177" t="s">
        <v>113</v>
      </c>
      <c r="O447" s="173" t="s">
        <v>219</v>
      </c>
      <c r="P447" s="178" t="str">
        <f>IFERROR(VLOOKUP(C447,TD!$B$32:$F$36,2,0)," ")</f>
        <v>O230117</v>
      </c>
      <c r="Q447" s="178" t="str">
        <f>IFERROR(VLOOKUP(C447,TD!$B$32:$F$36,3,0)," ")</f>
        <v>4599</v>
      </c>
      <c r="R447" s="178">
        <f>IFERROR(VLOOKUP(C447,TD!$B$32:$F$36,4,0)," ")</f>
        <v>20240207</v>
      </c>
      <c r="S447" s="173" t="s">
        <v>185</v>
      </c>
      <c r="T447" s="178" t="str">
        <f>IFERROR(VLOOKUP(S447,TD!$J$33:$K$43,2,0)," ")</f>
        <v>Infraestructura física, mantenimiento y dotación (Sedes construidas, mantenidas reforzadas)</v>
      </c>
      <c r="U447" s="189" t="str">
        <f>CONCATENATE(S447,"-",T447)</f>
        <v>08-Infraestructura física, mantenimiento y dotación (Sedes construidas, mantenidas reforzadas)</v>
      </c>
      <c r="V447" s="173" t="s">
        <v>238</v>
      </c>
      <c r="W447" s="178" t="str">
        <f>IFERROR(VLOOKUP(V447,TD!$N$33:$O$45,2,0)," ")</f>
        <v>Sedes mantenidas</v>
      </c>
      <c r="X447" s="189" t="str">
        <f>CONCATENATE(V447,"_",W447)</f>
        <v>016_Sedes mantenidas</v>
      </c>
      <c r="Y447" s="189" t="str">
        <f>CONCATENATE(U447," ",X447)</f>
        <v>08-Infraestructura física, mantenimiento y dotación (Sedes construidas, mantenidas reforzadas) 016_Sedes mantenidas</v>
      </c>
      <c r="Z447" s="178" t="str">
        <f>CONCATENATE(P447,Q447,R447,S447,V447)</f>
        <v>O23011745992024020708016</v>
      </c>
      <c r="AA447" s="178" t="str">
        <f>IFERROR(VLOOKUP(Y447,TD!$K$46:$L$64,2,0)," ")</f>
        <v>PM/0131/0108/45990160207</v>
      </c>
      <c r="AB447" s="177" t="s">
        <v>138</v>
      </c>
      <c r="AC447" s="179" t="s">
        <v>204</v>
      </c>
    </row>
    <row r="448" spans="2:29" s="28" customFormat="1" ht="89" customHeight="1" x14ac:dyDescent="0.35">
      <c r="B448" s="170">
        <f>B447+1</f>
        <v>20250594</v>
      </c>
      <c r="C448" s="171" t="s">
        <v>208</v>
      </c>
      <c r="D448" s="172" t="s">
        <v>166</v>
      </c>
      <c r="E448" s="173" t="s">
        <v>632</v>
      </c>
      <c r="F448" s="172" t="s">
        <v>635</v>
      </c>
      <c r="G448" s="172" t="s">
        <v>156</v>
      </c>
      <c r="H448" s="174" t="s">
        <v>700</v>
      </c>
      <c r="I448" s="175">
        <v>2</v>
      </c>
      <c r="J448" s="175">
        <v>9</v>
      </c>
      <c r="K448" s="176">
        <v>0</v>
      </c>
      <c r="L448" s="177">
        <v>29558952</v>
      </c>
      <c r="M448" s="172" t="s">
        <v>484</v>
      </c>
      <c r="N448" s="177" t="s">
        <v>113</v>
      </c>
      <c r="O448" s="173" t="s">
        <v>219</v>
      </c>
      <c r="P448" s="178" t="str">
        <f>IFERROR(VLOOKUP(C448,TD!$B$32:$F$36,2,0)," ")</f>
        <v>O230117</v>
      </c>
      <c r="Q448" s="178" t="str">
        <f>IFERROR(VLOOKUP(C448,TD!$B$32:$F$36,3,0)," ")</f>
        <v>4599</v>
      </c>
      <c r="R448" s="178">
        <f>IFERROR(VLOOKUP(C448,TD!$B$32:$F$36,4,0)," ")</f>
        <v>20240207</v>
      </c>
      <c r="S448" s="173" t="s">
        <v>185</v>
      </c>
      <c r="T448" s="178" t="str">
        <f>IFERROR(VLOOKUP(S448,TD!$J$33:$K$43,2,0)," ")</f>
        <v>Infraestructura física, mantenimiento y dotación (Sedes construidas, mantenidas reforzadas)</v>
      </c>
      <c r="U448" s="189" t="str">
        <f>CONCATENATE(S448,"-",T448)</f>
        <v>08-Infraestructura física, mantenimiento y dotación (Sedes construidas, mantenidas reforzadas)</v>
      </c>
      <c r="V448" s="173" t="s">
        <v>238</v>
      </c>
      <c r="W448" s="178" t="str">
        <f>IFERROR(VLOOKUP(V448,TD!$N$33:$O$45,2,0)," ")</f>
        <v>Sedes mantenidas</v>
      </c>
      <c r="X448" s="189" t="str">
        <f>CONCATENATE(V448,"_",W448)</f>
        <v>016_Sedes mantenidas</v>
      </c>
      <c r="Y448" s="189" t="str">
        <f>CONCATENATE(U448," ",X448)</f>
        <v>08-Infraestructura física, mantenimiento y dotación (Sedes construidas, mantenidas reforzadas) 016_Sedes mantenidas</v>
      </c>
      <c r="Z448" s="178" t="str">
        <f>CONCATENATE(P448,Q448,R448,S448,V448)</f>
        <v>O23011745992024020708016</v>
      </c>
      <c r="AA448" s="178" t="str">
        <f>IFERROR(VLOOKUP(Y448,TD!$K$46:$L$64,2,0)," ")</f>
        <v>PM/0131/0108/45990160207</v>
      </c>
      <c r="AB448" s="177" t="s">
        <v>138</v>
      </c>
      <c r="AC448" s="179" t="s">
        <v>204</v>
      </c>
    </row>
    <row r="449" spans="2:29" s="28" customFormat="1" ht="117" customHeight="1" x14ac:dyDescent="0.35">
      <c r="B449" s="170">
        <f>B448+1</f>
        <v>20250595</v>
      </c>
      <c r="C449" s="171" t="s">
        <v>208</v>
      </c>
      <c r="D449" s="172" t="s">
        <v>166</v>
      </c>
      <c r="E449" s="173" t="s">
        <v>632</v>
      </c>
      <c r="F449" s="172" t="s">
        <v>653</v>
      </c>
      <c r="G449" s="172" t="s">
        <v>156</v>
      </c>
      <c r="H449" s="174" t="s">
        <v>700</v>
      </c>
      <c r="I449" s="175">
        <v>2</v>
      </c>
      <c r="J449" s="175">
        <v>9</v>
      </c>
      <c r="K449" s="176">
        <v>0</v>
      </c>
      <c r="L449" s="177">
        <v>29558952</v>
      </c>
      <c r="M449" s="172" t="s">
        <v>484</v>
      </c>
      <c r="N449" s="177" t="s">
        <v>113</v>
      </c>
      <c r="O449" s="173" t="s">
        <v>218</v>
      </c>
      <c r="P449" s="178" t="str">
        <f>IFERROR(VLOOKUP(C449,TD!$B$32:$F$36,2,0)," ")</f>
        <v>O230117</v>
      </c>
      <c r="Q449" s="178" t="str">
        <f>IFERROR(VLOOKUP(C449,TD!$B$32:$F$36,3,0)," ")</f>
        <v>4599</v>
      </c>
      <c r="R449" s="178">
        <f>IFERROR(VLOOKUP(C449,TD!$B$32:$F$36,4,0)," ")</f>
        <v>20240207</v>
      </c>
      <c r="S449" s="173" t="s">
        <v>185</v>
      </c>
      <c r="T449" s="178" t="str">
        <f>IFERROR(VLOOKUP(S449,TD!$J$33:$K$43,2,0)," ")</f>
        <v>Infraestructura física, mantenimiento y dotación (Sedes construidas, mantenidas reforzadas)</v>
      </c>
      <c r="U449" s="189" t="str">
        <f>CONCATENATE(S449,"-",T449)</f>
        <v>08-Infraestructura física, mantenimiento y dotación (Sedes construidas, mantenidas reforzadas)</v>
      </c>
      <c r="V449" s="173" t="s">
        <v>238</v>
      </c>
      <c r="W449" s="178" t="str">
        <f>IFERROR(VLOOKUP(V449,TD!$N$33:$O$45,2,0)," ")</f>
        <v>Sedes mantenidas</v>
      </c>
      <c r="X449" s="189" t="str">
        <f>CONCATENATE(V449,"_",W449)</f>
        <v>016_Sedes mantenidas</v>
      </c>
      <c r="Y449" s="189" t="str">
        <f>CONCATENATE(U449," ",X449)</f>
        <v>08-Infraestructura física, mantenimiento y dotación (Sedes construidas, mantenidas reforzadas) 016_Sedes mantenidas</v>
      </c>
      <c r="Z449" s="178" t="str">
        <f>CONCATENATE(P449,Q449,R449,S449,V449)</f>
        <v>O23011745992024020708016</v>
      </c>
      <c r="AA449" s="178" t="str">
        <f>IFERROR(VLOOKUP(Y449,TD!$K$46:$L$64,2,0)," ")</f>
        <v>PM/0131/0108/45990160207</v>
      </c>
      <c r="AB449" s="177" t="s">
        <v>138</v>
      </c>
      <c r="AC449" s="179" t="s">
        <v>204</v>
      </c>
    </row>
    <row r="450" spans="2:29" s="28" customFormat="1" ht="122.5" customHeight="1" x14ac:dyDescent="0.35">
      <c r="B450" s="170">
        <f>B449+1</f>
        <v>20250596</v>
      </c>
      <c r="C450" s="171" t="s">
        <v>208</v>
      </c>
      <c r="D450" s="172" t="s">
        <v>166</v>
      </c>
      <c r="E450" s="173" t="s">
        <v>632</v>
      </c>
      <c r="F450" s="172" t="s">
        <v>653</v>
      </c>
      <c r="G450" s="172" t="s">
        <v>156</v>
      </c>
      <c r="H450" s="174" t="s">
        <v>700</v>
      </c>
      <c r="I450" s="175">
        <v>2</v>
      </c>
      <c r="J450" s="175">
        <v>9</v>
      </c>
      <c r="K450" s="176">
        <v>0</v>
      </c>
      <c r="L450" s="177">
        <v>29558952</v>
      </c>
      <c r="M450" s="172" t="s">
        <v>484</v>
      </c>
      <c r="N450" s="177" t="s">
        <v>113</v>
      </c>
      <c r="O450" s="173" t="s">
        <v>218</v>
      </c>
      <c r="P450" s="178" t="str">
        <f>IFERROR(VLOOKUP(C450,TD!$B$32:$F$36,2,0)," ")</f>
        <v>O230117</v>
      </c>
      <c r="Q450" s="178" t="str">
        <f>IFERROR(VLOOKUP(C450,TD!$B$32:$F$36,3,0)," ")</f>
        <v>4599</v>
      </c>
      <c r="R450" s="178">
        <f>IFERROR(VLOOKUP(C450,TD!$B$32:$F$36,4,0)," ")</f>
        <v>20240207</v>
      </c>
      <c r="S450" s="173" t="s">
        <v>185</v>
      </c>
      <c r="T450" s="178" t="str">
        <f>IFERROR(VLOOKUP(S450,TD!$J$33:$K$43,2,0)," ")</f>
        <v>Infraestructura física, mantenimiento y dotación (Sedes construidas, mantenidas reforzadas)</v>
      </c>
      <c r="U450" s="189" t="str">
        <f>CONCATENATE(S450,"-",T450)</f>
        <v>08-Infraestructura física, mantenimiento y dotación (Sedes construidas, mantenidas reforzadas)</v>
      </c>
      <c r="V450" s="173" t="s">
        <v>238</v>
      </c>
      <c r="W450" s="178" t="str">
        <f>IFERROR(VLOOKUP(V450,TD!$N$33:$O$45,2,0)," ")</f>
        <v>Sedes mantenidas</v>
      </c>
      <c r="X450" s="189" t="str">
        <f>CONCATENATE(V450,"_",W450)</f>
        <v>016_Sedes mantenidas</v>
      </c>
      <c r="Y450" s="189" t="str">
        <f>CONCATENATE(U450," ",X450)</f>
        <v>08-Infraestructura física, mantenimiento y dotación (Sedes construidas, mantenidas reforzadas) 016_Sedes mantenidas</v>
      </c>
      <c r="Z450" s="178" t="str">
        <f>CONCATENATE(P450,Q450,R450,S450,V450)</f>
        <v>O23011745992024020708016</v>
      </c>
      <c r="AA450" s="178" t="str">
        <f>IFERROR(VLOOKUP(Y450,TD!$K$46:$L$64,2,0)," ")</f>
        <v>PM/0131/0108/45990160207</v>
      </c>
      <c r="AB450" s="177" t="s">
        <v>138</v>
      </c>
      <c r="AC450" s="179" t="s">
        <v>204</v>
      </c>
    </row>
    <row r="451" spans="2:29" s="28" customFormat="1" ht="74.25" customHeight="1" x14ac:dyDescent="0.35">
      <c r="B451" s="170">
        <f>B450+1</f>
        <v>20250597</v>
      </c>
      <c r="C451" s="171" t="s">
        <v>208</v>
      </c>
      <c r="D451" s="172" t="s">
        <v>166</v>
      </c>
      <c r="E451" s="173" t="s">
        <v>632</v>
      </c>
      <c r="F451" s="172" t="s">
        <v>653</v>
      </c>
      <c r="G451" s="172" t="s">
        <v>156</v>
      </c>
      <c r="H451" s="174" t="s">
        <v>700</v>
      </c>
      <c r="I451" s="175">
        <v>2</v>
      </c>
      <c r="J451" s="175">
        <v>9</v>
      </c>
      <c r="K451" s="176">
        <v>0</v>
      </c>
      <c r="L451" s="177">
        <v>29558952</v>
      </c>
      <c r="M451" s="172" t="s">
        <v>484</v>
      </c>
      <c r="N451" s="177" t="s">
        <v>113</v>
      </c>
      <c r="O451" s="173" t="s">
        <v>218</v>
      </c>
      <c r="P451" s="178" t="str">
        <f>IFERROR(VLOOKUP(C451,TD!$B$32:$F$36,2,0)," ")</f>
        <v>O230117</v>
      </c>
      <c r="Q451" s="178" t="str">
        <f>IFERROR(VLOOKUP(C451,TD!$B$32:$F$36,3,0)," ")</f>
        <v>4599</v>
      </c>
      <c r="R451" s="178">
        <f>IFERROR(VLOOKUP(C451,TD!$B$32:$F$36,4,0)," ")</f>
        <v>20240207</v>
      </c>
      <c r="S451" s="173" t="s">
        <v>185</v>
      </c>
      <c r="T451" s="178" t="str">
        <f>IFERROR(VLOOKUP(S451,TD!$J$33:$K$43,2,0)," ")</f>
        <v>Infraestructura física, mantenimiento y dotación (Sedes construidas, mantenidas reforzadas)</v>
      </c>
      <c r="U451" s="189" t="str">
        <f>CONCATENATE(S451,"-",T451)</f>
        <v>08-Infraestructura física, mantenimiento y dotación (Sedes construidas, mantenidas reforzadas)</v>
      </c>
      <c r="V451" s="173" t="s">
        <v>238</v>
      </c>
      <c r="W451" s="178" t="str">
        <f>IFERROR(VLOOKUP(V451,TD!$N$33:$O$45,2,0)," ")</f>
        <v>Sedes mantenidas</v>
      </c>
      <c r="X451" s="189" t="str">
        <f>CONCATENATE(V451,"_",W451)</f>
        <v>016_Sedes mantenidas</v>
      </c>
      <c r="Y451" s="189" t="str">
        <f>CONCATENATE(U451," ",X451)</f>
        <v>08-Infraestructura física, mantenimiento y dotación (Sedes construidas, mantenidas reforzadas) 016_Sedes mantenidas</v>
      </c>
      <c r="Z451" s="178" t="str">
        <f>CONCATENATE(P451,Q451,R451,S451,V451)</f>
        <v>O23011745992024020708016</v>
      </c>
      <c r="AA451" s="178" t="str">
        <f>IFERROR(VLOOKUP(Y451,TD!$K$46:$L$64,2,0)," ")</f>
        <v>PM/0131/0108/45990160207</v>
      </c>
      <c r="AB451" s="177" t="s">
        <v>138</v>
      </c>
      <c r="AC451" s="179" t="s">
        <v>204</v>
      </c>
    </row>
    <row r="452" spans="2:29" s="28" customFormat="1" ht="74.25" customHeight="1" x14ac:dyDescent="0.35">
      <c r="B452" s="170">
        <f>B451+1</f>
        <v>20250598</v>
      </c>
      <c r="C452" s="171" t="s">
        <v>208</v>
      </c>
      <c r="D452" s="172" t="s">
        <v>166</v>
      </c>
      <c r="E452" s="173" t="s">
        <v>632</v>
      </c>
      <c r="F452" s="172" t="s">
        <v>653</v>
      </c>
      <c r="G452" s="172" t="s">
        <v>156</v>
      </c>
      <c r="H452" s="174" t="s">
        <v>700</v>
      </c>
      <c r="I452" s="175">
        <v>2</v>
      </c>
      <c r="J452" s="175">
        <v>9</v>
      </c>
      <c r="K452" s="176">
        <v>0</v>
      </c>
      <c r="L452" s="177">
        <v>29558952</v>
      </c>
      <c r="M452" s="172" t="s">
        <v>484</v>
      </c>
      <c r="N452" s="177" t="s">
        <v>113</v>
      </c>
      <c r="O452" s="173" t="s">
        <v>218</v>
      </c>
      <c r="P452" s="178" t="str">
        <f>IFERROR(VLOOKUP(C452,TD!$B$32:$F$36,2,0)," ")</f>
        <v>O230117</v>
      </c>
      <c r="Q452" s="178" t="str">
        <f>IFERROR(VLOOKUP(C452,TD!$B$32:$F$36,3,0)," ")</f>
        <v>4599</v>
      </c>
      <c r="R452" s="178">
        <f>IFERROR(VLOOKUP(C452,TD!$B$32:$F$36,4,0)," ")</f>
        <v>20240207</v>
      </c>
      <c r="S452" s="173" t="s">
        <v>185</v>
      </c>
      <c r="T452" s="178" t="str">
        <f>IFERROR(VLOOKUP(S452,TD!$J$33:$K$43,2,0)," ")</f>
        <v>Infraestructura física, mantenimiento y dotación (Sedes construidas, mantenidas reforzadas)</v>
      </c>
      <c r="U452" s="189" t="str">
        <f>CONCATENATE(S452,"-",T452)</f>
        <v>08-Infraestructura física, mantenimiento y dotación (Sedes construidas, mantenidas reforzadas)</v>
      </c>
      <c r="V452" s="173" t="s">
        <v>238</v>
      </c>
      <c r="W452" s="178" t="str">
        <f>IFERROR(VLOOKUP(V452,TD!$N$33:$O$45,2,0)," ")</f>
        <v>Sedes mantenidas</v>
      </c>
      <c r="X452" s="189" t="str">
        <f>CONCATENATE(V452,"_",W452)</f>
        <v>016_Sedes mantenidas</v>
      </c>
      <c r="Y452" s="189" t="str">
        <f>CONCATENATE(U452," ",X452)</f>
        <v>08-Infraestructura física, mantenimiento y dotación (Sedes construidas, mantenidas reforzadas) 016_Sedes mantenidas</v>
      </c>
      <c r="Z452" s="178" t="str">
        <f>CONCATENATE(P452,Q452,R452,S452,V452)</f>
        <v>O23011745992024020708016</v>
      </c>
      <c r="AA452" s="178" t="str">
        <f>IFERROR(VLOOKUP(Y452,TD!$K$46:$L$64,2,0)," ")</f>
        <v>PM/0131/0108/45990160207</v>
      </c>
      <c r="AB452" s="177" t="s">
        <v>138</v>
      </c>
      <c r="AC452" s="179" t="s">
        <v>204</v>
      </c>
    </row>
    <row r="453" spans="2:29" s="28" customFormat="1" ht="74.25" customHeight="1" x14ac:dyDescent="0.35">
      <c r="B453" s="170">
        <f>B452+1</f>
        <v>20250599</v>
      </c>
      <c r="C453" s="171" t="s">
        <v>208</v>
      </c>
      <c r="D453" s="172" t="s">
        <v>166</v>
      </c>
      <c r="E453" s="173" t="s">
        <v>632</v>
      </c>
      <c r="F453" s="172" t="s">
        <v>653</v>
      </c>
      <c r="G453" s="172" t="s">
        <v>156</v>
      </c>
      <c r="H453" s="174" t="s">
        <v>700</v>
      </c>
      <c r="I453" s="175">
        <v>2</v>
      </c>
      <c r="J453" s="175">
        <v>9</v>
      </c>
      <c r="K453" s="176">
        <v>0</v>
      </c>
      <c r="L453" s="177">
        <v>29558952</v>
      </c>
      <c r="M453" s="172" t="s">
        <v>484</v>
      </c>
      <c r="N453" s="177" t="s">
        <v>113</v>
      </c>
      <c r="O453" s="173" t="s">
        <v>218</v>
      </c>
      <c r="P453" s="178" t="str">
        <f>IFERROR(VLOOKUP(C453,TD!$B$32:$F$36,2,0)," ")</f>
        <v>O230117</v>
      </c>
      <c r="Q453" s="178" t="str">
        <f>IFERROR(VLOOKUP(C453,TD!$B$32:$F$36,3,0)," ")</f>
        <v>4599</v>
      </c>
      <c r="R453" s="178">
        <f>IFERROR(VLOOKUP(C453,TD!$B$32:$F$36,4,0)," ")</f>
        <v>20240207</v>
      </c>
      <c r="S453" s="173" t="s">
        <v>185</v>
      </c>
      <c r="T453" s="178" t="str">
        <f>IFERROR(VLOOKUP(S453,TD!$J$33:$K$43,2,0)," ")</f>
        <v>Infraestructura física, mantenimiento y dotación (Sedes construidas, mantenidas reforzadas)</v>
      </c>
      <c r="U453" s="189" t="str">
        <f>CONCATENATE(S453,"-",T453)</f>
        <v>08-Infraestructura física, mantenimiento y dotación (Sedes construidas, mantenidas reforzadas)</v>
      </c>
      <c r="V453" s="173" t="s">
        <v>238</v>
      </c>
      <c r="W453" s="178" t="str">
        <f>IFERROR(VLOOKUP(V453,TD!$N$33:$O$45,2,0)," ")</f>
        <v>Sedes mantenidas</v>
      </c>
      <c r="X453" s="189" t="str">
        <f>CONCATENATE(V453,"_",W453)</f>
        <v>016_Sedes mantenidas</v>
      </c>
      <c r="Y453" s="189" t="str">
        <f>CONCATENATE(U453," ",X453)</f>
        <v>08-Infraestructura física, mantenimiento y dotación (Sedes construidas, mantenidas reforzadas) 016_Sedes mantenidas</v>
      </c>
      <c r="Z453" s="178" t="str">
        <f>CONCATENATE(P453,Q453,R453,S453,V453)</f>
        <v>O23011745992024020708016</v>
      </c>
      <c r="AA453" s="178" t="str">
        <f>IFERROR(VLOOKUP(Y453,TD!$K$46:$L$64,2,0)," ")</f>
        <v>PM/0131/0108/45990160207</v>
      </c>
      <c r="AB453" s="177" t="s">
        <v>138</v>
      </c>
      <c r="AC453" s="179" t="s">
        <v>204</v>
      </c>
    </row>
    <row r="454" spans="2:29" s="28" customFormat="1" ht="74.25" customHeight="1" x14ac:dyDescent="0.35">
      <c r="B454" s="170">
        <f>B453+1</f>
        <v>20250600</v>
      </c>
      <c r="C454" s="171" t="s">
        <v>208</v>
      </c>
      <c r="D454" s="172" t="s">
        <v>166</v>
      </c>
      <c r="E454" s="173" t="s">
        <v>632</v>
      </c>
      <c r="F454" s="172" t="s">
        <v>642</v>
      </c>
      <c r="G454" s="172" t="s">
        <v>156</v>
      </c>
      <c r="H454" s="174" t="s">
        <v>700</v>
      </c>
      <c r="I454" s="175">
        <v>2</v>
      </c>
      <c r="J454" s="175">
        <v>9</v>
      </c>
      <c r="K454" s="176">
        <v>0</v>
      </c>
      <c r="L454" s="177">
        <v>25336251</v>
      </c>
      <c r="M454" s="172" t="s">
        <v>484</v>
      </c>
      <c r="N454" s="177" t="s">
        <v>113</v>
      </c>
      <c r="O454" s="173" t="s">
        <v>219</v>
      </c>
      <c r="P454" s="178" t="str">
        <f>IFERROR(VLOOKUP(C454,TD!$B$32:$F$36,2,0)," ")</f>
        <v>O230117</v>
      </c>
      <c r="Q454" s="178" t="str">
        <f>IFERROR(VLOOKUP(C454,TD!$B$32:$F$36,3,0)," ")</f>
        <v>4599</v>
      </c>
      <c r="R454" s="178">
        <f>IFERROR(VLOOKUP(C454,TD!$B$32:$F$36,4,0)," ")</f>
        <v>20240207</v>
      </c>
      <c r="S454" s="173" t="s">
        <v>185</v>
      </c>
      <c r="T454" s="178" t="str">
        <f>IFERROR(VLOOKUP(S454,TD!$J$33:$K$43,2,0)," ")</f>
        <v>Infraestructura física, mantenimiento y dotación (Sedes construidas, mantenidas reforzadas)</v>
      </c>
      <c r="U454" s="189" t="str">
        <f>CONCATENATE(S454,"-",T454)</f>
        <v>08-Infraestructura física, mantenimiento y dotación (Sedes construidas, mantenidas reforzadas)</v>
      </c>
      <c r="V454" s="173" t="s">
        <v>238</v>
      </c>
      <c r="W454" s="178" t="str">
        <f>IFERROR(VLOOKUP(V454,TD!$N$33:$O$45,2,0)," ")</f>
        <v>Sedes mantenidas</v>
      </c>
      <c r="X454" s="189" t="str">
        <f>CONCATENATE(V454,"_",W454)</f>
        <v>016_Sedes mantenidas</v>
      </c>
      <c r="Y454" s="189" t="str">
        <f>CONCATENATE(U454," ",X454)</f>
        <v>08-Infraestructura física, mantenimiento y dotación (Sedes construidas, mantenidas reforzadas) 016_Sedes mantenidas</v>
      </c>
      <c r="Z454" s="178" t="str">
        <f>CONCATENATE(P454,Q454,R454,S454,V454)</f>
        <v>O23011745992024020708016</v>
      </c>
      <c r="AA454" s="178" t="str">
        <f>IFERROR(VLOOKUP(Y454,TD!$K$46:$L$64,2,0)," ")</f>
        <v>PM/0131/0108/45990160207</v>
      </c>
      <c r="AB454" s="177" t="s">
        <v>138</v>
      </c>
      <c r="AC454" s="179" t="s">
        <v>204</v>
      </c>
    </row>
    <row r="455" spans="2:29" s="28" customFormat="1" ht="74.25" customHeight="1" x14ac:dyDescent="0.35">
      <c r="B455" s="170">
        <f>B454+1</f>
        <v>20250601</v>
      </c>
      <c r="C455" s="171" t="s">
        <v>208</v>
      </c>
      <c r="D455" s="172" t="s">
        <v>166</v>
      </c>
      <c r="E455" s="173" t="s">
        <v>632</v>
      </c>
      <c r="F455" s="172" t="s">
        <v>841</v>
      </c>
      <c r="G455" s="172" t="s">
        <v>155</v>
      </c>
      <c r="H455" s="174" t="s">
        <v>700</v>
      </c>
      <c r="I455" s="175">
        <v>2</v>
      </c>
      <c r="J455" s="175">
        <v>9</v>
      </c>
      <c r="K455" s="176">
        <v>0</v>
      </c>
      <c r="L455" s="177">
        <v>61530876</v>
      </c>
      <c r="M455" s="172" t="s">
        <v>484</v>
      </c>
      <c r="N455" s="177" t="s">
        <v>113</v>
      </c>
      <c r="O455" s="173" t="s">
        <v>219</v>
      </c>
      <c r="P455" s="178" t="str">
        <f>IFERROR(VLOOKUP(C455,TD!$B$32:$F$36,2,0)," ")</f>
        <v>O230117</v>
      </c>
      <c r="Q455" s="178" t="str">
        <f>IFERROR(VLOOKUP(C455,TD!$B$32:$F$36,3,0)," ")</f>
        <v>4599</v>
      </c>
      <c r="R455" s="178">
        <f>IFERROR(VLOOKUP(C455,TD!$B$32:$F$36,4,0)," ")</f>
        <v>20240207</v>
      </c>
      <c r="S455" s="173" t="s">
        <v>185</v>
      </c>
      <c r="T455" s="178" t="str">
        <f>IFERROR(VLOOKUP(S455,TD!$J$33:$K$43,2,0)," ")</f>
        <v>Infraestructura física, mantenimiento y dotación (Sedes construidas, mantenidas reforzadas)</v>
      </c>
      <c r="U455" s="189" t="str">
        <f>CONCATENATE(S455,"-",T455)</f>
        <v>08-Infraestructura física, mantenimiento y dotación (Sedes construidas, mantenidas reforzadas)</v>
      </c>
      <c r="V455" s="173" t="s">
        <v>238</v>
      </c>
      <c r="W455" s="178" t="str">
        <f>IFERROR(VLOOKUP(V455,TD!$N$33:$O$45,2,0)," ")</f>
        <v>Sedes mantenidas</v>
      </c>
      <c r="X455" s="189" t="str">
        <f>CONCATENATE(V455,"_",W455)</f>
        <v>016_Sedes mantenidas</v>
      </c>
      <c r="Y455" s="189" t="str">
        <f>CONCATENATE(U455," ",X455)</f>
        <v>08-Infraestructura física, mantenimiento y dotación (Sedes construidas, mantenidas reforzadas) 016_Sedes mantenidas</v>
      </c>
      <c r="Z455" s="178" t="str">
        <f>CONCATENATE(P455,Q455,R455,S455,V455)</f>
        <v>O23011745992024020708016</v>
      </c>
      <c r="AA455" s="178" t="str">
        <f>IFERROR(VLOOKUP(Y455,TD!$K$46:$L$64,2,0)," ")</f>
        <v>PM/0131/0108/45990160207</v>
      </c>
      <c r="AB455" s="177" t="s">
        <v>138</v>
      </c>
      <c r="AC455" s="179" t="s">
        <v>204</v>
      </c>
    </row>
    <row r="456" spans="2:29" s="28" customFormat="1" ht="74.25" customHeight="1" x14ac:dyDescent="0.35">
      <c r="B456" s="170">
        <f>B455+1</f>
        <v>20250602</v>
      </c>
      <c r="C456" s="171" t="s">
        <v>208</v>
      </c>
      <c r="D456" s="172" t="s">
        <v>166</v>
      </c>
      <c r="E456" s="173" t="s">
        <v>632</v>
      </c>
      <c r="F456" s="172" t="s">
        <v>642</v>
      </c>
      <c r="G456" s="172" t="s">
        <v>156</v>
      </c>
      <c r="H456" s="174" t="s">
        <v>700</v>
      </c>
      <c r="I456" s="175">
        <v>2</v>
      </c>
      <c r="J456" s="175">
        <v>9</v>
      </c>
      <c r="K456" s="176">
        <v>0</v>
      </c>
      <c r="L456" s="177">
        <v>25336251</v>
      </c>
      <c r="M456" s="172" t="s">
        <v>484</v>
      </c>
      <c r="N456" s="177" t="s">
        <v>113</v>
      </c>
      <c r="O456" s="173" t="s">
        <v>219</v>
      </c>
      <c r="P456" s="178" t="str">
        <f>IFERROR(VLOOKUP(C456,TD!$B$32:$F$36,2,0)," ")</f>
        <v>O230117</v>
      </c>
      <c r="Q456" s="178" t="str">
        <f>IFERROR(VLOOKUP(C456,TD!$B$32:$F$36,3,0)," ")</f>
        <v>4599</v>
      </c>
      <c r="R456" s="178">
        <f>IFERROR(VLOOKUP(C456,TD!$B$32:$F$36,4,0)," ")</f>
        <v>20240207</v>
      </c>
      <c r="S456" s="173" t="s">
        <v>185</v>
      </c>
      <c r="T456" s="178" t="str">
        <f>IFERROR(VLOOKUP(S456,TD!$J$33:$K$43,2,0)," ")</f>
        <v>Infraestructura física, mantenimiento y dotación (Sedes construidas, mantenidas reforzadas)</v>
      </c>
      <c r="U456" s="189" t="str">
        <f>CONCATENATE(S456,"-",T456)</f>
        <v>08-Infraestructura física, mantenimiento y dotación (Sedes construidas, mantenidas reforzadas)</v>
      </c>
      <c r="V456" s="173" t="s">
        <v>238</v>
      </c>
      <c r="W456" s="178" t="str">
        <f>IFERROR(VLOOKUP(V456,TD!$N$33:$O$45,2,0)," ")</f>
        <v>Sedes mantenidas</v>
      </c>
      <c r="X456" s="189" t="str">
        <f>CONCATENATE(V456,"_",W456)</f>
        <v>016_Sedes mantenidas</v>
      </c>
      <c r="Y456" s="189" t="str">
        <f>CONCATENATE(U456," ",X456)</f>
        <v>08-Infraestructura física, mantenimiento y dotación (Sedes construidas, mantenidas reforzadas) 016_Sedes mantenidas</v>
      </c>
      <c r="Z456" s="178" t="str">
        <f>CONCATENATE(P456,Q456,R456,S456,V456)</f>
        <v>O23011745992024020708016</v>
      </c>
      <c r="AA456" s="178" t="str">
        <f>IFERROR(VLOOKUP(Y456,TD!$K$46:$L$64,2,0)," ")</f>
        <v>PM/0131/0108/45990160207</v>
      </c>
      <c r="AB456" s="177" t="s">
        <v>138</v>
      </c>
      <c r="AC456" s="179" t="s">
        <v>204</v>
      </c>
    </row>
    <row r="457" spans="2:29" s="28" customFormat="1" ht="74.25" customHeight="1" x14ac:dyDescent="0.35">
      <c r="B457" s="170">
        <v>20250603</v>
      </c>
      <c r="C457" s="171" t="s">
        <v>346</v>
      </c>
      <c r="D457" s="172" t="s">
        <v>166</v>
      </c>
      <c r="E457" s="173" t="s">
        <v>632</v>
      </c>
      <c r="F457" s="172" t="s">
        <v>839</v>
      </c>
      <c r="G457" s="172" t="s">
        <v>142</v>
      </c>
      <c r="H457" s="174">
        <v>84131515</v>
      </c>
      <c r="I457" s="175">
        <v>2</v>
      </c>
      <c r="J457" s="175">
        <v>12</v>
      </c>
      <c r="K457" s="176">
        <v>0</v>
      </c>
      <c r="L457" s="177">
        <v>450000000</v>
      </c>
      <c r="M457" s="172" t="s">
        <v>172</v>
      </c>
      <c r="N457" s="177" t="s">
        <v>90</v>
      </c>
      <c r="O457" s="173" t="s">
        <v>347</v>
      </c>
      <c r="P457" s="178" t="str">
        <f>IFERROR(VLOOKUP(C457,TD!$B$32:$F$36,2,0)," ")</f>
        <v>NA</v>
      </c>
      <c r="Q457" s="178" t="str">
        <f>IFERROR(VLOOKUP(C457,TD!$B$32:$F$36,3,0)," ")</f>
        <v>NA</v>
      </c>
      <c r="R457" s="178" t="str">
        <f>IFERROR(VLOOKUP(C457,TD!$B$32:$F$36,4,0)," ")</f>
        <v>NA</v>
      </c>
      <c r="S457" s="173" t="s">
        <v>409</v>
      </c>
      <c r="T457" s="178" t="str">
        <f>IFERROR(VLOOKUP(S457,TD!$J$33:$K$43,2,0)," ")</f>
        <v>N/A</v>
      </c>
      <c r="U457" s="189" t="str">
        <f>CONCATENATE(S457,"-",T457)</f>
        <v>N/A-N/A</v>
      </c>
      <c r="V457" s="173" t="s">
        <v>409</v>
      </c>
      <c r="W457" s="178" t="str">
        <f>IFERROR(VLOOKUP(V457,TD!$N$33:$O$45,2,0)," ")</f>
        <v>N/A</v>
      </c>
      <c r="X457" s="189" t="str">
        <f>CONCATENATE(V457,"_",W457)</f>
        <v>N/A_N/A</v>
      </c>
      <c r="Y457" s="189" t="str">
        <f>CONCATENATE(U457," ",X457)</f>
        <v>N/A-N/A N/A_N/A</v>
      </c>
      <c r="Z457" s="178" t="str">
        <f>CONCATENATE(P457,Q457,R457,S457,V457)</f>
        <v>NANANAN/AN/A</v>
      </c>
      <c r="AA457" s="178" t="str">
        <f>IFERROR(VLOOKUP(Y457,TD!$K$46:$L$64,2,0)," ")</f>
        <v>N/A</v>
      </c>
      <c r="AB457" s="177" t="s">
        <v>348</v>
      </c>
      <c r="AC457" s="179" t="s">
        <v>204</v>
      </c>
    </row>
    <row r="458" spans="2:29" s="28" customFormat="1" ht="74.25" customHeight="1" x14ac:dyDescent="0.35">
      <c r="B458" s="170">
        <v>20250604</v>
      </c>
      <c r="C458" s="171" t="s">
        <v>209</v>
      </c>
      <c r="D458" s="172" t="s">
        <v>168</v>
      </c>
      <c r="E458" s="173" t="s">
        <v>692</v>
      </c>
      <c r="F458" s="172" t="s">
        <v>861</v>
      </c>
      <c r="G458" s="172" t="s">
        <v>96</v>
      </c>
      <c r="H458" s="174">
        <v>46161600</v>
      </c>
      <c r="I458" s="175">
        <v>2</v>
      </c>
      <c r="J458" s="175">
        <v>3</v>
      </c>
      <c r="K458" s="176">
        <v>0</v>
      </c>
      <c r="L458" s="177">
        <v>25366600</v>
      </c>
      <c r="M458" s="172" t="s">
        <v>484</v>
      </c>
      <c r="N458" s="177" t="s">
        <v>113</v>
      </c>
      <c r="O458" s="173" t="s">
        <v>224</v>
      </c>
      <c r="P458" s="178" t="str">
        <f>IFERROR(VLOOKUP(C458,TD!$B$32:$F$36,2,0)," ")</f>
        <v>O230117</v>
      </c>
      <c r="Q458" s="178" t="str">
        <f>IFERROR(VLOOKUP(C458,TD!$B$32:$F$36,3,0)," ")</f>
        <v>4503</v>
      </c>
      <c r="R458" s="178">
        <f>IFERROR(VLOOKUP(C458,TD!$B$32:$F$36,4,0)," ")</f>
        <v>20240255</v>
      </c>
      <c r="S458" s="173" t="s">
        <v>187</v>
      </c>
      <c r="T458" s="178" t="str">
        <f>IFERROR(VLOOKUP(S458,TD!$J$33:$K$43,2,0)," ")</f>
        <v>Servicio de mantenimiento, dotación (HEA´s y equipo menor) y adquisición de vehiculos   especializados para la atención de emergencias.</v>
      </c>
      <c r="U458" s="220" t="str">
        <f>CONCATENATE(S458,"-",T458)</f>
        <v>09-Servicio de mantenimiento, dotación (HEA´s y equipo menor) y adquisición de vehiculos   especializados para la atención de emergencias.</v>
      </c>
      <c r="V458" s="173" t="s">
        <v>232</v>
      </c>
      <c r="W458" s="178" t="str">
        <f>IFERROR(VLOOKUP(V458,TD!$N$33:$O$45,2,0)," ")</f>
        <v>Servicio de atención a emergencias y desastres</v>
      </c>
      <c r="X458" s="220" t="str">
        <f>CONCATENATE(V458,"_",W458)</f>
        <v>004_Servicio de atención a emergencias y desastres</v>
      </c>
      <c r="Y458" s="220" t="str">
        <f>CONCATENATE(U458," ",X458)</f>
        <v>09-Servicio de mantenimiento, dotación (HEA´s y equipo menor) y adquisición de vehiculos   especializados para la atención de emergencias. 004_Servicio de atención a emergencias y desastres</v>
      </c>
      <c r="Z458" s="178" t="str">
        <f>CONCATENATE(P458,Q458,R458,S458,V458)</f>
        <v>O23011745032024025509004</v>
      </c>
      <c r="AA458" s="178" t="str">
        <f>IFERROR(VLOOKUP(Y458,TD!$K$46:$L$64,2,0)," ")</f>
        <v>PM/0131/0109/45030040255</v>
      </c>
      <c r="AB458" s="177" t="s">
        <v>87</v>
      </c>
      <c r="AC458" s="179" t="s">
        <v>205</v>
      </c>
    </row>
    <row r="459" spans="2:29" s="28" customFormat="1" ht="74.25" customHeight="1" x14ac:dyDescent="0.35">
      <c r="B459" s="170">
        <v>20250605</v>
      </c>
      <c r="C459" s="171" t="s">
        <v>209</v>
      </c>
      <c r="D459" s="172" t="s">
        <v>168</v>
      </c>
      <c r="E459" s="173" t="s">
        <v>692</v>
      </c>
      <c r="F459" s="172" t="s">
        <v>862</v>
      </c>
      <c r="G459" s="172" t="s">
        <v>156</v>
      </c>
      <c r="H459" s="174">
        <v>80111600</v>
      </c>
      <c r="I459" s="175">
        <v>2</v>
      </c>
      <c r="J459" s="175">
        <v>10</v>
      </c>
      <c r="K459" s="176">
        <v>0</v>
      </c>
      <c r="L459" s="177">
        <v>30000000</v>
      </c>
      <c r="M459" s="172" t="s">
        <v>484</v>
      </c>
      <c r="N459" s="177" t="s">
        <v>113</v>
      </c>
      <c r="O459" s="173" t="s">
        <v>224</v>
      </c>
      <c r="P459" s="178" t="str">
        <f>IFERROR(VLOOKUP(C459,TD!$B$32:$F$36,2,0)," ")</f>
        <v>O230117</v>
      </c>
      <c r="Q459" s="178" t="str">
        <f>IFERROR(VLOOKUP(C459,TD!$B$32:$F$36,3,0)," ")</f>
        <v>4503</v>
      </c>
      <c r="R459" s="178">
        <f>IFERROR(VLOOKUP(C459,TD!$B$32:$F$36,4,0)," ")</f>
        <v>20240255</v>
      </c>
      <c r="S459" s="173" t="s">
        <v>191</v>
      </c>
      <c r="T459" s="178" t="str">
        <f>IFERROR(VLOOKUP(S459,TD!$J$33:$K$43,2,0)," ")</f>
        <v>Servicio de apoyo   logístico  en eventos operativos y/o emergencias.</v>
      </c>
      <c r="U459" s="220" t="str">
        <f>CONCATENATE(S459,"-",T459)</f>
        <v>12-Servicio de apoyo   logístico  en eventos operativos y/o emergencias.</v>
      </c>
      <c r="V459" s="173" t="s">
        <v>232</v>
      </c>
      <c r="W459" s="178" t="str">
        <f>IFERROR(VLOOKUP(V459,TD!$N$33:$O$45,2,0)," ")</f>
        <v>Servicio de atención a emergencias y desastres</v>
      </c>
      <c r="X459" s="220" t="str">
        <f>CONCATENATE(V459,"_",W459)</f>
        <v>004_Servicio de atención a emergencias y desastres</v>
      </c>
      <c r="Y459" s="220" t="str">
        <f>CONCATENATE(U459," ",X459)</f>
        <v>12-Servicio de apoyo   logístico  en eventos operativos y/o emergencias. 004_Servicio de atención a emergencias y desastres</v>
      </c>
      <c r="Z459" s="178" t="str">
        <f>CONCATENATE(P459,Q459,R459,S459,V459)</f>
        <v>O23011745032024025512004</v>
      </c>
      <c r="AA459" s="178" t="str">
        <f>IFERROR(VLOOKUP(Y459,TD!$K$46:$L$64,2,0)," ")</f>
        <v>PM/0131/0112/45030040255</v>
      </c>
      <c r="AB459" s="177" t="s">
        <v>138</v>
      </c>
      <c r="AC459" s="173" t="s">
        <v>204</v>
      </c>
    </row>
    <row r="460" spans="2:29" s="28" customFormat="1" ht="74.25" customHeight="1" x14ac:dyDescent="0.35">
      <c r="B460" s="170">
        <v>20250606</v>
      </c>
      <c r="C460" s="171" t="s">
        <v>209</v>
      </c>
      <c r="D460" s="172" t="s">
        <v>168</v>
      </c>
      <c r="E460" s="173" t="s">
        <v>692</v>
      </c>
      <c r="F460" s="172" t="s">
        <v>862</v>
      </c>
      <c r="G460" s="172" t="s">
        <v>156</v>
      </c>
      <c r="H460" s="174">
        <v>80111600</v>
      </c>
      <c r="I460" s="175">
        <v>2</v>
      </c>
      <c r="J460" s="175">
        <v>10</v>
      </c>
      <c r="K460" s="176">
        <v>0</v>
      </c>
      <c r="L460" s="177">
        <v>30000000</v>
      </c>
      <c r="M460" s="172" t="s">
        <v>484</v>
      </c>
      <c r="N460" s="177" t="s">
        <v>113</v>
      </c>
      <c r="O460" s="173" t="s">
        <v>224</v>
      </c>
      <c r="P460" s="178" t="str">
        <f>IFERROR(VLOOKUP(C460,TD!$B$32:$F$36,2,0)," ")</f>
        <v>O230117</v>
      </c>
      <c r="Q460" s="178" t="str">
        <f>IFERROR(VLOOKUP(C460,TD!$B$32:$F$36,3,0)," ")</f>
        <v>4503</v>
      </c>
      <c r="R460" s="178">
        <f>IFERROR(VLOOKUP(C460,TD!$B$32:$F$36,4,0)," ")</f>
        <v>20240255</v>
      </c>
      <c r="S460" s="173" t="s">
        <v>191</v>
      </c>
      <c r="T460" s="178" t="str">
        <f>IFERROR(VLOOKUP(S460,TD!$J$33:$K$43,2,0)," ")</f>
        <v>Servicio de apoyo   logístico  en eventos operativos y/o emergencias.</v>
      </c>
      <c r="U460" s="220" t="str">
        <f>CONCATENATE(S460,"-",T460)</f>
        <v>12-Servicio de apoyo   logístico  en eventos operativos y/o emergencias.</v>
      </c>
      <c r="V460" s="173" t="s">
        <v>232</v>
      </c>
      <c r="W460" s="178" t="str">
        <f>IFERROR(VLOOKUP(V460,TD!$N$33:$O$45,2,0)," ")</f>
        <v>Servicio de atención a emergencias y desastres</v>
      </c>
      <c r="X460" s="220" t="str">
        <f>CONCATENATE(V460,"_",W460)</f>
        <v>004_Servicio de atención a emergencias y desastres</v>
      </c>
      <c r="Y460" s="220" t="str">
        <f>CONCATENATE(U460," ",X460)</f>
        <v>12-Servicio de apoyo   logístico  en eventos operativos y/o emergencias. 004_Servicio de atención a emergencias y desastres</v>
      </c>
      <c r="Z460" s="178" t="str">
        <f>CONCATENATE(P460,Q460,R460,S460,V460)</f>
        <v>O23011745032024025512004</v>
      </c>
      <c r="AA460" s="178" t="str">
        <f>IFERROR(VLOOKUP(Y460,TD!$K$46:$L$64,2,0)," ")</f>
        <v>PM/0131/0112/45030040255</v>
      </c>
      <c r="AB460" s="177" t="s">
        <v>138</v>
      </c>
      <c r="AC460" s="179" t="s">
        <v>204</v>
      </c>
    </row>
    <row r="461" spans="2:29" s="28" customFormat="1" ht="74.25" customHeight="1" x14ac:dyDescent="0.35">
      <c r="B461" s="170">
        <v>20250607</v>
      </c>
      <c r="C461" s="171" t="s">
        <v>209</v>
      </c>
      <c r="D461" s="172" t="s">
        <v>168</v>
      </c>
      <c r="E461" s="173" t="s">
        <v>692</v>
      </c>
      <c r="F461" s="172" t="s">
        <v>862</v>
      </c>
      <c r="G461" s="172" t="s">
        <v>156</v>
      </c>
      <c r="H461" s="174">
        <v>80111600</v>
      </c>
      <c r="I461" s="175">
        <v>2</v>
      </c>
      <c r="J461" s="175">
        <v>10</v>
      </c>
      <c r="K461" s="176">
        <v>0</v>
      </c>
      <c r="L461" s="177">
        <v>30000000</v>
      </c>
      <c r="M461" s="172" t="s">
        <v>484</v>
      </c>
      <c r="N461" s="177" t="s">
        <v>113</v>
      </c>
      <c r="O461" s="173" t="s">
        <v>224</v>
      </c>
      <c r="P461" s="178" t="str">
        <f>IFERROR(VLOOKUP(C461,TD!$B$32:$F$36,2,0)," ")</f>
        <v>O230117</v>
      </c>
      <c r="Q461" s="178" t="str">
        <f>IFERROR(VLOOKUP(C461,TD!$B$32:$F$36,3,0)," ")</f>
        <v>4503</v>
      </c>
      <c r="R461" s="178">
        <f>IFERROR(VLOOKUP(C461,TD!$B$32:$F$36,4,0)," ")</f>
        <v>20240255</v>
      </c>
      <c r="S461" s="173" t="s">
        <v>191</v>
      </c>
      <c r="T461" s="178" t="str">
        <f>IFERROR(VLOOKUP(S461,TD!$J$33:$K$43,2,0)," ")</f>
        <v>Servicio de apoyo   logístico  en eventos operativos y/o emergencias.</v>
      </c>
      <c r="U461" s="220" t="str">
        <f>CONCATENATE(S461,"-",T461)</f>
        <v>12-Servicio de apoyo   logístico  en eventos operativos y/o emergencias.</v>
      </c>
      <c r="V461" s="173" t="s">
        <v>232</v>
      </c>
      <c r="W461" s="178" t="str">
        <f>IFERROR(VLOOKUP(V461,TD!$N$33:$O$45,2,0)," ")</f>
        <v>Servicio de atención a emergencias y desastres</v>
      </c>
      <c r="X461" s="220" t="str">
        <f>CONCATENATE(V461,"_",W461)</f>
        <v>004_Servicio de atención a emergencias y desastres</v>
      </c>
      <c r="Y461" s="220" t="str">
        <f>CONCATENATE(U461," ",X461)</f>
        <v>12-Servicio de apoyo   logístico  en eventos operativos y/o emergencias. 004_Servicio de atención a emergencias y desastres</v>
      </c>
      <c r="Z461" s="178" t="str">
        <f>CONCATENATE(P461,Q461,R461,S461,V461)</f>
        <v>O23011745032024025512004</v>
      </c>
      <c r="AA461" s="178" t="str">
        <f>IFERROR(VLOOKUP(Y461,TD!$K$46:$L$64,2,0)," ")</f>
        <v>PM/0131/0112/45030040255</v>
      </c>
      <c r="AB461" s="177" t="s">
        <v>138</v>
      </c>
      <c r="AC461" s="179" t="s">
        <v>204</v>
      </c>
    </row>
    <row r="462" spans="2:29" s="28" customFormat="1" ht="74.25" customHeight="1" x14ac:dyDescent="0.35">
      <c r="B462" s="170">
        <v>20250608</v>
      </c>
      <c r="C462" s="171" t="s">
        <v>209</v>
      </c>
      <c r="D462" s="172" t="s">
        <v>168</v>
      </c>
      <c r="E462" s="173" t="s">
        <v>692</v>
      </c>
      <c r="F462" s="172" t="s">
        <v>862</v>
      </c>
      <c r="G462" s="172" t="s">
        <v>156</v>
      </c>
      <c r="H462" s="174">
        <v>80111600</v>
      </c>
      <c r="I462" s="175">
        <v>2</v>
      </c>
      <c r="J462" s="175">
        <v>10</v>
      </c>
      <c r="K462" s="176">
        <v>0</v>
      </c>
      <c r="L462" s="177">
        <v>30000000</v>
      </c>
      <c r="M462" s="172" t="s">
        <v>484</v>
      </c>
      <c r="N462" s="177" t="s">
        <v>113</v>
      </c>
      <c r="O462" s="173" t="s">
        <v>224</v>
      </c>
      <c r="P462" s="178" t="str">
        <f>IFERROR(VLOOKUP(C462,TD!$B$32:$F$36,2,0)," ")</f>
        <v>O230117</v>
      </c>
      <c r="Q462" s="178" t="str">
        <f>IFERROR(VLOOKUP(C462,TD!$B$32:$F$36,3,0)," ")</f>
        <v>4503</v>
      </c>
      <c r="R462" s="178">
        <f>IFERROR(VLOOKUP(C462,TD!$B$32:$F$36,4,0)," ")</f>
        <v>20240255</v>
      </c>
      <c r="S462" s="173" t="s">
        <v>191</v>
      </c>
      <c r="T462" s="178" t="str">
        <f>IFERROR(VLOOKUP(S462,TD!$J$33:$K$43,2,0)," ")</f>
        <v>Servicio de apoyo   logístico  en eventos operativos y/o emergencias.</v>
      </c>
      <c r="U462" s="220" t="str">
        <f>CONCATENATE(S462,"-",T462)</f>
        <v>12-Servicio de apoyo   logístico  en eventos operativos y/o emergencias.</v>
      </c>
      <c r="V462" s="173" t="s">
        <v>232</v>
      </c>
      <c r="W462" s="178" t="str">
        <f>IFERROR(VLOOKUP(V462,TD!$N$33:$O$45,2,0)," ")</f>
        <v>Servicio de atención a emergencias y desastres</v>
      </c>
      <c r="X462" s="220" t="str">
        <f>CONCATENATE(V462,"_",W462)</f>
        <v>004_Servicio de atención a emergencias y desastres</v>
      </c>
      <c r="Y462" s="220" t="str">
        <f>CONCATENATE(U462," ",X462)</f>
        <v>12-Servicio de apoyo   logístico  en eventos operativos y/o emergencias. 004_Servicio de atención a emergencias y desastres</v>
      </c>
      <c r="Z462" s="178" t="str">
        <f>CONCATENATE(P462,Q462,R462,S462,V462)</f>
        <v>O23011745032024025512004</v>
      </c>
      <c r="AA462" s="178" t="str">
        <f>IFERROR(VLOOKUP(Y462,TD!$K$46:$L$64,2,0)," ")</f>
        <v>PM/0131/0112/45030040255</v>
      </c>
      <c r="AB462" s="177" t="s">
        <v>138</v>
      </c>
      <c r="AC462" s="179" t="s">
        <v>204</v>
      </c>
    </row>
    <row r="463" spans="2:29" s="28" customFormat="1" ht="74.25" customHeight="1" x14ac:dyDescent="0.35">
      <c r="B463" s="170">
        <v>20250609</v>
      </c>
      <c r="C463" s="171" t="s">
        <v>209</v>
      </c>
      <c r="D463" s="172" t="s">
        <v>168</v>
      </c>
      <c r="E463" s="173" t="s">
        <v>692</v>
      </c>
      <c r="F463" s="172" t="s">
        <v>862</v>
      </c>
      <c r="G463" s="172" t="s">
        <v>156</v>
      </c>
      <c r="H463" s="174">
        <v>80111600</v>
      </c>
      <c r="I463" s="175">
        <v>2</v>
      </c>
      <c r="J463" s="175">
        <v>10</v>
      </c>
      <c r="K463" s="176">
        <v>0</v>
      </c>
      <c r="L463" s="177">
        <v>30000000</v>
      </c>
      <c r="M463" s="172" t="s">
        <v>484</v>
      </c>
      <c r="N463" s="177" t="s">
        <v>113</v>
      </c>
      <c r="O463" s="173" t="s">
        <v>224</v>
      </c>
      <c r="P463" s="178" t="str">
        <f>IFERROR(VLOOKUP(C463,TD!$B$32:$F$36,2,0)," ")</f>
        <v>O230117</v>
      </c>
      <c r="Q463" s="178" t="str">
        <f>IFERROR(VLOOKUP(C463,TD!$B$32:$F$36,3,0)," ")</f>
        <v>4503</v>
      </c>
      <c r="R463" s="178">
        <f>IFERROR(VLOOKUP(C463,TD!$B$32:$F$36,4,0)," ")</f>
        <v>20240255</v>
      </c>
      <c r="S463" s="173" t="s">
        <v>191</v>
      </c>
      <c r="T463" s="178" t="str">
        <f>IFERROR(VLOOKUP(S463,TD!$J$33:$K$43,2,0)," ")</f>
        <v>Servicio de apoyo   logístico  en eventos operativos y/o emergencias.</v>
      </c>
      <c r="U463" s="220" t="str">
        <f>CONCATENATE(S463,"-",T463)</f>
        <v>12-Servicio de apoyo   logístico  en eventos operativos y/o emergencias.</v>
      </c>
      <c r="V463" s="173" t="s">
        <v>232</v>
      </c>
      <c r="W463" s="178" t="str">
        <f>IFERROR(VLOOKUP(V463,TD!$N$33:$O$45,2,0)," ")</f>
        <v>Servicio de atención a emergencias y desastres</v>
      </c>
      <c r="X463" s="220" t="str">
        <f>CONCATENATE(V463,"_",W463)</f>
        <v>004_Servicio de atención a emergencias y desastres</v>
      </c>
      <c r="Y463" s="220" t="str">
        <f>CONCATENATE(U463," ",X463)</f>
        <v>12-Servicio de apoyo   logístico  en eventos operativos y/o emergencias. 004_Servicio de atención a emergencias y desastres</v>
      </c>
      <c r="Z463" s="178" t="str">
        <f>CONCATENATE(P463,Q463,R463,S463,V463)</f>
        <v>O23011745032024025512004</v>
      </c>
      <c r="AA463" s="178" t="str">
        <f>IFERROR(VLOOKUP(Y463,TD!$K$46:$L$64,2,0)," ")</f>
        <v>PM/0131/0112/45030040255</v>
      </c>
      <c r="AB463" s="177" t="s">
        <v>138</v>
      </c>
      <c r="AC463" s="179" t="s">
        <v>204</v>
      </c>
    </row>
    <row r="464" spans="2:29" s="28" customFormat="1" ht="74.25" customHeight="1" x14ac:dyDescent="0.35">
      <c r="B464" s="170">
        <v>20250610</v>
      </c>
      <c r="C464" s="171" t="s">
        <v>209</v>
      </c>
      <c r="D464" s="172" t="s">
        <v>168</v>
      </c>
      <c r="E464" s="173" t="s">
        <v>692</v>
      </c>
      <c r="F464" s="172" t="s">
        <v>862</v>
      </c>
      <c r="G464" s="172" t="s">
        <v>156</v>
      </c>
      <c r="H464" s="174">
        <v>80111600</v>
      </c>
      <c r="I464" s="175">
        <v>2</v>
      </c>
      <c r="J464" s="175">
        <v>10</v>
      </c>
      <c r="K464" s="176">
        <v>0</v>
      </c>
      <c r="L464" s="177">
        <v>30000000</v>
      </c>
      <c r="M464" s="172" t="s">
        <v>484</v>
      </c>
      <c r="N464" s="177" t="s">
        <v>113</v>
      </c>
      <c r="O464" s="173" t="s">
        <v>224</v>
      </c>
      <c r="P464" s="178" t="str">
        <f>IFERROR(VLOOKUP(C464,TD!$B$32:$F$36,2,0)," ")</f>
        <v>O230117</v>
      </c>
      <c r="Q464" s="178" t="str">
        <f>IFERROR(VLOOKUP(C464,TD!$B$32:$F$36,3,0)," ")</f>
        <v>4503</v>
      </c>
      <c r="R464" s="178">
        <f>IFERROR(VLOOKUP(C464,TD!$B$32:$F$36,4,0)," ")</f>
        <v>20240255</v>
      </c>
      <c r="S464" s="173" t="s">
        <v>191</v>
      </c>
      <c r="T464" s="178" t="str">
        <f>IFERROR(VLOOKUP(S464,TD!$J$33:$K$43,2,0)," ")</f>
        <v>Servicio de apoyo   logístico  en eventos operativos y/o emergencias.</v>
      </c>
      <c r="U464" s="220" t="str">
        <f>CONCATENATE(S464,"-",T464)</f>
        <v>12-Servicio de apoyo   logístico  en eventos operativos y/o emergencias.</v>
      </c>
      <c r="V464" s="173" t="s">
        <v>232</v>
      </c>
      <c r="W464" s="178" t="str">
        <f>IFERROR(VLOOKUP(V464,TD!$N$33:$O$45,2,0)," ")</f>
        <v>Servicio de atención a emergencias y desastres</v>
      </c>
      <c r="X464" s="220" t="str">
        <f>CONCATENATE(V464,"_",W464)</f>
        <v>004_Servicio de atención a emergencias y desastres</v>
      </c>
      <c r="Y464" s="220" t="str">
        <f>CONCATENATE(U464," ",X464)</f>
        <v>12-Servicio de apoyo   logístico  en eventos operativos y/o emergencias. 004_Servicio de atención a emergencias y desastres</v>
      </c>
      <c r="Z464" s="178" t="str">
        <f>CONCATENATE(P464,Q464,R464,S464,V464)</f>
        <v>O23011745032024025512004</v>
      </c>
      <c r="AA464" s="178" t="str">
        <f>IFERROR(VLOOKUP(Y464,TD!$K$46:$L$64,2,0)," ")</f>
        <v>PM/0131/0112/45030040255</v>
      </c>
      <c r="AB464" s="177" t="s">
        <v>138</v>
      </c>
      <c r="AC464" s="179" t="s">
        <v>204</v>
      </c>
    </row>
    <row r="465" spans="2:29" s="28" customFormat="1" ht="74.25" customHeight="1" x14ac:dyDescent="0.35">
      <c r="B465" s="170">
        <v>20250611</v>
      </c>
      <c r="C465" s="171" t="s">
        <v>209</v>
      </c>
      <c r="D465" s="172" t="s">
        <v>168</v>
      </c>
      <c r="E465" s="173" t="s">
        <v>692</v>
      </c>
      <c r="F465" s="172" t="s">
        <v>862</v>
      </c>
      <c r="G465" s="172" t="s">
        <v>156</v>
      </c>
      <c r="H465" s="174">
        <v>80111600</v>
      </c>
      <c r="I465" s="175">
        <v>2</v>
      </c>
      <c r="J465" s="175">
        <v>10</v>
      </c>
      <c r="K465" s="176">
        <v>0</v>
      </c>
      <c r="L465" s="177">
        <v>30000000</v>
      </c>
      <c r="M465" s="172" t="s">
        <v>484</v>
      </c>
      <c r="N465" s="177" t="s">
        <v>113</v>
      </c>
      <c r="O465" s="173" t="s">
        <v>224</v>
      </c>
      <c r="P465" s="178" t="str">
        <f>IFERROR(VLOOKUP(C465,TD!$B$32:$F$36,2,0)," ")</f>
        <v>O230117</v>
      </c>
      <c r="Q465" s="178" t="str">
        <f>IFERROR(VLOOKUP(C465,TD!$B$32:$F$36,3,0)," ")</f>
        <v>4503</v>
      </c>
      <c r="R465" s="178">
        <f>IFERROR(VLOOKUP(C465,TD!$B$32:$F$36,4,0)," ")</f>
        <v>20240255</v>
      </c>
      <c r="S465" s="173" t="s">
        <v>191</v>
      </c>
      <c r="T465" s="178" t="str">
        <f>IFERROR(VLOOKUP(S465,TD!$J$33:$K$43,2,0)," ")</f>
        <v>Servicio de apoyo   logístico  en eventos operativos y/o emergencias.</v>
      </c>
      <c r="U465" s="220" t="str">
        <f>CONCATENATE(S465,"-",T465)</f>
        <v>12-Servicio de apoyo   logístico  en eventos operativos y/o emergencias.</v>
      </c>
      <c r="V465" s="173" t="s">
        <v>232</v>
      </c>
      <c r="W465" s="178" t="str">
        <f>IFERROR(VLOOKUP(V465,TD!$N$33:$O$45,2,0)," ")</f>
        <v>Servicio de atención a emergencias y desastres</v>
      </c>
      <c r="X465" s="220" t="str">
        <f>CONCATENATE(V465,"_",W465)</f>
        <v>004_Servicio de atención a emergencias y desastres</v>
      </c>
      <c r="Y465" s="220" t="str">
        <f>CONCATENATE(U465," ",X465)</f>
        <v>12-Servicio de apoyo   logístico  en eventos operativos y/o emergencias. 004_Servicio de atención a emergencias y desastres</v>
      </c>
      <c r="Z465" s="178" t="str">
        <f>CONCATENATE(P465,Q465,R465,S465,V465)</f>
        <v>O23011745032024025512004</v>
      </c>
      <c r="AA465" s="178" t="str">
        <f>IFERROR(VLOOKUP(Y465,TD!$K$46:$L$64,2,0)," ")</f>
        <v>PM/0131/0112/45030040255</v>
      </c>
      <c r="AB465" s="177" t="s">
        <v>138</v>
      </c>
      <c r="AC465" s="179" t="s">
        <v>204</v>
      </c>
    </row>
    <row r="466" spans="2:29" s="28" customFormat="1" ht="74.25" customHeight="1" x14ac:dyDescent="0.35">
      <c r="B466" s="170">
        <v>20250612</v>
      </c>
      <c r="C466" s="171" t="s">
        <v>208</v>
      </c>
      <c r="D466" s="172" t="s">
        <v>162</v>
      </c>
      <c r="E466" s="173" t="s">
        <v>355</v>
      </c>
      <c r="F466" s="172" t="s">
        <v>903</v>
      </c>
      <c r="G466" s="172" t="s">
        <v>154</v>
      </c>
      <c r="H466" s="174">
        <v>81112217</v>
      </c>
      <c r="I466" s="175">
        <v>1</v>
      </c>
      <c r="J466" s="175">
        <v>6</v>
      </c>
      <c r="K466" s="176">
        <v>0</v>
      </c>
      <c r="L466" s="177">
        <v>6000000</v>
      </c>
      <c r="M466" s="172" t="s">
        <v>484</v>
      </c>
      <c r="N466" s="177" t="s">
        <v>113</v>
      </c>
      <c r="O466" s="173" t="s">
        <v>215</v>
      </c>
      <c r="P466" s="178" t="str">
        <f>IFERROR(VLOOKUP(C466,TD!$B$32:$F$36,2,0)," ")</f>
        <v>O230117</v>
      </c>
      <c r="Q466" s="178" t="str">
        <f>IFERROR(VLOOKUP(C466,TD!$B$32:$F$36,3,0)," ")</f>
        <v>4599</v>
      </c>
      <c r="R466" s="178">
        <f>IFERROR(VLOOKUP(C466,TD!$B$32:$F$36,4,0)," ")</f>
        <v>20240207</v>
      </c>
      <c r="S466" s="173" t="s">
        <v>179</v>
      </c>
      <c r="T466" s="178" t="str">
        <f>IFERROR(VLOOKUP(S466,TD!$J$33:$K$43,2,0)," ")</f>
        <v>Infraestructura Tecnológica   (Sistemas de Información y Tecnologia)</v>
      </c>
      <c r="U466" s="189" t="str">
        <f>CONCATENATE(S466,"-",T466)</f>
        <v>11-Infraestructura Tecnológica   (Sistemas de Información y Tecnologia)</v>
      </c>
      <c r="V466" s="173" t="s">
        <v>239</v>
      </c>
      <c r="W466" s="178" t="str">
        <f>IFERROR(VLOOKUP(V466,TD!$N$33:$O$45,2,0)," ")</f>
        <v>Servicios tecnológicos</v>
      </c>
      <c r="X466" s="189" t="str">
        <f>CONCATENATE(V466,"_",W466)</f>
        <v>007_Servicios tecnológicos</v>
      </c>
      <c r="Y466" s="189" t="str">
        <f>CONCATENATE(U466," ",X466)</f>
        <v>11-Infraestructura Tecnológica   (Sistemas de Información y Tecnologia) 007_Servicios tecnológicos</v>
      </c>
      <c r="Z466" s="178" t="str">
        <f>CONCATENATE(P466,Q466,R466,S466,V466)</f>
        <v>O23011745992024020711007</v>
      </c>
      <c r="AA466" s="178" t="str">
        <f>IFERROR(VLOOKUP(Y466,TD!$K$46:$L$64,2,0)," ")</f>
        <v>PM/0131/0111/45990070207</v>
      </c>
      <c r="AB466" s="177" t="s">
        <v>138</v>
      </c>
      <c r="AC466" s="179" t="s">
        <v>204</v>
      </c>
    </row>
    <row r="467" spans="2:29" s="28" customFormat="1" ht="74.25" customHeight="1" x14ac:dyDescent="0.35">
      <c r="B467" s="170">
        <v>20250613</v>
      </c>
      <c r="C467" s="171" t="s">
        <v>208</v>
      </c>
      <c r="D467" s="172" t="s">
        <v>162</v>
      </c>
      <c r="E467" s="173" t="s">
        <v>355</v>
      </c>
      <c r="F467" s="172" t="s">
        <v>904</v>
      </c>
      <c r="G467" s="172" t="s">
        <v>154</v>
      </c>
      <c r="H467" s="174">
        <v>46171619</v>
      </c>
      <c r="I467" s="175">
        <v>10</v>
      </c>
      <c r="J467" s="175">
        <v>2</v>
      </c>
      <c r="K467" s="176">
        <v>0</v>
      </c>
      <c r="L467" s="177">
        <v>60000000</v>
      </c>
      <c r="M467" s="172" t="s">
        <v>484</v>
      </c>
      <c r="N467" s="177" t="s">
        <v>123</v>
      </c>
      <c r="O467" s="173" t="s">
        <v>215</v>
      </c>
      <c r="P467" s="178" t="str">
        <f>IFERROR(VLOOKUP(C467,TD!$B$32:$F$36,2,0)," ")</f>
        <v>O230117</v>
      </c>
      <c r="Q467" s="178" t="str">
        <f>IFERROR(VLOOKUP(C467,TD!$B$32:$F$36,3,0)," ")</f>
        <v>4599</v>
      </c>
      <c r="R467" s="178">
        <f>IFERROR(VLOOKUP(C467,TD!$B$32:$F$36,4,0)," ")</f>
        <v>20240207</v>
      </c>
      <c r="S467" s="173" t="s">
        <v>179</v>
      </c>
      <c r="T467" s="178" t="str">
        <f>IFERROR(VLOOKUP(S467,TD!$J$33:$K$43,2,0)," ")</f>
        <v>Infraestructura Tecnológica   (Sistemas de Información y Tecnologia)</v>
      </c>
      <c r="U467" s="189" t="str">
        <f>CONCATENATE(S467,"-",T467)</f>
        <v>11-Infraestructura Tecnológica   (Sistemas de Información y Tecnologia)</v>
      </c>
      <c r="V467" s="173" t="s">
        <v>239</v>
      </c>
      <c r="W467" s="178" t="str">
        <f>IFERROR(VLOOKUP(V467,TD!$N$33:$O$45,2,0)," ")</f>
        <v>Servicios tecnológicos</v>
      </c>
      <c r="X467" s="189" t="str">
        <f>CONCATENATE(V467,"_",W467)</f>
        <v>007_Servicios tecnológicos</v>
      </c>
      <c r="Y467" s="189" t="str">
        <f>CONCATENATE(U467," ",X467)</f>
        <v>11-Infraestructura Tecnológica   (Sistemas de Información y Tecnologia) 007_Servicios tecnológicos</v>
      </c>
      <c r="Z467" s="178" t="str">
        <f>CONCATENATE(P467,Q467,R467,S467,V467)</f>
        <v>O23011745992024020711007</v>
      </c>
      <c r="AA467" s="178" t="str">
        <f>IFERROR(VLOOKUP(Y467,TD!$K$46:$L$64,2,0)," ")</f>
        <v>PM/0131/0111/45990070207</v>
      </c>
      <c r="AB467" s="177" t="s">
        <v>130</v>
      </c>
      <c r="AC467" s="179" t="s">
        <v>204</v>
      </c>
    </row>
    <row r="468" spans="2:29" s="28" customFormat="1" ht="74.25" customHeight="1" x14ac:dyDescent="0.35">
      <c r="B468" s="170">
        <v>20250614</v>
      </c>
      <c r="C468" s="171" t="s">
        <v>208</v>
      </c>
      <c r="D468" s="172" t="s">
        <v>162</v>
      </c>
      <c r="E468" s="173" t="s">
        <v>355</v>
      </c>
      <c r="F468" s="172" t="s">
        <v>905</v>
      </c>
      <c r="G468" s="172" t="s">
        <v>155</v>
      </c>
      <c r="H468" s="174">
        <v>80111600</v>
      </c>
      <c r="I468" s="175">
        <v>2</v>
      </c>
      <c r="J468" s="175">
        <v>11</v>
      </c>
      <c r="K468" s="176">
        <v>0</v>
      </c>
      <c r="L468" s="177">
        <v>49500000</v>
      </c>
      <c r="M468" s="172" t="s">
        <v>484</v>
      </c>
      <c r="N468" s="177" t="s">
        <v>113</v>
      </c>
      <c r="O468" s="173" t="s">
        <v>215</v>
      </c>
      <c r="P468" s="178" t="str">
        <f>IFERROR(VLOOKUP(C468,TD!$B$32:$F$36,2,0)," ")</f>
        <v>O230117</v>
      </c>
      <c r="Q468" s="178" t="str">
        <f>IFERROR(VLOOKUP(C468,TD!$B$32:$F$36,3,0)," ")</f>
        <v>4599</v>
      </c>
      <c r="R468" s="178">
        <f>IFERROR(VLOOKUP(C468,TD!$B$32:$F$36,4,0)," ")</f>
        <v>20240207</v>
      </c>
      <c r="S468" s="173" t="s">
        <v>179</v>
      </c>
      <c r="T468" s="178" t="str">
        <f>IFERROR(VLOOKUP(S468,TD!$J$33:$K$43,2,0)," ")</f>
        <v>Infraestructura Tecnológica   (Sistemas de Información y Tecnologia)</v>
      </c>
      <c r="U468" s="189" t="str">
        <f>CONCATENATE(S468,"-",T468)</f>
        <v>11-Infraestructura Tecnológica   (Sistemas de Información y Tecnologia)</v>
      </c>
      <c r="V468" s="173" t="s">
        <v>239</v>
      </c>
      <c r="W468" s="178" t="str">
        <f>IFERROR(VLOOKUP(V468,TD!$N$33:$O$45,2,0)," ")</f>
        <v>Servicios tecnológicos</v>
      </c>
      <c r="X468" s="189" t="str">
        <f>CONCATENATE(V468,"_",W468)</f>
        <v>007_Servicios tecnológicos</v>
      </c>
      <c r="Y468" s="189" t="str">
        <f>CONCATENATE(U468," ",X468)</f>
        <v>11-Infraestructura Tecnológica   (Sistemas de Información y Tecnologia) 007_Servicios tecnológicos</v>
      </c>
      <c r="Z468" s="178" t="str">
        <f>CONCATENATE(P468,Q468,R468,S468,V468)</f>
        <v>O23011745992024020711007</v>
      </c>
      <c r="AA468" s="178" t="str">
        <f>IFERROR(VLOOKUP(Y468,TD!$K$46:$L$64,2,0)," ")</f>
        <v>PM/0131/0111/45990070207</v>
      </c>
      <c r="AB468" s="177" t="s">
        <v>138</v>
      </c>
      <c r="AC468" s="179" t="s">
        <v>204</v>
      </c>
    </row>
    <row r="469" spans="2:29" s="28" customFormat="1" ht="89" customHeight="1" x14ac:dyDescent="0.35">
      <c r="B469" s="170">
        <v>20250615</v>
      </c>
      <c r="C469" s="171" t="s">
        <v>346</v>
      </c>
      <c r="D469" s="172" t="s">
        <v>162</v>
      </c>
      <c r="E469" s="173" t="s">
        <v>355</v>
      </c>
      <c r="F469" s="172" t="s">
        <v>906</v>
      </c>
      <c r="G469" s="172" t="s">
        <v>96</v>
      </c>
      <c r="H469" s="174" t="s">
        <v>422</v>
      </c>
      <c r="I469" s="175">
        <v>8</v>
      </c>
      <c r="J469" s="175">
        <v>7</v>
      </c>
      <c r="K469" s="176">
        <v>0</v>
      </c>
      <c r="L469" s="177">
        <v>20000000</v>
      </c>
      <c r="M469" s="172" t="s">
        <v>172</v>
      </c>
      <c r="N469" s="177" t="s">
        <v>123</v>
      </c>
      <c r="O469" s="173" t="s">
        <v>347</v>
      </c>
      <c r="P469" s="178" t="str">
        <f>IFERROR(VLOOKUP(C469,TD!$B$32:$F$36,2,0)," ")</f>
        <v>NA</v>
      </c>
      <c r="Q469" s="178" t="str">
        <f>IFERROR(VLOOKUP(C469,TD!$B$32:$F$36,3,0)," ")</f>
        <v>NA</v>
      </c>
      <c r="R469" s="178" t="str">
        <f>IFERROR(VLOOKUP(C469,TD!$B$32:$F$36,4,0)," ")</f>
        <v>NA</v>
      </c>
      <c r="S469" s="173" t="s">
        <v>409</v>
      </c>
      <c r="T469" s="178" t="str">
        <f>IFERROR(VLOOKUP(S469,TD!$J$33:$K$43,2,0)," ")</f>
        <v>N/A</v>
      </c>
      <c r="U469" s="189" t="str">
        <f>CONCATENATE(S469,"-",T469)</f>
        <v>N/A-N/A</v>
      </c>
      <c r="V469" s="173" t="s">
        <v>409</v>
      </c>
      <c r="W469" s="178" t="str">
        <f>IFERROR(VLOOKUP(V469,TD!$N$33:$O$45,2,0)," ")</f>
        <v>N/A</v>
      </c>
      <c r="X469" s="189" t="str">
        <f>CONCATENATE(V469,"_",W469)</f>
        <v>N/A_N/A</v>
      </c>
      <c r="Y469" s="189" t="str">
        <f>CONCATENATE(U469," ",X469)</f>
        <v>N/A-N/A N/A_N/A</v>
      </c>
      <c r="Z469" s="178" t="str">
        <f>CONCATENATE(P469,Q469,R469,S469,V469)</f>
        <v>NANANAN/AN/A</v>
      </c>
      <c r="AA469" s="178" t="str">
        <f>IFERROR(VLOOKUP(Y469,TD!$K$46:$L$64,2,0)," ")</f>
        <v>N/A</v>
      </c>
      <c r="AB469" s="177" t="s">
        <v>457</v>
      </c>
      <c r="AC469" s="179" t="s">
        <v>204</v>
      </c>
    </row>
    <row r="470" spans="2:29" s="28" customFormat="1" ht="74.25" customHeight="1" x14ac:dyDescent="0.35">
      <c r="B470" s="170">
        <v>20250616</v>
      </c>
      <c r="C470" s="171" t="s">
        <v>346</v>
      </c>
      <c r="D470" s="172" t="s">
        <v>162</v>
      </c>
      <c r="E470" s="173" t="s">
        <v>355</v>
      </c>
      <c r="F470" s="172" t="s">
        <v>907</v>
      </c>
      <c r="G470" s="172" t="s">
        <v>96</v>
      </c>
      <c r="H470" s="174" t="s">
        <v>422</v>
      </c>
      <c r="I470" s="175">
        <v>8</v>
      </c>
      <c r="J470" s="175">
        <v>7</v>
      </c>
      <c r="K470" s="176">
        <v>0</v>
      </c>
      <c r="L470" s="177">
        <v>60000000</v>
      </c>
      <c r="M470" s="172" t="s">
        <v>172</v>
      </c>
      <c r="N470" s="177" t="s">
        <v>123</v>
      </c>
      <c r="O470" s="173" t="s">
        <v>347</v>
      </c>
      <c r="P470" s="178" t="str">
        <f>IFERROR(VLOOKUP(C470,TD!$B$32:$F$36,2,0)," ")</f>
        <v>NA</v>
      </c>
      <c r="Q470" s="178" t="str">
        <f>IFERROR(VLOOKUP(C470,TD!$B$32:$F$36,3,0)," ")</f>
        <v>NA</v>
      </c>
      <c r="R470" s="178" t="str">
        <f>IFERROR(VLOOKUP(C470,TD!$B$32:$F$36,4,0)," ")</f>
        <v>NA</v>
      </c>
      <c r="S470" s="173" t="s">
        <v>409</v>
      </c>
      <c r="T470" s="178" t="str">
        <f>IFERROR(VLOOKUP(S470,TD!$J$33:$K$43,2,0)," ")</f>
        <v>N/A</v>
      </c>
      <c r="U470" s="189" t="str">
        <f>CONCATENATE(S470,"-",T470)</f>
        <v>N/A-N/A</v>
      </c>
      <c r="V470" s="173" t="s">
        <v>409</v>
      </c>
      <c r="W470" s="178" t="str">
        <f>IFERROR(VLOOKUP(V470,TD!$N$33:$O$45,2,0)," ")</f>
        <v>N/A</v>
      </c>
      <c r="X470" s="189" t="str">
        <f>CONCATENATE(V470,"_",W470)</f>
        <v>N/A_N/A</v>
      </c>
      <c r="Y470" s="189" t="str">
        <f>CONCATENATE(U470," ",X470)</f>
        <v>N/A-N/A N/A_N/A</v>
      </c>
      <c r="Z470" s="178" t="str">
        <f>CONCATENATE(P470,Q470,R470,S470,V470)</f>
        <v>NANANAN/AN/A</v>
      </c>
      <c r="AA470" s="178" t="str">
        <f>IFERROR(VLOOKUP(Y470,TD!$K$46:$L$64,2,0)," ")</f>
        <v>N/A</v>
      </c>
      <c r="AB470" s="177" t="s">
        <v>457</v>
      </c>
      <c r="AC470" s="179" t="s">
        <v>204</v>
      </c>
    </row>
    <row r="471" spans="2:29" s="28" customFormat="1" ht="74.25" customHeight="1" x14ac:dyDescent="0.35">
      <c r="B471" s="77">
        <v>20250001</v>
      </c>
      <c r="C471" s="50" t="s">
        <v>208</v>
      </c>
      <c r="D471" s="123" t="s">
        <v>163</v>
      </c>
      <c r="E471" s="51" t="s">
        <v>350</v>
      </c>
      <c r="F471" s="123" t="s">
        <v>351</v>
      </c>
      <c r="G471" s="123" t="s">
        <v>155</v>
      </c>
      <c r="H471" s="97">
        <v>80111600</v>
      </c>
      <c r="I471" s="124" t="s">
        <v>467</v>
      </c>
      <c r="J471" s="124">
        <v>10</v>
      </c>
      <c r="K471" s="52">
        <v>0</v>
      </c>
      <c r="L471" s="53">
        <v>76650001</v>
      </c>
      <c r="M471" s="123" t="s">
        <v>484</v>
      </c>
      <c r="N471" s="53" t="s">
        <v>113</v>
      </c>
      <c r="O471" s="51" t="s">
        <v>219</v>
      </c>
      <c r="P471" s="125" t="str">
        <f>IFERROR(VLOOKUP(C471,TD!$B$32:$F$36,2,0)," ")</f>
        <v>O230117</v>
      </c>
      <c r="Q471" s="125" t="str">
        <f>IFERROR(VLOOKUP(C471,TD!$B$32:$F$36,3,0)," ")</f>
        <v>4599</v>
      </c>
      <c r="R471" s="125">
        <f>IFERROR(VLOOKUP(C471,TD!$B$32:$F$36,4,0)," ")</f>
        <v>20240207</v>
      </c>
      <c r="S471" s="51" t="s">
        <v>185</v>
      </c>
      <c r="T471" s="125" t="str">
        <f>IFERROR(VLOOKUP(S471,TD!$J$33:$K$43,2,0)," ")</f>
        <v>Infraestructura física, mantenimiento y dotación (Sedes construidas, mantenidas reforzadas)</v>
      </c>
      <c r="U471" s="127" t="str">
        <f>CONCATENATE(S471,"-",T471)</f>
        <v>08-Infraestructura física, mantenimiento y dotación (Sedes construidas, mantenidas reforzadas)</v>
      </c>
      <c r="V471" s="51" t="s">
        <v>238</v>
      </c>
      <c r="W471" s="125" t="str">
        <f>IFERROR(VLOOKUP(V471,TD!$N$33:$O$45,2,0)," ")</f>
        <v>Sedes mantenidas</v>
      </c>
      <c r="X471" s="127" t="str">
        <f>CONCATENATE(V471,"_",W471)</f>
        <v>016_Sedes mantenidas</v>
      </c>
      <c r="Y471" s="127" t="str">
        <f>CONCATENATE(U471," ",X471)</f>
        <v>08-Infraestructura física, mantenimiento y dotación (Sedes construidas, mantenidas reforzadas) 016_Sedes mantenidas</v>
      </c>
      <c r="Z471" s="125" t="str">
        <f>CONCATENATE(P471,Q471,R471,S471,V471)</f>
        <v>O23011745992024020708016</v>
      </c>
      <c r="AA471" s="125" t="str">
        <f>IFERROR(VLOOKUP(Y471,TD!$K$46:$L$64,2,0)," ")</f>
        <v>PM/0131/0108/45990160207</v>
      </c>
      <c r="AB471" s="53" t="s">
        <v>138</v>
      </c>
      <c r="AC471" s="126" t="s">
        <v>204</v>
      </c>
    </row>
    <row r="472" spans="2:29" s="28" customFormat="1" ht="74.25" customHeight="1" x14ac:dyDescent="0.35">
      <c r="B472" s="77">
        <v>20250002</v>
      </c>
      <c r="C472" s="50" t="s">
        <v>208</v>
      </c>
      <c r="D472" s="123" t="s">
        <v>163</v>
      </c>
      <c r="E472" s="51" t="s">
        <v>350</v>
      </c>
      <c r="F472" s="123" t="s">
        <v>352</v>
      </c>
      <c r="G472" s="123" t="s">
        <v>155</v>
      </c>
      <c r="H472" s="97">
        <v>80111600</v>
      </c>
      <c r="I472" s="124">
        <v>1</v>
      </c>
      <c r="J472" s="124">
        <v>10</v>
      </c>
      <c r="K472" s="52">
        <v>0</v>
      </c>
      <c r="L472" s="53">
        <v>76650001</v>
      </c>
      <c r="M472" s="123" t="s">
        <v>484</v>
      </c>
      <c r="N472" s="53" t="s">
        <v>113</v>
      </c>
      <c r="O472" s="51" t="s">
        <v>219</v>
      </c>
      <c r="P472" s="125" t="str">
        <f>IFERROR(VLOOKUP(C472,TD!$B$32:$F$36,2,0)," ")</f>
        <v>O230117</v>
      </c>
      <c r="Q472" s="125" t="str">
        <f>IFERROR(VLOOKUP(C472,TD!$B$32:$F$36,3,0)," ")</f>
        <v>4599</v>
      </c>
      <c r="R472" s="125">
        <f>IFERROR(VLOOKUP(C472,TD!$B$32:$F$36,4,0)," ")</f>
        <v>20240207</v>
      </c>
      <c r="S472" s="51" t="s">
        <v>185</v>
      </c>
      <c r="T472" s="125" t="str">
        <f>IFERROR(VLOOKUP(S472,TD!$J$33:$K$43,2,0)," ")</f>
        <v>Infraestructura física, mantenimiento y dotación (Sedes construidas, mantenidas reforzadas)</v>
      </c>
      <c r="U472" s="127" t="str">
        <f>CONCATENATE(S472,"-",T472)</f>
        <v>08-Infraestructura física, mantenimiento y dotación (Sedes construidas, mantenidas reforzadas)</v>
      </c>
      <c r="V472" s="51" t="s">
        <v>238</v>
      </c>
      <c r="W472" s="125" t="str">
        <f>IFERROR(VLOOKUP(V472,TD!$N$33:$O$45,2,0)," ")</f>
        <v>Sedes mantenidas</v>
      </c>
      <c r="X472" s="127" t="str">
        <f>CONCATENATE(V472,"_",W472)</f>
        <v>016_Sedes mantenidas</v>
      </c>
      <c r="Y472" s="127" t="str">
        <f>CONCATENATE(U472," ",X472)</f>
        <v>08-Infraestructura física, mantenimiento y dotación (Sedes construidas, mantenidas reforzadas) 016_Sedes mantenidas</v>
      </c>
      <c r="Z472" s="125" t="str">
        <f>CONCATENATE(P472,Q472,R472,S472,V472)</f>
        <v>O23011745992024020708016</v>
      </c>
      <c r="AA472" s="125" t="str">
        <f>IFERROR(VLOOKUP(Y472,TD!$K$46:$L$64,2,0)," ")</f>
        <v>PM/0131/0108/45990160207</v>
      </c>
      <c r="AB472" s="53" t="s">
        <v>138</v>
      </c>
      <c r="AC472" s="126" t="s">
        <v>204</v>
      </c>
    </row>
    <row r="473" spans="2:29" s="28" customFormat="1" ht="74.25" customHeight="1" x14ac:dyDescent="0.35">
      <c r="B473" s="77">
        <v>20250003</v>
      </c>
      <c r="C473" s="50" t="s">
        <v>208</v>
      </c>
      <c r="D473" s="123" t="s">
        <v>163</v>
      </c>
      <c r="E473" s="51" t="s">
        <v>350</v>
      </c>
      <c r="F473" s="123" t="s">
        <v>353</v>
      </c>
      <c r="G473" s="123" t="s">
        <v>155</v>
      </c>
      <c r="H473" s="97">
        <v>80111600</v>
      </c>
      <c r="I473" s="124">
        <v>1</v>
      </c>
      <c r="J473" s="124">
        <v>9</v>
      </c>
      <c r="K473" s="52">
        <v>12</v>
      </c>
      <c r="L473" s="53">
        <v>72174097</v>
      </c>
      <c r="M473" s="123" t="s">
        <v>484</v>
      </c>
      <c r="N473" s="53" t="s">
        <v>113</v>
      </c>
      <c r="O473" s="51" t="s">
        <v>219</v>
      </c>
      <c r="P473" s="125" t="str">
        <f>IFERROR(VLOOKUP(C473,TD!$B$32:$F$36,2,0)," ")</f>
        <v>O230117</v>
      </c>
      <c r="Q473" s="125" t="str">
        <f>IFERROR(VLOOKUP(C473,TD!$B$32:$F$36,3,0)," ")</f>
        <v>4599</v>
      </c>
      <c r="R473" s="125">
        <f>IFERROR(VLOOKUP(C473,TD!$B$32:$F$36,4,0)," ")</f>
        <v>20240207</v>
      </c>
      <c r="S473" s="51" t="s">
        <v>185</v>
      </c>
      <c r="T473" s="125" t="str">
        <f>IFERROR(VLOOKUP(S473,TD!$J$33:$K$43,2,0)," ")</f>
        <v>Infraestructura física, mantenimiento y dotación (Sedes construidas, mantenidas reforzadas)</v>
      </c>
      <c r="U473" s="127" t="str">
        <f>CONCATENATE(S473,"-",T473)</f>
        <v>08-Infraestructura física, mantenimiento y dotación (Sedes construidas, mantenidas reforzadas)</v>
      </c>
      <c r="V473" s="51" t="s">
        <v>238</v>
      </c>
      <c r="W473" s="125" t="str">
        <f>IFERROR(VLOOKUP(V473,TD!$N$33:$O$45,2,0)," ")</f>
        <v>Sedes mantenidas</v>
      </c>
      <c r="X473" s="127" t="str">
        <f>CONCATENATE(V473,"_",W473)</f>
        <v>016_Sedes mantenidas</v>
      </c>
      <c r="Y473" s="127" t="str">
        <f>CONCATENATE(U473," ",X473)</f>
        <v>08-Infraestructura física, mantenimiento y dotación (Sedes construidas, mantenidas reforzadas) 016_Sedes mantenidas</v>
      </c>
      <c r="Z473" s="125" t="str">
        <f>CONCATENATE(P473,Q473,R473,S473,V473)</f>
        <v>O23011745992024020708016</v>
      </c>
      <c r="AA473" s="125" t="str">
        <f>IFERROR(VLOOKUP(Y473,TD!$K$46:$L$64,2,0)," ")</f>
        <v>PM/0131/0108/45990160207</v>
      </c>
      <c r="AB473" s="53" t="s">
        <v>138</v>
      </c>
      <c r="AC473" s="126" t="s">
        <v>204</v>
      </c>
    </row>
    <row r="474" spans="2:29" s="28" customFormat="1" ht="74.25" customHeight="1" x14ac:dyDescent="0.35">
      <c r="B474" s="77">
        <v>20250004</v>
      </c>
      <c r="C474" s="50" t="s">
        <v>208</v>
      </c>
      <c r="D474" s="123" t="s">
        <v>163</v>
      </c>
      <c r="E474" s="51" t="s">
        <v>350</v>
      </c>
      <c r="F474" s="123" t="s">
        <v>353</v>
      </c>
      <c r="G474" s="123" t="s">
        <v>155</v>
      </c>
      <c r="H474" s="97">
        <v>80111600</v>
      </c>
      <c r="I474" s="124">
        <v>1</v>
      </c>
      <c r="J474" s="124">
        <v>10</v>
      </c>
      <c r="K474" s="52">
        <v>0</v>
      </c>
      <c r="L474" s="53">
        <v>46285827</v>
      </c>
      <c r="M474" s="123" t="s">
        <v>484</v>
      </c>
      <c r="N474" s="53" t="s">
        <v>113</v>
      </c>
      <c r="O474" s="51" t="s">
        <v>219</v>
      </c>
      <c r="P474" s="125" t="str">
        <f>IFERROR(VLOOKUP(C474,TD!$B$32:$F$36,2,0)," ")</f>
        <v>O230117</v>
      </c>
      <c r="Q474" s="125" t="str">
        <f>IFERROR(VLOOKUP(C474,TD!$B$32:$F$36,3,0)," ")</f>
        <v>4599</v>
      </c>
      <c r="R474" s="125">
        <f>IFERROR(VLOOKUP(C474,TD!$B$32:$F$36,4,0)," ")</f>
        <v>20240207</v>
      </c>
      <c r="S474" s="51" t="s">
        <v>185</v>
      </c>
      <c r="T474" s="125" t="str">
        <f>IFERROR(VLOOKUP(S474,TD!$J$33:$K$43,2,0)," ")</f>
        <v>Infraestructura física, mantenimiento y dotación (Sedes construidas, mantenidas reforzadas)</v>
      </c>
      <c r="U474" s="127" t="str">
        <f>CONCATENATE(S474,"-",T474)</f>
        <v>08-Infraestructura física, mantenimiento y dotación (Sedes construidas, mantenidas reforzadas)</v>
      </c>
      <c r="V474" s="51" t="s">
        <v>238</v>
      </c>
      <c r="W474" s="125" t="str">
        <f>IFERROR(VLOOKUP(V474,TD!$N$33:$O$45,2,0)," ")</f>
        <v>Sedes mantenidas</v>
      </c>
      <c r="X474" s="127" t="str">
        <f>CONCATENATE(V474,"_",W474)</f>
        <v>016_Sedes mantenidas</v>
      </c>
      <c r="Y474" s="127" t="str">
        <f>CONCATENATE(U474," ",X474)</f>
        <v>08-Infraestructura física, mantenimiento y dotación (Sedes construidas, mantenidas reforzadas) 016_Sedes mantenidas</v>
      </c>
      <c r="Z474" s="125" t="str">
        <f>CONCATENATE(P474,Q474,R474,S474,V474)</f>
        <v>O23011745992024020708016</v>
      </c>
      <c r="AA474" s="125" t="str">
        <f>IFERROR(VLOOKUP(Y474,TD!$K$46:$L$64,2,0)," ")</f>
        <v>PM/0131/0108/45990160207</v>
      </c>
      <c r="AB474" s="53" t="s">
        <v>138</v>
      </c>
      <c r="AC474" s="126" t="s">
        <v>204</v>
      </c>
    </row>
    <row r="475" spans="2:29" s="28" customFormat="1" ht="74.25" customHeight="1" x14ac:dyDescent="0.35">
      <c r="B475" s="77">
        <v>20250005</v>
      </c>
      <c r="C475" s="50" t="s">
        <v>208</v>
      </c>
      <c r="D475" s="123" t="s">
        <v>163</v>
      </c>
      <c r="E475" s="51" t="s">
        <v>350</v>
      </c>
      <c r="F475" s="123" t="s">
        <v>354</v>
      </c>
      <c r="G475" s="123" t="s">
        <v>156</v>
      </c>
      <c r="H475" s="97">
        <v>80111600</v>
      </c>
      <c r="I475" s="124">
        <v>1</v>
      </c>
      <c r="J475" s="124">
        <v>10</v>
      </c>
      <c r="K475" s="52">
        <v>0</v>
      </c>
      <c r="L475" s="53">
        <v>38240074</v>
      </c>
      <c r="M475" s="123" t="s">
        <v>484</v>
      </c>
      <c r="N475" s="53" t="s">
        <v>113</v>
      </c>
      <c r="O475" s="51" t="s">
        <v>219</v>
      </c>
      <c r="P475" s="125" t="str">
        <f>IFERROR(VLOOKUP(C475,TD!$B$32:$F$36,2,0)," ")</f>
        <v>O230117</v>
      </c>
      <c r="Q475" s="125" t="str">
        <f>IFERROR(VLOOKUP(C475,TD!$B$32:$F$36,3,0)," ")</f>
        <v>4599</v>
      </c>
      <c r="R475" s="125">
        <f>IFERROR(VLOOKUP(C475,TD!$B$32:$F$36,4,0)," ")</f>
        <v>20240207</v>
      </c>
      <c r="S475" s="51" t="s">
        <v>185</v>
      </c>
      <c r="T475" s="125" t="str">
        <f>IFERROR(VLOOKUP(S475,TD!$J$33:$K$43,2,0)," ")</f>
        <v>Infraestructura física, mantenimiento y dotación (Sedes construidas, mantenidas reforzadas)</v>
      </c>
      <c r="U475" s="127" t="str">
        <f>CONCATENATE(S475,"-",T475)</f>
        <v>08-Infraestructura física, mantenimiento y dotación (Sedes construidas, mantenidas reforzadas)</v>
      </c>
      <c r="V475" s="51" t="s">
        <v>238</v>
      </c>
      <c r="W475" s="125" t="str">
        <f>IFERROR(VLOOKUP(V475,TD!$N$33:$O$45,2,0)," ")</f>
        <v>Sedes mantenidas</v>
      </c>
      <c r="X475" s="127" t="str">
        <f>CONCATENATE(V475,"_",W475)</f>
        <v>016_Sedes mantenidas</v>
      </c>
      <c r="Y475" s="127" t="str">
        <f>CONCATENATE(U475," ",X475)</f>
        <v>08-Infraestructura física, mantenimiento y dotación (Sedes construidas, mantenidas reforzadas) 016_Sedes mantenidas</v>
      </c>
      <c r="Z475" s="125" t="str">
        <f>CONCATENATE(P475,Q475,R475,S475,V475)</f>
        <v>O23011745992024020708016</v>
      </c>
      <c r="AA475" s="125" t="str">
        <f>IFERROR(VLOOKUP(Y475,TD!$K$46:$L$64,2,0)," ")</f>
        <v>PM/0131/0108/45990160207</v>
      </c>
      <c r="AB475" s="53" t="s">
        <v>138</v>
      </c>
      <c r="AC475" s="126" t="s">
        <v>204</v>
      </c>
    </row>
    <row r="476" spans="2:29" s="28" customFormat="1" ht="74.25" customHeight="1" x14ac:dyDescent="0.35">
      <c r="B476" s="77">
        <v>20250008</v>
      </c>
      <c r="C476" s="50" t="s">
        <v>208</v>
      </c>
      <c r="D476" s="123" t="s">
        <v>164</v>
      </c>
      <c r="E476" s="51" t="s">
        <v>392</v>
      </c>
      <c r="F476" s="123" t="s">
        <v>474</v>
      </c>
      <c r="G476" s="123" t="s">
        <v>155</v>
      </c>
      <c r="H476" s="97">
        <v>80111600</v>
      </c>
      <c r="I476" s="124">
        <v>2</v>
      </c>
      <c r="J476" s="124">
        <v>11</v>
      </c>
      <c r="K476" s="52">
        <v>0</v>
      </c>
      <c r="L476" s="53">
        <v>88000000</v>
      </c>
      <c r="M476" s="123" t="s">
        <v>484</v>
      </c>
      <c r="N476" s="53" t="s">
        <v>113</v>
      </c>
      <c r="O476" s="51" t="s">
        <v>219</v>
      </c>
      <c r="P476" s="125" t="str">
        <f>IFERROR(VLOOKUP(C476,TD!$B$32:$F$36,2,0)," ")</f>
        <v>O230117</v>
      </c>
      <c r="Q476" s="125" t="str">
        <f>IFERROR(VLOOKUP(C476,TD!$B$32:$F$36,3,0)," ")</f>
        <v>4599</v>
      </c>
      <c r="R476" s="125">
        <f>IFERROR(VLOOKUP(C476,TD!$B$32:$F$36,4,0)," ")</f>
        <v>20240207</v>
      </c>
      <c r="S476" s="51" t="s">
        <v>185</v>
      </c>
      <c r="T476" s="125" t="str">
        <f>IFERROR(VLOOKUP(S476,TD!$J$33:$K$43,2,0)," ")</f>
        <v>Infraestructura física, mantenimiento y dotación (Sedes construidas, mantenidas reforzadas)</v>
      </c>
      <c r="U476" s="127" t="str">
        <f>CONCATENATE(S476,"-",T476)</f>
        <v>08-Infraestructura física, mantenimiento y dotación (Sedes construidas, mantenidas reforzadas)</v>
      </c>
      <c r="V476" s="51" t="s">
        <v>238</v>
      </c>
      <c r="W476" s="125" t="str">
        <f>IFERROR(VLOOKUP(V476,TD!$N$33:$O$45,2,0)," ")</f>
        <v>Sedes mantenidas</v>
      </c>
      <c r="X476" s="127" t="str">
        <f>CONCATENATE(V476,"_",W476)</f>
        <v>016_Sedes mantenidas</v>
      </c>
      <c r="Y476" s="127" t="str">
        <f>CONCATENATE(U476," ",X476)</f>
        <v>08-Infraestructura física, mantenimiento y dotación (Sedes construidas, mantenidas reforzadas) 016_Sedes mantenidas</v>
      </c>
      <c r="Z476" s="125" t="str">
        <f>CONCATENATE(P476,Q476,R476,S476,V476)</f>
        <v>O23011745992024020708016</v>
      </c>
      <c r="AA476" s="125" t="str">
        <f>IFERROR(VLOOKUP(Y476,TD!$K$46:$L$64,2,0)," ")</f>
        <v>PM/0131/0108/45990160207</v>
      </c>
      <c r="AB476" s="53" t="s">
        <v>138</v>
      </c>
      <c r="AC476" s="126" t="s">
        <v>204</v>
      </c>
    </row>
    <row r="477" spans="2:29" s="28" customFormat="1" ht="74.25" customHeight="1" x14ac:dyDescent="0.35">
      <c r="B477" s="77">
        <v>20250009</v>
      </c>
      <c r="C477" s="50" t="s">
        <v>208</v>
      </c>
      <c r="D477" s="123" t="s">
        <v>164</v>
      </c>
      <c r="E477" s="51" t="s">
        <v>392</v>
      </c>
      <c r="F477" s="123" t="s">
        <v>475</v>
      </c>
      <c r="G477" s="123" t="s">
        <v>155</v>
      </c>
      <c r="H477" s="97">
        <v>80111600</v>
      </c>
      <c r="I477" s="124">
        <v>2</v>
      </c>
      <c r="J477" s="124">
        <v>11</v>
      </c>
      <c r="K477" s="52">
        <v>0</v>
      </c>
      <c r="L477" s="53">
        <v>99000000</v>
      </c>
      <c r="M477" s="123" t="s">
        <v>484</v>
      </c>
      <c r="N477" s="53" t="s">
        <v>113</v>
      </c>
      <c r="O477" s="51" t="s">
        <v>219</v>
      </c>
      <c r="P477" s="125" t="str">
        <f>IFERROR(VLOOKUP(C477,TD!$B$32:$F$36,2,0)," ")</f>
        <v>O230117</v>
      </c>
      <c r="Q477" s="125" t="str">
        <f>IFERROR(VLOOKUP(C477,TD!$B$32:$F$36,3,0)," ")</f>
        <v>4599</v>
      </c>
      <c r="R477" s="125">
        <f>IFERROR(VLOOKUP(C477,TD!$B$32:$F$36,4,0)," ")</f>
        <v>20240207</v>
      </c>
      <c r="S477" s="51" t="s">
        <v>185</v>
      </c>
      <c r="T477" s="125" t="str">
        <f>IFERROR(VLOOKUP(S477,TD!$J$33:$K$43,2,0)," ")</f>
        <v>Infraestructura física, mantenimiento y dotación (Sedes construidas, mantenidas reforzadas)</v>
      </c>
      <c r="U477" s="127" t="str">
        <f>CONCATENATE(S477,"-",T477)</f>
        <v>08-Infraestructura física, mantenimiento y dotación (Sedes construidas, mantenidas reforzadas)</v>
      </c>
      <c r="V477" s="51" t="s">
        <v>238</v>
      </c>
      <c r="W477" s="125" t="str">
        <f>IFERROR(VLOOKUP(V477,TD!$N$33:$O$45,2,0)," ")</f>
        <v>Sedes mantenidas</v>
      </c>
      <c r="X477" s="127" t="str">
        <f>CONCATENATE(V477,"_",W477)</f>
        <v>016_Sedes mantenidas</v>
      </c>
      <c r="Y477" s="127" t="str">
        <f>CONCATENATE(U477," ",X477)</f>
        <v>08-Infraestructura física, mantenimiento y dotación (Sedes construidas, mantenidas reforzadas) 016_Sedes mantenidas</v>
      </c>
      <c r="Z477" s="125" t="str">
        <f>CONCATENATE(P477,Q477,R477,S477,V477)</f>
        <v>O23011745992024020708016</v>
      </c>
      <c r="AA477" s="125" t="str">
        <f>IFERROR(VLOOKUP(Y477,TD!$K$46:$L$64,2,0)," ")</f>
        <v>PM/0131/0108/45990160207</v>
      </c>
      <c r="AB477" s="53" t="s">
        <v>138</v>
      </c>
      <c r="AC477" s="126" t="s">
        <v>204</v>
      </c>
    </row>
    <row r="478" spans="2:29" s="28" customFormat="1" ht="74.25" customHeight="1" x14ac:dyDescent="0.35">
      <c r="B478" s="77">
        <v>20250026</v>
      </c>
      <c r="C478" s="50" t="s">
        <v>208</v>
      </c>
      <c r="D478" s="123" t="s">
        <v>164</v>
      </c>
      <c r="E478" s="51" t="s">
        <v>392</v>
      </c>
      <c r="F478" s="123" t="s">
        <v>832</v>
      </c>
      <c r="G478" s="123" t="s">
        <v>156</v>
      </c>
      <c r="H478" s="97">
        <v>80111600</v>
      </c>
      <c r="I478" s="124">
        <v>2</v>
      </c>
      <c r="J478" s="124">
        <v>11</v>
      </c>
      <c r="K478" s="52">
        <v>0</v>
      </c>
      <c r="L478" s="53">
        <v>37400000</v>
      </c>
      <c r="M478" s="123" t="s">
        <v>484</v>
      </c>
      <c r="N478" s="53" t="s">
        <v>113</v>
      </c>
      <c r="O478" s="51" t="s">
        <v>219</v>
      </c>
      <c r="P478" s="125" t="str">
        <f>IFERROR(VLOOKUP(C478,TD!$B$32:$F$36,2,0)," ")</f>
        <v>O230117</v>
      </c>
      <c r="Q478" s="125" t="str">
        <f>IFERROR(VLOOKUP(C478,TD!$B$32:$F$36,3,0)," ")</f>
        <v>4599</v>
      </c>
      <c r="R478" s="125">
        <f>IFERROR(VLOOKUP(C478,TD!$B$32:$F$36,4,0)," ")</f>
        <v>20240207</v>
      </c>
      <c r="S478" s="51" t="s">
        <v>185</v>
      </c>
      <c r="T478" s="125" t="str">
        <f>IFERROR(VLOOKUP(S478,TD!$J$33:$K$43,2,0)," ")</f>
        <v>Infraestructura física, mantenimiento y dotación (Sedes construidas, mantenidas reforzadas)</v>
      </c>
      <c r="U478" s="127" t="str">
        <f>CONCATENATE(S478,"-",T478)</f>
        <v>08-Infraestructura física, mantenimiento y dotación (Sedes construidas, mantenidas reforzadas)</v>
      </c>
      <c r="V478" s="51" t="s">
        <v>238</v>
      </c>
      <c r="W478" s="125" t="str">
        <f>IFERROR(VLOOKUP(V478,TD!$N$33:$O$45,2,0)," ")</f>
        <v>Sedes mantenidas</v>
      </c>
      <c r="X478" s="127" t="str">
        <f>CONCATENATE(V478,"_",W478)</f>
        <v>016_Sedes mantenidas</v>
      </c>
      <c r="Y478" s="127" t="str">
        <f>CONCATENATE(U478," ",X478)</f>
        <v>08-Infraestructura física, mantenimiento y dotación (Sedes construidas, mantenidas reforzadas) 016_Sedes mantenidas</v>
      </c>
      <c r="Z478" s="125" t="str">
        <f>CONCATENATE(P478,Q478,R478,S478,V478)</f>
        <v>O23011745992024020708016</v>
      </c>
      <c r="AA478" s="125" t="str">
        <f>IFERROR(VLOOKUP(Y478,TD!$K$46:$L$64,2,0)," ")</f>
        <v>PM/0131/0108/45990160207</v>
      </c>
      <c r="AB478" s="53" t="s">
        <v>138</v>
      </c>
      <c r="AC478" s="126" t="s">
        <v>204</v>
      </c>
    </row>
    <row r="479" spans="2:29" s="28" customFormat="1" ht="74.25" customHeight="1" x14ac:dyDescent="0.35">
      <c r="B479" s="77">
        <v>20250027</v>
      </c>
      <c r="C479" s="50" t="s">
        <v>208</v>
      </c>
      <c r="D479" s="123" t="s">
        <v>164</v>
      </c>
      <c r="E479" s="51" t="s">
        <v>392</v>
      </c>
      <c r="F479" s="123" t="s">
        <v>479</v>
      </c>
      <c r="G479" s="123" t="s">
        <v>156</v>
      </c>
      <c r="H479" s="97">
        <v>80111600</v>
      </c>
      <c r="I479" s="124">
        <v>2</v>
      </c>
      <c r="J479" s="124">
        <v>11</v>
      </c>
      <c r="K479" s="52">
        <v>0</v>
      </c>
      <c r="L479" s="53">
        <v>37400000</v>
      </c>
      <c r="M479" s="123" t="s">
        <v>484</v>
      </c>
      <c r="N479" s="53" t="s">
        <v>113</v>
      </c>
      <c r="O479" s="51" t="s">
        <v>219</v>
      </c>
      <c r="P479" s="125" t="str">
        <f>IFERROR(VLOOKUP(C479,TD!$B$32:$F$36,2,0)," ")</f>
        <v>O230117</v>
      </c>
      <c r="Q479" s="125" t="str">
        <f>IFERROR(VLOOKUP(C479,TD!$B$32:$F$36,3,0)," ")</f>
        <v>4599</v>
      </c>
      <c r="R479" s="125">
        <f>IFERROR(VLOOKUP(C479,TD!$B$32:$F$36,4,0)," ")</f>
        <v>20240207</v>
      </c>
      <c r="S479" s="51" t="s">
        <v>185</v>
      </c>
      <c r="T479" s="125" t="str">
        <f>IFERROR(VLOOKUP(S479,TD!$J$33:$K$43,2,0)," ")</f>
        <v>Infraestructura física, mantenimiento y dotación (Sedes construidas, mantenidas reforzadas)</v>
      </c>
      <c r="U479" s="127" t="str">
        <f>CONCATENATE(S479,"-",T479)</f>
        <v>08-Infraestructura física, mantenimiento y dotación (Sedes construidas, mantenidas reforzadas)</v>
      </c>
      <c r="V479" s="51" t="s">
        <v>238</v>
      </c>
      <c r="W479" s="125" t="str">
        <f>IFERROR(VLOOKUP(V479,TD!$N$33:$O$45,2,0)," ")</f>
        <v>Sedes mantenidas</v>
      </c>
      <c r="X479" s="127" t="str">
        <f>CONCATENATE(V479,"_",W479)</f>
        <v>016_Sedes mantenidas</v>
      </c>
      <c r="Y479" s="127" t="str">
        <f>CONCATENATE(U479," ",X479)</f>
        <v>08-Infraestructura física, mantenimiento y dotación (Sedes construidas, mantenidas reforzadas) 016_Sedes mantenidas</v>
      </c>
      <c r="Z479" s="125" t="str">
        <f>CONCATENATE(P479,Q479,R479,S479,V479)</f>
        <v>O23011745992024020708016</v>
      </c>
      <c r="AA479" s="125" t="str">
        <f>IFERROR(VLOOKUP(Y479,TD!$K$46:$L$64,2,0)," ")</f>
        <v>PM/0131/0108/45990160207</v>
      </c>
      <c r="AB479" s="53" t="s">
        <v>138</v>
      </c>
      <c r="AC479" s="126" t="s">
        <v>204</v>
      </c>
    </row>
    <row r="480" spans="2:29" s="28" customFormat="1" ht="74.25" customHeight="1" x14ac:dyDescent="0.35">
      <c r="B480" s="77">
        <v>20250028</v>
      </c>
      <c r="C480" s="50" t="s">
        <v>208</v>
      </c>
      <c r="D480" s="123" t="s">
        <v>164</v>
      </c>
      <c r="E480" s="51" t="s">
        <v>392</v>
      </c>
      <c r="F480" s="123" t="s">
        <v>479</v>
      </c>
      <c r="G480" s="123" t="s">
        <v>156</v>
      </c>
      <c r="H480" s="97">
        <v>80111600</v>
      </c>
      <c r="I480" s="124">
        <v>2</v>
      </c>
      <c r="J480" s="124">
        <v>11</v>
      </c>
      <c r="K480" s="52">
        <v>0</v>
      </c>
      <c r="L480" s="53">
        <v>37400000</v>
      </c>
      <c r="M480" s="123" t="s">
        <v>484</v>
      </c>
      <c r="N480" s="53" t="s">
        <v>113</v>
      </c>
      <c r="O480" s="51" t="s">
        <v>219</v>
      </c>
      <c r="P480" s="125" t="str">
        <f>IFERROR(VLOOKUP(C480,TD!$B$32:$F$36,2,0)," ")</f>
        <v>O230117</v>
      </c>
      <c r="Q480" s="125" t="str">
        <f>IFERROR(VLOOKUP(C480,TD!$B$32:$F$36,3,0)," ")</f>
        <v>4599</v>
      </c>
      <c r="R480" s="125">
        <f>IFERROR(VLOOKUP(C480,TD!$B$32:$F$36,4,0)," ")</f>
        <v>20240207</v>
      </c>
      <c r="S480" s="51" t="s">
        <v>185</v>
      </c>
      <c r="T480" s="125" t="str">
        <f>IFERROR(VLOOKUP(S480,TD!$J$33:$K$43,2,0)," ")</f>
        <v>Infraestructura física, mantenimiento y dotación (Sedes construidas, mantenidas reforzadas)</v>
      </c>
      <c r="U480" s="127" t="str">
        <f>CONCATENATE(S480,"-",T480)</f>
        <v>08-Infraestructura física, mantenimiento y dotación (Sedes construidas, mantenidas reforzadas)</v>
      </c>
      <c r="V480" s="51" t="s">
        <v>238</v>
      </c>
      <c r="W480" s="125" t="str">
        <f>IFERROR(VLOOKUP(V480,TD!$N$33:$O$45,2,0)," ")</f>
        <v>Sedes mantenidas</v>
      </c>
      <c r="X480" s="127" t="str">
        <f>CONCATENATE(V480,"_",W480)</f>
        <v>016_Sedes mantenidas</v>
      </c>
      <c r="Y480" s="127" t="str">
        <f>CONCATENATE(U480," ",X480)</f>
        <v>08-Infraestructura física, mantenimiento y dotación (Sedes construidas, mantenidas reforzadas) 016_Sedes mantenidas</v>
      </c>
      <c r="Z480" s="125" t="str">
        <f>CONCATENATE(P480,Q480,R480,S480,V480)</f>
        <v>O23011745992024020708016</v>
      </c>
      <c r="AA480" s="125" t="str">
        <f>IFERROR(VLOOKUP(Y480,TD!$K$46:$L$64,2,0)," ")</f>
        <v>PM/0131/0108/45990160207</v>
      </c>
      <c r="AB480" s="53" t="s">
        <v>138</v>
      </c>
      <c r="AC480" s="126" t="s">
        <v>204</v>
      </c>
    </row>
    <row r="481" spans="2:29" s="28" customFormat="1" ht="74.25" customHeight="1" x14ac:dyDescent="0.35">
      <c r="B481" s="77">
        <v>20250035</v>
      </c>
      <c r="C481" s="50" t="s">
        <v>208</v>
      </c>
      <c r="D481" s="123" t="s">
        <v>46</v>
      </c>
      <c r="E481" s="51" t="s">
        <v>485</v>
      </c>
      <c r="F481" s="123" t="s">
        <v>486</v>
      </c>
      <c r="G481" s="123" t="s">
        <v>155</v>
      </c>
      <c r="H481" s="168">
        <v>80111600</v>
      </c>
      <c r="I481" s="98">
        <v>1</v>
      </c>
      <c r="J481" s="124">
        <v>10</v>
      </c>
      <c r="K481" s="52">
        <v>0</v>
      </c>
      <c r="L481" s="53">
        <v>78000000</v>
      </c>
      <c r="M481" s="123" t="s">
        <v>484</v>
      </c>
      <c r="N481" s="53" t="s">
        <v>113</v>
      </c>
      <c r="O481" s="51" t="s">
        <v>219</v>
      </c>
      <c r="P481" s="125" t="str">
        <f>IFERROR(VLOOKUP(C481,TD!$B$32:$F$36,2,0)," ")</f>
        <v>O230117</v>
      </c>
      <c r="Q481" s="125" t="str">
        <f>IFERROR(VLOOKUP(C481,TD!$B$32:$F$36,3,0)," ")</f>
        <v>4599</v>
      </c>
      <c r="R481" s="125">
        <f>IFERROR(VLOOKUP(C481,TD!$B$32:$F$36,4,0)," ")</f>
        <v>20240207</v>
      </c>
      <c r="S481" s="51" t="s">
        <v>185</v>
      </c>
      <c r="T481" s="125" t="str">
        <f>IFERROR(VLOOKUP(S481,TD!$J$33:$K$43,2,0)," ")</f>
        <v>Infraestructura física, mantenimiento y dotación (Sedes construidas, mantenidas reforzadas)</v>
      </c>
      <c r="U481" s="127" t="str">
        <f>CONCATENATE(S481,"-",T481)</f>
        <v>08-Infraestructura física, mantenimiento y dotación (Sedes construidas, mantenidas reforzadas)</v>
      </c>
      <c r="V481" s="51" t="s">
        <v>238</v>
      </c>
      <c r="W481" s="125" t="str">
        <f>IFERROR(VLOOKUP(V481,TD!$N$33:$O$45,2,0)," ")</f>
        <v>Sedes mantenidas</v>
      </c>
      <c r="X481" s="127" t="str">
        <f>CONCATENATE(V481,"_",W481)</f>
        <v>016_Sedes mantenidas</v>
      </c>
      <c r="Y481" s="127" t="str">
        <f>CONCATENATE(U481," ",X481)</f>
        <v>08-Infraestructura física, mantenimiento y dotación (Sedes construidas, mantenidas reforzadas) 016_Sedes mantenidas</v>
      </c>
      <c r="Z481" s="125" t="str">
        <f>CONCATENATE(P481,Q481,R481,S481,V481)</f>
        <v>O23011745992024020708016</v>
      </c>
      <c r="AA481" s="125" t="str">
        <f>IFERROR(VLOOKUP(Y481,TD!$K$46:$L$64,2,0)," ")</f>
        <v>PM/0131/0108/45990160207</v>
      </c>
      <c r="AB481" s="53" t="s">
        <v>120</v>
      </c>
      <c r="AC481" s="126" t="s">
        <v>204</v>
      </c>
    </row>
    <row r="482" spans="2:29" s="28" customFormat="1" ht="74.25" customHeight="1" x14ac:dyDescent="0.35">
      <c r="B482" s="77">
        <v>20250036</v>
      </c>
      <c r="C482" s="50" t="s">
        <v>208</v>
      </c>
      <c r="D482" s="123" t="s">
        <v>46</v>
      </c>
      <c r="E482" s="51" t="s">
        <v>485</v>
      </c>
      <c r="F482" s="123" t="s">
        <v>487</v>
      </c>
      <c r="G482" s="123" t="s">
        <v>155</v>
      </c>
      <c r="H482" s="168">
        <v>80111600</v>
      </c>
      <c r="I482" s="98">
        <v>1</v>
      </c>
      <c r="J482" s="124">
        <v>11</v>
      </c>
      <c r="K482" s="52">
        <v>0</v>
      </c>
      <c r="L482" s="53">
        <v>93500000</v>
      </c>
      <c r="M482" s="123" t="s">
        <v>484</v>
      </c>
      <c r="N482" s="53" t="s">
        <v>113</v>
      </c>
      <c r="O482" s="51" t="s">
        <v>219</v>
      </c>
      <c r="P482" s="125" t="str">
        <f>IFERROR(VLOOKUP(C482,TD!$B$32:$F$36,2,0)," ")</f>
        <v>O230117</v>
      </c>
      <c r="Q482" s="125" t="str">
        <f>IFERROR(VLOOKUP(C482,TD!$B$32:$F$36,3,0)," ")</f>
        <v>4599</v>
      </c>
      <c r="R482" s="125">
        <f>IFERROR(VLOOKUP(C482,TD!$B$32:$F$36,4,0)," ")</f>
        <v>20240207</v>
      </c>
      <c r="S482" s="51" t="s">
        <v>185</v>
      </c>
      <c r="T482" s="125" t="str">
        <f>IFERROR(VLOOKUP(S482,TD!$J$33:$K$43,2,0)," ")</f>
        <v>Infraestructura física, mantenimiento y dotación (Sedes construidas, mantenidas reforzadas)</v>
      </c>
      <c r="U482" s="127" t="str">
        <f>CONCATENATE(S482,"-",T482)</f>
        <v>08-Infraestructura física, mantenimiento y dotación (Sedes construidas, mantenidas reforzadas)</v>
      </c>
      <c r="V482" s="51" t="s">
        <v>238</v>
      </c>
      <c r="W482" s="125" t="str">
        <f>IFERROR(VLOOKUP(V482,TD!$N$33:$O$45,2,0)," ")</f>
        <v>Sedes mantenidas</v>
      </c>
      <c r="X482" s="127" t="str">
        <f>CONCATENATE(V482,"_",W482)</f>
        <v>016_Sedes mantenidas</v>
      </c>
      <c r="Y482" s="127" t="str">
        <f>CONCATENATE(U482," ",X482)</f>
        <v>08-Infraestructura física, mantenimiento y dotación (Sedes construidas, mantenidas reforzadas) 016_Sedes mantenidas</v>
      </c>
      <c r="Z482" s="125" t="str">
        <f>CONCATENATE(P482,Q482,R482,S482,V482)</f>
        <v>O23011745992024020708016</v>
      </c>
      <c r="AA482" s="125" t="str">
        <f>IFERROR(VLOOKUP(Y482,TD!$K$46:$L$64,2,0)," ")</f>
        <v>PM/0131/0108/45990160207</v>
      </c>
      <c r="AB482" s="53" t="s">
        <v>120</v>
      </c>
      <c r="AC482" s="126" t="s">
        <v>204</v>
      </c>
    </row>
    <row r="483" spans="2:29" s="28" customFormat="1" ht="74.25" customHeight="1" x14ac:dyDescent="0.35">
      <c r="B483" s="77">
        <v>20250037</v>
      </c>
      <c r="C483" s="50" t="s">
        <v>208</v>
      </c>
      <c r="D483" s="123" t="s">
        <v>46</v>
      </c>
      <c r="E483" s="51" t="s">
        <v>485</v>
      </c>
      <c r="F483" s="123" t="s">
        <v>488</v>
      </c>
      <c r="G483" s="123" t="s">
        <v>155</v>
      </c>
      <c r="H483" s="168">
        <v>80111600</v>
      </c>
      <c r="I483" s="98">
        <v>1</v>
      </c>
      <c r="J483" s="124">
        <v>11</v>
      </c>
      <c r="K483" s="52">
        <v>0</v>
      </c>
      <c r="L483" s="53">
        <v>82500000</v>
      </c>
      <c r="M483" s="123" t="s">
        <v>484</v>
      </c>
      <c r="N483" s="53" t="s">
        <v>113</v>
      </c>
      <c r="O483" s="51" t="s">
        <v>219</v>
      </c>
      <c r="P483" s="125" t="str">
        <f>IFERROR(VLOOKUP(C483,TD!$B$32:$F$36,2,0)," ")</f>
        <v>O230117</v>
      </c>
      <c r="Q483" s="125" t="str">
        <f>IFERROR(VLOOKUP(C483,TD!$B$32:$F$36,3,0)," ")</f>
        <v>4599</v>
      </c>
      <c r="R483" s="125">
        <f>IFERROR(VLOOKUP(C483,TD!$B$32:$F$36,4,0)," ")</f>
        <v>20240207</v>
      </c>
      <c r="S483" s="51" t="s">
        <v>185</v>
      </c>
      <c r="T483" s="125" t="str">
        <f>IFERROR(VLOOKUP(S483,TD!$J$33:$K$43,2,0)," ")</f>
        <v>Infraestructura física, mantenimiento y dotación (Sedes construidas, mantenidas reforzadas)</v>
      </c>
      <c r="U483" s="127" t="str">
        <f>CONCATENATE(S483,"-",T483)</f>
        <v>08-Infraestructura física, mantenimiento y dotación (Sedes construidas, mantenidas reforzadas)</v>
      </c>
      <c r="V483" s="51" t="s">
        <v>238</v>
      </c>
      <c r="W483" s="125" t="str">
        <f>IFERROR(VLOOKUP(V483,TD!$N$33:$O$45,2,0)," ")</f>
        <v>Sedes mantenidas</v>
      </c>
      <c r="X483" s="127" t="str">
        <f>CONCATENATE(V483,"_",W483)</f>
        <v>016_Sedes mantenidas</v>
      </c>
      <c r="Y483" s="127" t="str">
        <f>CONCATENATE(U483," ",X483)</f>
        <v>08-Infraestructura física, mantenimiento y dotación (Sedes construidas, mantenidas reforzadas) 016_Sedes mantenidas</v>
      </c>
      <c r="Z483" s="125" t="str">
        <f>CONCATENATE(P483,Q483,R483,S483,V483)</f>
        <v>O23011745992024020708016</v>
      </c>
      <c r="AA483" s="125" t="str">
        <f>IFERROR(VLOOKUP(Y483,TD!$K$46:$L$64,2,0)," ")</f>
        <v>PM/0131/0108/45990160207</v>
      </c>
      <c r="AB483" s="53" t="s">
        <v>120</v>
      </c>
      <c r="AC483" s="126" t="s">
        <v>204</v>
      </c>
    </row>
    <row r="484" spans="2:29" s="28" customFormat="1" ht="74.25" customHeight="1" x14ac:dyDescent="0.35">
      <c r="B484" s="77">
        <v>20250038</v>
      </c>
      <c r="C484" s="50" t="s">
        <v>208</v>
      </c>
      <c r="D484" s="123" t="s">
        <v>46</v>
      </c>
      <c r="E484" s="51" t="s">
        <v>485</v>
      </c>
      <c r="F484" s="123" t="s">
        <v>489</v>
      </c>
      <c r="G484" s="123" t="s">
        <v>155</v>
      </c>
      <c r="H484" s="97">
        <v>80111600</v>
      </c>
      <c r="I484" s="124">
        <v>1</v>
      </c>
      <c r="J484" s="124">
        <v>10</v>
      </c>
      <c r="K484" s="52">
        <v>0</v>
      </c>
      <c r="L484" s="53">
        <v>65000000</v>
      </c>
      <c r="M484" s="123" t="s">
        <v>484</v>
      </c>
      <c r="N484" s="53" t="s">
        <v>113</v>
      </c>
      <c r="O484" s="51" t="s">
        <v>219</v>
      </c>
      <c r="P484" s="125" t="str">
        <f>IFERROR(VLOOKUP(C484,TD!$B$32:$F$36,2,0)," ")</f>
        <v>O230117</v>
      </c>
      <c r="Q484" s="125" t="str">
        <f>IFERROR(VLOOKUP(C484,TD!$B$32:$F$36,3,0)," ")</f>
        <v>4599</v>
      </c>
      <c r="R484" s="125">
        <f>IFERROR(VLOOKUP(C484,TD!$B$32:$F$36,4,0)," ")</f>
        <v>20240207</v>
      </c>
      <c r="S484" s="51" t="s">
        <v>185</v>
      </c>
      <c r="T484" s="125" t="str">
        <f>IFERROR(VLOOKUP(S484,TD!$J$33:$K$43,2,0)," ")</f>
        <v>Infraestructura física, mantenimiento y dotación (Sedes construidas, mantenidas reforzadas)</v>
      </c>
      <c r="U484" s="127" t="str">
        <f>CONCATENATE(S484,"-",T484)</f>
        <v>08-Infraestructura física, mantenimiento y dotación (Sedes construidas, mantenidas reforzadas)</v>
      </c>
      <c r="V484" s="51" t="s">
        <v>238</v>
      </c>
      <c r="W484" s="125" t="str">
        <f>IFERROR(VLOOKUP(V484,TD!$N$33:$O$45,2,0)," ")</f>
        <v>Sedes mantenidas</v>
      </c>
      <c r="X484" s="127" t="str">
        <f>CONCATENATE(V484,"_",W484)</f>
        <v>016_Sedes mantenidas</v>
      </c>
      <c r="Y484" s="127" t="str">
        <f>CONCATENATE(U484," ",X484)</f>
        <v>08-Infraestructura física, mantenimiento y dotación (Sedes construidas, mantenidas reforzadas) 016_Sedes mantenidas</v>
      </c>
      <c r="Z484" s="125" t="str">
        <f>CONCATENATE(P484,Q484,R484,S484,V484)</f>
        <v>O23011745992024020708016</v>
      </c>
      <c r="AA484" s="125" t="str">
        <f>IFERROR(VLOOKUP(Y484,TD!$K$46:$L$64,2,0)," ")</f>
        <v>PM/0131/0108/45990160207</v>
      </c>
      <c r="AB484" s="53" t="s">
        <v>120</v>
      </c>
      <c r="AC484" s="126" t="s">
        <v>204</v>
      </c>
    </row>
    <row r="485" spans="2:29" s="28" customFormat="1" ht="74.25" customHeight="1" x14ac:dyDescent="0.35">
      <c r="B485" s="77">
        <v>20250039</v>
      </c>
      <c r="C485" s="50" t="s">
        <v>208</v>
      </c>
      <c r="D485" s="123" t="s">
        <v>46</v>
      </c>
      <c r="E485" s="51" t="s">
        <v>485</v>
      </c>
      <c r="F485" s="123" t="s">
        <v>489</v>
      </c>
      <c r="G485" s="123" t="s">
        <v>155</v>
      </c>
      <c r="H485" s="97">
        <v>80111600</v>
      </c>
      <c r="I485" s="124">
        <v>1</v>
      </c>
      <c r="J485" s="124">
        <v>10</v>
      </c>
      <c r="K485" s="52">
        <v>0</v>
      </c>
      <c r="L485" s="53">
        <v>65000000</v>
      </c>
      <c r="M485" s="123" t="s">
        <v>484</v>
      </c>
      <c r="N485" s="53" t="s">
        <v>113</v>
      </c>
      <c r="O485" s="51" t="s">
        <v>219</v>
      </c>
      <c r="P485" s="125" t="str">
        <f>IFERROR(VLOOKUP(C485,TD!$B$32:$F$36,2,0)," ")</f>
        <v>O230117</v>
      </c>
      <c r="Q485" s="125" t="str">
        <f>IFERROR(VLOOKUP(C485,TD!$B$32:$F$36,3,0)," ")</f>
        <v>4599</v>
      </c>
      <c r="R485" s="125">
        <f>IFERROR(VLOOKUP(C485,TD!$B$32:$F$36,4,0)," ")</f>
        <v>20240207</v>
      </c>
      <c r="S485" s="51" t="s">
        <v>185</v>
      </c>
      <c r="T485" s="125" t="str">
        <f>IFERROR(VLOOKUP(S485,TD!$J$33:$K$43,2,0)," ")</f>
        <v>Infraestructura física, mantenimiento y dotación (Sedes construidas, mantenidas reforzadas)</v>
      </c>
      <c r="U485" s="127" t="str">
        <f>CONCATENATE(S485,"-",T485)</f>
        <v>08-Infraestructura física, mantenimiento y dotación (Sedes construidas, mantenidas reforzadas)</v>
      </c>
      <c r="V485" s="51" t="s">
        <v>238</v>
      </c>
      <c r="W485" s="125" t="str">
        <f>IFERROR(VLOOKUP(V485,TD!$N$33:$O$45,2,0)," ")</f>
        <v>Sedes mantenidas</v>
      </c>
      <c r="X485" s="127" t="str">
        <f>CONCATENATE(V485,"_",W485)</f>
        <v>016_Sedes mantenidas</v>
      </c>
      <c r="Y485" s="127" t="str">
        <f>CONCATENATE(U485," ",X485)</f>
        <v>08-Infraestructura física, mantenimiento y dotación (Sedes construidas, mantenidas reforzadas) 016_Sedes mantenidas</v>
      </c>
      <c r="Z485" s="125" t="str">
        <f>CONCATENATE(P485,Q485,R485,S485,V485)</f>
        <v>O23011745992024020708016</v>
      </c>
      <c r="AA485" s="125" t="str">
        <f>IFERROR(VLOOKUP(Y485,TD!$K$46:$L$64,2,0)," ")</f>
        <v>PM/0131/0108/45990160207</v>
      </c>
      <c r="AB485" s="53" t="s">
        <v>120</v>
      </c>
      <c r="AC485" s="126" t="s">
        <v>204</v>
      </c>
    </row>
    <row r="486" spans="2:29" s="28" customFormat="1" ht="74.25" customHeight="1" x14ac:dyDescent="0.35">
      <c r="B486" s="77">
        <v>20250040</v>
      </c>
      <c r="C486" s="50" t="s">
        <v>208</v>
      </c>
      <c r="D486" s="123" t="s">
        <v>46</v>
      </c>
      <c r="E486" s="51" t="s">
        <v>485</v>
      </c>
      <c r="F486" s="123" t="s">
        <v>489</v>
      </c>
      <c r="G486" s="123" t="s">
        <v>155</v>
      </c>
      <c r="H486" s="97">
        <v>80111600</v>
      </c>
      <c r="I486" s="124">
        <v>1</v>
      </c>
      <c r="J486" s="124">
        <v>10</v>
      </c>
      <c r="K486" s="52">
        <v>0</v>
      </c>
      <c r="L486" s="53">
        <v>65000000</v>
      </c>
      <c r="M486" s="123" t="s">
        <v>484</v>
      </c>
      <c r="N486" s="53" t="s">
        <v>113</v>
      </c>
      <c r="O486" s="51" t="s">
        <v>219</v>
      </c>
      <c r="P486" s="125" t="str">
        <f>IFERROR(VLOOKUP(C486,TD!$B$32:$F$36,2,0)," ")</f>
        <v>O230117</v>
      </c>
      <c r="Q486" s="125" t="str">
        <f>IFERROR(VLOOKUP(C486,TD!$B$32:$F$36,3,0)," ")</f>
        <v>4599</v>
      </c>
      <c r="R486" s="125">
        <f>IFERROR(VLOOKUP(C486,TD!$B$32:$F$36,4,0)," ")</f>
        <v>20240207</v>
      </c>
      <c r="S486" s="51" t="s">
        <v>185</v>
      </c>
      <c r="T486" s="125" t="str">
        <f>IFERROR(VLOOKUP(S486,TD!$J$33:$K$43,2,0)," ")</f>
        <v>Infraestructura física, mantenimiento y dotación (Sedes construidas, mantenidas reforzadas)</v>
      </c>
      <c r="U486" s="127" t="str">
        <f>CONCATENATE(S486,"-",T486)</f>
        <v>08-Infraestructura física, mantenimiento y dotación (Sedes construidas, mantenidas reforzadas)</v>
      </c>
      <c r="V486" s="51" t="s">
        <v>238</v>
      </c>
      <c r="W486" s="125" t="str">
        <f>IFERROR(VLOOKUP(V486,TD!$N$33:$O$45,2,0)," ")</f>
        <v>Sedes mantenidas</v>
      </c>
      <c r="X486" s="127" t="str">
        <f>CONCATENATE(V486,"_",W486)</f>
        <v>016_Sedes mantenidas</v>
      </c>
      <c r="Y486" s="127" t="str">
        <f>CONCATENATE(U486," ",X486)</f>
        <v>08-Infraestructura física, mantenimiento y dotación (Sedes construidas, mantenidas reforzadas) 016_Sedes mantenidas</v>
      </c>
      <c r="Z486" s="125" t="str">
        <f>CONCATENATE(P486,Q486,R486,S486,V486)</f>
        <v>O23011745992024020708016</v>
      </c>
      <c r="AA486" s="125" t="str">
        <f>IFERROR(VLOOKUP(Y486,TD!$K$46:$L$64,2,0)," ")</f>
        <v>PM/0131/0108/45990160207</v>
      </c>
      <c r="AB486" s="53" t="s">
        <v>120</v>
      </c>
      <c r="AC486" s="126" t="s">
        <v>204</v>
      </c>
    </row>
    <row r="487" spans="2:29" s="28" customFormat="1" ht="74.25" customHeight="1" x14ac:dyDescent="0.35">
      <c r="B487" s="77">
        <v>20250041</v>
      </c>
      <c r="C487" s="50" t="s">
        <v>208</v>
      </c>
      <c r="D487" s="123" t="s">
        <v>46</v>
      </c>
      <c r="E487" s="51" t="s">
        <v>485</v>
      </c>
      <c r="F487" s="123" t="s">
        <v>489</v>
      </c>
      <c r="G487" s="123" t="s">
        <v>155</v>
      </c>
      <c r="H487" s="97">
        <v>80111600</v>
      </c>
      <c r="I487" s="124">
        <v>1</v>
      </c>
      <c r="J487" s="124">
        <v>10</v>
      </c>
      <c r="K487" s="52">
        <v>0</v>
      </c>
      <c r="L487" s="53">
        <v>65000000</v>
      </c>
      <c r="M487" s="123" t="s">
        <v>484</v>
      </c>
      <c r="N487" s="53" t="s">
        <v>113</v>
      </c>
      <c r="O487" s="51" t="s">
        <v>219</v>
      </c>
      <c r="P487" s="125" t="str">
        <f>IFERROR(VLOOKUP(C487,TD!$B$32:$F$36,2,0)," ")</f>
        <v>O230117</v>
      </c>
      <c r="Q487" s="125" t="str">
        <f>IFERROR(VLOOKUP(C487,TD!$B$32:$F$36,3,0)," ")</f>
        <v>4599</v>
      </c>
      <c r="R487" s="125">
        <f>IFERROR(VLOOKUP(C487,TD!$B$32:$F$36,4,0)," ")</f>
        <v>20240207</v>
      </c>
      <c r="S487" s="51" t="s">
        <v>185</v>
      </c>
      <c r="T487" s="125" t="str">
        <f>IFERROR(VLOOKUP(S487,TD!$J$33:$K$43,2,0)," ")</f>
        <v>Infraestructura física, mantenimiento y dotación (Sedes construidas, mantenidas reforzadas)</v>
      </c>
      <c r="U487" s="127" t="str">
        <f>CONCATENATE(S487,"-",T487)</f>
        <v>08-Infraestructura física, mantenimiento y dotación (Sedes construidas, mantenidas reforzadas)</v>
      </c>
      <c r="V487" s="51" t="s">
        <v>238</v>
      </c>
      <c r="W487" s="125" t="str">
        <f>IFERROR(VLOOKUP(V487,TD!$N$33:$O$45,2,0)," ")</f>
        <v>Sedes mantenidas</v>
      </c>
      <c r="X487" s="127" t="str">
        <f>CONCATENATE(V487,"_",W487)</f>
        <v>016_Sedes mantenidas</v>
      </c>
      <c r="Y487" s="127" t="str">
        <f>CONCATENATE(U487," ",X487)</f>
        <v>08-Infraestructura física, mantenimiento y dotación (Sedes construidas, mantenidas reforzadas) 016_Sedes mantenidas</v>
      </c>
      <c r="Z487" s="125" t="str">
        <f>CONCATENATE(P487,Q487,R487,S487,V487)</f>
        <v>O23011745992024020708016</v>
      </c>
      <c r="AA487" s="125" t="str">
        <f>IFERROR(VLOOKUP(Y487,TD!$K$46:$L$64,2,0)," ")</f>
        <v>PM/0131/0108/45990160207</v>
      </c>
      <c r="AB487" s="53" t="s">
        <v>120</v>
      </c>
      <c r="AC487" s="126" t="s">
        <v>204</v>
      </c>
    </row>
    <row r="488" spans="2:29" s="28" customFormat="1" ht="74.25" customHeight="1" x14ac:dyDescent="0.35">
      <c r="B488" s="77">
        <v>20250042</v>
      </c>
      <c r="C488" s="50" t="s">
        <v>208</v>
      </c>
      <c r="D488" s="123" t="s">
        <v>46</v>
      </c>
      <c r="E488" s="51" t="s">
        <v>485</v>
      </c>
      <c r="F488" s="123" t="s">
        <v>489</v>
      </c>
      <c r="G488" s="123" t="s">
        <v>155</v>
      </c>
      <c r="H488" s="97">
        <v>80111600</v>
      </c>
      <c r="I488" s="124">
        <v>1</v>
      </c>
      <c r="J488" s="124">
        <v>10</v>
      </c>
      <c r="K488" s="52">
        <v>0</v>
      </c>
      <c r="L488" s="53">
        <v>71000000</v>
      </c>
      <c r="M488" s="123" t="s">
        <v>484</v>
      </c>
      <c r="N488" s="53" t="s">
        <v>113</v>
      </c>
      <c r="O488" s="51" t="s">
        <v>219</v>
      </c>
      <c r="P488" s="125" t="str">
        <f>IFERROR(VLOOKUP(C488,TD!$B$32:$F$36,2,0)," ")</f>
        <v>O230117</v>
      </c>
      <c r="Q488" s="125" t="str">
        <f>IFERROR(VLOOKUP(C488,TD!$B$32:$F$36,3,0)," ")</f>
        <v>4599</v>
      </c>
      <c r="R488" s="125">
        <f>IFERROR(VLOOKUP(C488,TD!$B$32:$F$36,4,0)," ")</f>
        <v>20240207</v>
      </c>
      <c r="S488" s="51" t="s">
        <v>185</v>
      </c>
      <c r="T488" s="125" t="str">
        <f>IFERROR(VLOOKUP(S488,TD!$J$33:$K$43,2,0)," ")</f>
        <v>Infraestructura física, mantenimiento y dotación (Sedes construidas, mantenidas reforzadas)</v>
      </c>
      <c r="U488" s="127" t="str">
        <f>CONCATENATE(S488,"-",T488)</f>
        <v>08-Infraestructura física, mantenimiento y dotación (Sedes construidas, mantenidas reforzadas)</v>
      </c>
      <c r="V488" s="51" t="s">
        <v>238</v>
      </c>
      <c r="W488" s="125" t="str">
        <f>IFERROR(VLOOKUP(V488,TD!$N$33:$O$45,2,0)," ")</f>
        <v>Sedes mantenidas</v>
      </c>
      <c r="X488" s="127" t="str">
        <f>CONCATENATE(V488,"_",W488)</f>
        <v>016_Sedes mantenidas</v>
      </c>
      <c r="Y488" s="127" t="str">
        <f>CONCATENATE(U488," ",X488)</f>
        <v>08-Infraestructura física, mantenimiento y dotación (Sedes construidas, mantenidas reforzadas) 016_Sedes mantenidas</v>
      </c>
      <c r="Z488" s="125" t="str">
        <f>CONCATENATE(P488,Q488,R488,S488,V488)</f>
        <v>O23011745992024020708016</v>
      </c>
      <c r="AA488" s="125" t="str">
        <f>IFERROR(VLOOKUP(Y488,TD!$K$46:$L$64,2,0)," ")</f>
        <v>PM/0131/0108/45990160207</v>
      </c>
      <c r="AB488" s="53" t="s">
        <v>120</v>
      </c>
      <c r="AC488" s="126" t="s">
        <v>204</v>
      </c>
    </row>
    <row r="489" spans="2:29" s="28" customFormat="1" ht="74.25" customHeight="1" x14ac:dyDescent="0.35">
      <c r="B489" s="77">
        <v>20250043</v>
      </c>
      <c r="C489" s="50" t="s">
        <v>208</v>
      </c>
      <c r="D489" s="123" t="s">
        <v>46</v>
      </c>
      <c r="E489" s="51" t="s">
        <v>485</v>
      </c>
      <c r="F489" s="123" t="s">
        <v>490</v>
      </c>
      <c r="G489" s="123" t="s">
        <v>155</v>
      </c>
      <c r="H489" s="97">
        <v>80111600</v>
      </c>
      <c r="I489" s="124">
        <v>1</v>
      </c>
      <c r="J489" s="124">
        <v>10</v>
      </c>
      <c r="K489" s="52">
        <v>0</v>
      </c>
      <c r="L489" s="53">
        <v>38500000</v>
      </c>
      <c r="M489" s="123" t="s">
        <v>484</v>
      </c>
      <c r="N489" s="53" t="s">
        <v>113</v>
      </c>
      <c r="O489" s="51" t="s">
        <v>219</v>
      </c>
      <c r="P489" s="125" t="str">
        <f>IFERROR(VLOOKUP(C489,TD!$B$32:$F$36,2,0)," ")</f>
        <v>O230117</v>
      </c>
      <c r="Q489" s="125" t="str">
        <f>IFERROR(VLOOKUP(C489,TD!$B$32:$F$36,3,0)," ")</f>
        <v>4599</v>
      </c>
      <c r="R489" s="125">
        <f>IFERROR(VLOOKUP(C489,TD!$B$32:$F$36,4,0)," ")</f>
        <v>20240207</v>
      </c>
      <c r="S489" s="51" t="s">
        <v>185</v>
      </c>
      <c r="T489" s="125" t="str">
        <f>IFERROR(VLOOKUP(S489,TD!$J$33:$K$43,2,0)," ")</f>
        <v>Infraestructura física, mantenimiento y dotación (Sedes construidas, mantenidas reforzadas)</v>
      </c>
      <c r="U489" s="127" t="str">
        <f>CONCATENATE(S489,"-",T489)</f>
        <v>08-Infraestructura física, mantenimiento y dotación (Sedes construidas, mantenidas reforzadas)</v>
      </c>
      <c r="V489" s="51" t="s">
        <v>238</v>
      </c>
      <c r="W489" s="125" t="str">
        <f>IFERROR(VLOOKUP(V489,TD!$N$33:$O$45,2,0)," ")</f>
        <v>Sedes mantenidas</v>
      </c>
      <c r="X489" s="127" t="str">
        <f>CONCATENATE(V489,"_",W489)</f>
        <v>016_Sedes mantenidas</v>
      </c>
      <c r="Y489" s="127" t="str">
        <f>CONCATENATE(U489," ",X489)</f>
        <v>08-Infraestructura física, mantenimiento y dotación (Sedes construidas, mantenidas reforzadas) 016_Sedes mantenidas</v>
      </c>
      <c r="Z489" s="125" t="str">
        <f>CONCATENATE(P489,Q489,R489,S489,V489)</f>
        <v>O23011745992024020708016</v>
      </c>
      <c r="AA489" s="125" t="str">
        <f>IFERROR(VLOOKUP(Y489,TD!$K$46:$L$64,2,0)," ")</f>
        <v>PM/0131/0108/45990160207</v>
      </c>
      <c r="AB489" s="53" t="s">
        <v>138</v>
      </c>
      <c r="AC489" s="126" t="s">
        <v>204</v>
      </c>
    </row>
    <row r="490" spans="2:29" s="28" customFormat="1" ht="74.25" customHeight="1" x14ac:dyDescent="0.35">
      <c r="B490" s="77">
        <v>20250044</v>
      </c>
      <c r="C490" s="50" t="s">
        <v>208</v>
      </c>
      <c r="D490" s="123" t="s">
        <v>46</v>
      </c>
      <c r="E490" s="51" t="s">
        <v>485</v>
      </c>
      <c r="F490" s="123" t="s">
        <v>491</v>
      </c>
      <c r="G490" s="123" t="s">
        <v>155</v>
      </c>
      <c r="H490" s="97">
        <v>80111600</v>
      </c>
      <c r="I490" s="124">
        <v>1</v>
      </c>
      <c r="J490" s="124">
        <v>11</v>
      </c>
      <c r="K490" s="52">
        <v>0</v>
      </c>
      <c r="L490" s="53">
        <v>38500000</v>
      </c>
      <c r="M490" s="123" t="s">
        <v>484</v>
      </c>
      <c r="N490" s="53" t="s">
        <v>113</v>
      </c>
      <c r="O490" s="51" t="s">
        <v>219</v>
      </c>
      <c r="P490" s="125" t="str">
        <f>IFERROR(VLOOKUP(C490,TD!$B$32:$F$36,2,0)," ")</f>
        <v>O230117</v>
      </c>
      <c r="Q490" s="125" t="str">
        <f>IFERROR(VLOOKUP(C490,TD!$B$32:$F$36,3,0)," ")</f>
        <v>4599</v>
      </c>
      <c r="R490" s="125">
        <f>IFERROR(VLOOKUP(C490,TD!$B$32:$F$36,4,0)," ")</f>
        <v>20240207</v>
      </c>
      <c r="S490" s="51" t="s">
        <v>185</v>
      </c>
      <c r="T490" s="125" t="str">
        <f>IFERROR(VLOOKUP(S490,TD!$J$33:$K$43,2,0)," ")</f>
        <v>Infraestructura física, mantenimiento y dotación (Sedes construidas, mantenidas reforzadas)</v>
      </c>
      <c r="U490" s="127" t="str">
        <f>CONCATENATE(S490,"-",T490)</f>
        <v>08-Infraestructura física, mantenimiento y dotación (Sedes construidas, mantenidas reforzadas)</v>
      </c>
      <c r="V490" s="51" t="s">
        <v>238</v>
      </c>
      <c r="W490" s="125" t="str">
        <f>IFERROR(VLOOKUP(V490,TD!$N$33:$O$45,2,0)," ")</f>
        <v>Sedes mantenidas</v>
      </c>
      <c r="X490" s="127" t="str">
        <f>CONCATENATE(V490,"_",W490)</f>
        <v>016_Sedes mantenidas</v>
      </c>
      <c r="Y490" s="127" t="str">
        <f>CONCATENATE(U490," ",X490)</f>
        <v>08-Infraestructura física, mantenimiento y dotación (Sedes construidas, mantenidas reforzadas) 016_Sedes mantenidas</v>
      </c>
      <c r="Z490" s="125" t="str">
        <f>CONCATENATE(P490,Q490,R490,S490,V490)</f>
        <v>O23011745992024020708016</v>
      </c>
      <c r="AA490" s="125" t="str">
        <f>IFERROR(VLOOKUP(Y490,TD!$K$46:$L$64,2,0)," ")</f>
        <v>PM/0131/0108/45990160207</v>
      </c>
      <c r="AB490" s="53" t="s">
        <v>138</v>
      </c>
      <c r="AC490" s="126" t="s">
        <v>204</v>
      </c>
    </row>
    <row r="491" spans="2:29" s="28" customFormat="1" ht="95.5" customHeight="1" x14ac:dyDescent="0.35">
      <c r="B491" s="77">
        <v>20250045</v>
      </c>
      <c r="C491" s="50" t="s">
        <v>208</v>
      </c>
      <c r="D491" s="123" t="s">
        <v>46</v>
      </c>
      <c r="E491" s="51" t="s">
        <v>485</v>
      </c>
      <c r="F491" s="123" t="s">
        <v>492</v>
      </c>
      <c r="G491" s="123" t="s">
        <v>155</v>
      </c>
      <c r="H491" s="97">
        <v>80111600</v>
      </c>
      <c r="I491" s="124">
        <v>1</v>
      </c>
      <c r="J491" s="124">
        <v>11</v>
      </c>
      <c r="K491" s="52">
        <v>0</v>
      </c>
      <c r="L491" s="53">
        <v>48000000</v>
      </c>
      <c r="M491" s="123" t="s">
        <v>484</v>
      </c>
      <c r="N491" s="53" t="s">
        <v>113</v>
      </c>
      <c r="O491" s="51" t="s">
        <v>219</v>
      </c>
      <c r="P491" s="125" t="str">
        <f>IFERROR(VLOOKUP(C491,TD!$B$32:$F$36,2,0)," ")</f>
        <v>O230117</v>
      </c>
      <c r="Q491" s="125" t="str">
        <f>IFERROR(VLOOKUP(C491,TD!$B$32:$F$36,3,0)," ")</f>
        <v>4599</v>
      </c>
      <c r="R491" s="125">
        <f>IFERROR(VLOOKUP(C491,TD!$B$32:$F$36,4,0)," ")</f>
        <v>20240207</v>
      </c>
      <c r="S491" s="51" t="s">
        <v>185</v>
      </c>
      <c r="T491" s="125" t="str">
        <f>IFERROR(VLOOKUP(S491,TD!$J$33:$K$43,2,0)," ")</f>
        <v>Infraestructura física, mantenimiento y dotación (Sedes construidas, mantenidas reforzadas)</v>
      </c>
      <c r="U491" s="127" t="str">
        <f>CONCATENATE(S491,"-",T491)</f>
        <v>08-Infraestructura física, mantenimiento y dotación (Sedes construidas, mantenidas reforzadas)</v>
      </c>
      <c r="V491" s="51" t="s">
        <v>238</v>
      </c>
      <c r="W491" s="125" t="str">
        <f>IFERROR(VLOOKUP(V491,TD!$N$33:$O$45,2,0)," ")</f>
        <v>Sedes mantenidas</v>
      </c>
      <c r="X491" s="127" t="str">
        <f>CONCATENATE(V491,"_",W491)</f>
        <v>016_Sedes mantenidas</v>
      </c>
      <c r="Y491" s="127" t="str">
        <f>CONCATENATE(U491," ",X491)</f>
        <v>08-Infraestructura física, mantenimiento y dotación (Sedes construidas, mantenidas reforzadas) 016_Sedes mantenidas</v>
      </c>
      <c r="Z491" s="125" t="str">
        <f>CONCATENATE(P491,Q491,R491,S491,V491)</f>
        <v>O23011745992024020708016</v>
      </c>
      <c r="AA491" s="125" t="str">
        <f>IFERROR(VLOOKUP(Y491,TD!$K$46:$L$64,2,0)," ")</f>
        <v>PM/0131/0108/45990160207</v>
      </c>
      <c r="AB491" s="53" t="s">
        <v>120</v>
      </c>
      <c r="AC491" s="126" t="s">
        <v>204</v>
      </c>
    </row>
    <row r="492" spans="2:29" s="28" customFormat="1" ht="74.25" customHeight="1" x14ac:dyDescent="0.35">
      <c r="B492" s="77">
        <v>20250046</v>
      </c>
      <c r="C492" s="50" t="s">
        <v>208</v>
      </c>
      <c r="D492" s="123" t="s">
        <v>36</v>
      </c>
      <c r="E492" s="51" t="s">
        <v>379</v>
      </c>
      <c r="F492" s="123" t="s">
        <v>493</v>
      </c>
      <c r="G492" s="123" t="s">
        <v>155</v>
      </c>
      <c r="H492" s="97">
        <v>80111600</v>
      </c>
      <c r="I492" s="124">
        <v>2</v>
      </c>
      <c r="J492" s="124">
        <v>11</v>
      </c>
      <c r="K492" s="52">
        <v>0</v>
      </c>
      <c r="L492" s="53">
        <v>34840960</v>
      </c>
      <c r="M492" s="123" t="s">
        <v>484</v>
      </c>
      <c r="N492" s="53" t="s">
        <v>113</v>
      </c>
      <c r="O492" s="51" t="s">
        <v>211</v>
      </c>
      <c r="P492" s="125" t="str">
        <f>IFERROR(VLOOKUP(C492,TD!$B$32:$F$36,2,0)," ")</f>
        <v>O230117</v>
      </c>
      <c r="Q492" s="125" t="str">
        <f>IFERROR(VLOOKUP(C492,TD!$B$32:$F$36,3,0)," ")</f>
        <v>4599</v>
      </c>
      <c r="R492" s="125">
        <f>IFERROR(VLOOKUP(C492,TD!$B$32:$F$36,4,0)," ")</f>
        <v>20240207</v>
      </c>
      <c r="S492" s="51" t="s">
        <v>193</v>
      </c>
      <c r="T492" s="125" t="str">
        <f>IFERROR(VLOOKUP(S492,TD!$J$33:$K$43,2,0)," ")</f>
        <v>Servicios para la planeación y sistemas de gestión y comunicación estratégica</v>
      </c>
      <c r="U492" s="127" t="str">
        <f>CONCATENATE(S492,"-",T492)</f>
        <v>13-Servicios para la planeación y sistemas de gestión y comunicación estratégica</v>
      </c>
      <c r="V492" s="51" t="s">
        <v>240</v>
      </c>
      <c r="W492" s="125" t="str">
        <f>IFERROR(VLOOKUP(V492,TD!$N$33:$O$45,2,0)," ")</f>
        <v>Servicio de asistencia técnica</v>
      </c>
      <c r="X492" s="127" t="str">
        <f>CONCATENATE(V492,"_",W492)</f>
        <v>031_Servicio de asistencia técnica</v>
      </c>
      <c r="Y492" s="127" t="str">
        <f>CONCATENATE(U492," ",X492)</f>
        <v>13-Servicios para la planeación y sistemas de gestión y comunicación estratégica 031_Servicio de asistencia técnica</v>
      </c>
      <c r="Z492" s="125" t="str">
        <f>CONCATENATE(P492,Q492,R492,S492,V492)</f>
        <v>O23011745992024020713031</v>
      </c>
      <c r="AA492" s="125" t="str">
        <f>IFERROR(VLOOKUP(Y492,TD!$K$46:$L$64,2,0)," ")</f>
        <v>PM/0131/0113/45990310207</v>
      </c>
      <c r="AB492" s="53" t="s">
        <v>138</v>
      </c>
      <c r="AC492" s="126" t="s">
        <v>204</v>
      </c>
    </row>
    <row r="493" spans="2:29" s="28" customFormat="1" ht="74.25" customHeight="1" x14ac:dyDescent="0.35">
      <c r="B493" s="77">
        <v>20250047</v>
      </c>
      <c r="C493" s="50" t="s">
        <v>208</v>
      </c>
      <c r="D493" s="123" t="s">
        <v>36</v>
      </c>
      <c r="E493" s="51" t="s">
        <v>379</v>
      </c>
      <c r="F493" s="123" t="s">
        <v>380</v>
      </c>
      <c r="G493" s="123" t="s">
        <v>155</v>
      </c>
      <c r="H493" s="97">
        <v>80111600</v>
      </c>
      <c r="I493" s="124">
        <v>2</v>
      </c>
      <c r="J493" s="124">
        <v>8</v>
      </c>
      <c r="K493" s="52">
        <v>0</v>
      </c>
      <c r="L493" s="53">
        <v>40000000</v>
      </c>
      <c r="M493" s="123" t="s">
        <v>484</v>
      </c>
      <c r="N493" s="53" t="s">
        <v>113</v>
      </c>
      <c r="O493" s="51" t="s">
        <v>211</v>
      </c>
      <c r="P493" s="125" t="str">
        <f>IFERROR(VLOOKUP(C493,TD!$B$32:$F$36,2,0)," ")</f>
        <v>O230117</v>
      </c>
      <c r="Q493" s="125" t="str">
        <f>IFERROR(VLOOKUP(C493,TD!$B$32:$F$36,3,0)," ")</f>
        <v>4599</v>
      </c>
      <c r="R493" s="125">
        <f>IFERROR(VLOOKUP(C493,TD!$B$32:$F$36,4,0)," ")</f>
        <v>20240207</v>
      </c>
      <c r="S493" s="51" t="s">
        <v>193</v>
      </c>
      <c r="T493" s="125" t="str">
        <f>IFERROR(VLOOKUP(S493,TD!$J$33:$K$43,2,0)," ")</f>
        <v>Servicios para la planeación y sistemas de gestión y comunicación estratégica</v>
      </c>
      <c r="U493" s="127" t="str">
        <f>CONCATENATE(S493,"-",T493)</f>
        <v>13-Servicios para la planeación y sistemas de gestión y comunicación estratégica</v>
      </c>
      <c r="V493" s="51" t="s">
        <v>240</v>
      </c>
      <c r="W493" s="125" t="str">
        <f>IFERROR(VLOOKUP(V493,TD!$N$33:$O$45,2,0)," ")</f>
        <v>Servicio de asistencia técnica</v>
      </c>
      <c r="X493" s="127" t="str">
        <f>CONCATENATE(V493,"_",W493)</f>
        <v>031_Servicio de asistencia técnica</v>
      </c>
      <c r="Y493" s="127" t="str">
        <f>CONCATENATE(U493," ",X493)</f>
        <v>13-Servicios para la planeación y sistemas de gestión y comunicación estratégica 031_Servicio de asistencia técnica</v>
      </c>
      <c r="Z493" s="125" t="str">
        <f>CONCATENATE(P493,Q493,R493,S493,V493)</f>
        <v>O23011745992024020713031</v>
      </c>
      <c r="AA493" s="125" t="str">
        <f>IFERROR(VLOOKUP(Y493,TD!$K$46:$L$64,2,0)," ")</f>
        <v>PM/0131/0113/45990310207</v>
      </c>
      <c r="AB493" s="53" t="s">
        <v>138</v>
      </c>
      <c r="AC493" s="126" t="s">
        <v>204</v>
      </c>
    </row>
    <row r="494" spans="2:29" s="28" customFormat="1" ht="74.25" customHeight="1" x14ac:dyDescent="0.35">
      <c r="B494" s="77">
        <v>20250048</v>
      </c>
      <c r="C494" s="50" t="s">
        <v>208</v>
      </c>
      <c r="D494" s="123" t="s">
        <v>36</v>
      </c>
      <c r="E494" s="51" t="s">
        <v>379</v>
      </c>
      <c r="F494" s="123" t="s">
        <v>381</v>
      </c>
      <c r="G494" s="123" t="s">
        <v>156</v>
      </c>
      <c r="H494" s="97">
        <v>80111600</v>
      </c>
      <c r="I494" s="124">
        <v>2</v>
      </c>
      <c r="J494" s="124">
        <v>11</v>
      </c>
      <c r="K494" s="52">
        <v>0</v>
      </c>
      <c r="L494" s="53">
        <v>43362000</v>
      </c>
      <c r="M494" s="123" t="s">
        <v>484</v>
      </c>
      <c r="N494" s="53" t="s">
        <v>113</v>
      </c>
      <c r="O494" s="51" t="s">
        <v>211</v>
      </c>
      <c r="P494" s="125" t="str">
        <f>IFERROR(VLOOKUP(C494,TD!$B$32:$F$36,2,0)," ")</f>
        <v>O230117</v>
      </c>
      <c r="Q494" s="125" t="str">
        <f>IFERROR(VLOOKUP(C494,TD!$B$32:$F$36,3,0)," ")</f>
        <v>4599</v>
      </c>
      <c r="R494" s="125">
        <f>IFERROR(VLOOKUP(C494,TD!$B$32:$F$36,4,0)," ")</f>
        <v>20240207</v>
      </c>
      <c r="S494" s="51" t="s">
        <v>193</v>
      </c>
      <c r="T494" s="125" t="str">
        <f>IFERROR(VLOOKUP(S494,TD!$J$33:$K$43,2,0)," ")</f>
        <v>Servicios para la planeación y sistemas de gestión y comunicación estratégica</v>
      </c>
      <c r="U494" s="127" t="str">
        <f>CONCATENATE(S494,"-",T494)</f>
        <v>13-Servicios para la planeación y sistemas de gestión y comunicación estratégica</v>
      </c>
      <c r="V494" s="51" t="s">
        <v>240</v>
      </c>
      <c r="W494" s="125" t="str">
        <f>IFERROR(VLOOKUP(V494,TD!$N$33:$O$45,2,0)," ")</f>
        <v>Servicio de asistencia técnica</v>
      </c>
      <c r="X494" s="127" t="str">
        <f>CONCATENATE(V494,"_",W494)</f>
        <v>031_Servicio de asistencia técnica</v>
      </c>
      <c r="Y494" s="127" t="str">
        <f>CONCATENATE(U494," ",X494)</f>
        <v>13-Servicios para la planeación y sistemas de gestión y comunicación estratégica 031_Servicio de asistencia técnica</v>
      </c>
      <c r="Z494" s="125" t="str">
        <f>CONCATENATE(P494,Q494,R494,S494,V494)</f>
        <v>O23011745992024020713031</v>
      </c>
      <c r="AA494" s="125" t="str">
        <f>IFERROR(VLOOKUP(Y494,TD!$K$46:$L$64,2,0)," ")</f>
        <v>PM/0131/0113/45990310207</v>
      </c>
      <c r="AB494" s="53" t="s">
        <v>138</v>
      </c>
      <c r="AC494" s="126" t="s">
        <v>204</v>
      </c>
    </row>
    <row r="495" spans="2:29" s="28" customFormat="1" ht="74.25" customHeight="1" x14ac:dyDescent="0.35">
      <c r="B495" s="77">
        <v>20250049</v>
      </c>
      <c r="C495" s="50" t="s">
        <v>208</v>
      </c>
      <c r="D495" s="123" t="s">
        <v>36</v>
      </c>
      <c r="E495" s="51" t="s">
        <v>379</v>
      </c>
      <c r="F495" s="123" t="s">
        <v>382</v>
      </c>
      <c r="G495" s="123" t="s">
        <v>155</v>
      </c>
      <c r="H495" s="97">
        <v>80111600</v>
      </c>
      <c r="I495" s="124">
        <v>2</v>
      </c>
      <c r="J495" s="124">
        <v>11</v>
      </c>
      <c r="K495" s="52">
        <v>0</v>
      </c>
      <c r="L495" s="53">
        <v>104500000</v>
      </c>
      <c r="M495" s="123" t="s">
        <v>484</v>
      </c>
      <c r="N495" s="53" t="s">
        <v>113</v>
      </c>
      <c r="O495" s="51" t="s">
        <v>211</v>
      </c>
      <c r="P495" s="125" t="str">
        <f>IFERROR(VLOOKUP(C495,TD!$B$32:$F$36,2,0)," ")</f>
        <v>O230117</v>
      </c>
      <c r="Q495" s="125" t="str">
        <f>IFERROR(VLOOKUP(C495,TD!$B$32:$F$36,3,0)," ")</f>
        <v>4599</v>
      </c>
      <c r="R495" s="125">
        <f>IFERROR(VLOOKUP(C495,TD!$B$32:$F$36,4,0)," ")</f>
        <v>20240207</v>
      </c>
      <c r="S495" s="51" t="s">
        <v>193</v>
      </c>
      <c r="T495" s="125" t="str">
        <f>IFERROR(VLOOKUP(S495,TD!$J$33:$K$43,2,0)," ")</f>
        <v>Servicios para la planeación y sistemas de gestión y comunicación estratégica</v>
      </c>
      <c r="U495" s="127" t="str">
        <f>CONCATENATE(S495,"-",T495)</f>
        <v>13-Servicios para la planeación y sistemas de gestión y comunicación estratégica</v>
      </c>
      <c r="V495" s="51" t="s">
        <v>240</v>
      </c>
      <c r="W495" s="125" t="str">
        <f>IFERROR(VLOOKUP(V495,TD!$N$33:$O$45,2,0)," ")</f>
        <v>Servicio de asistencia técnica</v>
      </c>
      <c r="X495" s="127" t="str">
        <f>CONCATENATE(V495,"_",W495)</f>
        <v>031_Servicio de asistencia técnica</v>
      </c>
      <c r="Y495" s="127" t="str">
        <f>CONCATENATE(U495," ",X495)</f>
        <v>13-Servicios para la planeación y sistemas de gestión y comunicación estratégica 031_Servicio de asistencia técnica</v>
      </c>
      <c r="Z495" s="125" t="str">
        <f>CONCATENATE(P495,Q495,R495,S495,V495)</f>
        <v>O23011745992024020713031</v>
      </c>
      <c r="AA495" s="125" t="str">
        <f>IFERROR(VLOOKUP(Y495,TD!$K$46:$L$64,2,0)," ")</f>
        <v>PM/0131/0113/45990310207</v>
      </c>
      <c r="AB495" s="53" t="s">
        <v>138</v>
      </c>
      <c r="AC495" s="126" t="s">
        <v>204</v>
      </c>
    </row>
    <row r="496" spans="2:29" s="28" customFormat="1" ht="74.25" customHeight="1" x14ac:dyDescent="0.35">
      <c r="B496" s="77">
        <v>20250050</v>
      </c>
      <c r="C496" s="50" t="s">
        <v>208</v>
      </c>
      <c r="D496" s="123" t="s">
        <v>36</v>
      </c>
      <c r="E496" s="51" t="s">
        <v>379</v>
      </c>
      <c r="F496" s="123" t="s">
        <v>383</v>
      </c>
      <c r="G496" s="123" t="s">
        <v>155</v>
      </c>
      <c r="H496" s="97">
        <v>80111600</v>
      </c>
      <c r="I496" s="124">
        <v>2</v>
      </c>
      <c r="J496" s="124">
        <v>7</v>
      </c>
      <c r="K496" s="52">
        <v>0</v>
      </c>
      <c r="L496" s="53">
        <v>45500000</v>
      </c>
      <c r="M496" s="123" t="s">
        <v>484</v>
      </c>
      <c r="N496" s="53" t="s">
        <v>113</v>
      </c>
      <c r="O496" s="51" t="s">
        <v>211</v>
      </c>
      <c r="P496" s="125" t="str">
        <f>IFERROR(VLOOKUP(C496,TD!$B$32:$F$36,2,0)," ")</f>
        <v>O230117</v>
      </c>
      <c r="Q496" s="125" t="str">
        <f>IFERROR(VLOOKUP(C496,TD!$B$32:$F$36,3,0)," ")</f>
        <v>4599</v>
      </c>
      <c r="R496" s="125">
        <f>IFERROR(VLOOKUP(C496,TD!$B$32:$F$36,4,0)," ")</f>
        <v>20240207</v>
      </c>
      <c r="S496" s="51" t="s">
        <v>193</v>
      </c>
      <c r="T496" s="125" t="str">
        <f>IFERROR(VLOOKUP(S496,TD!$J$33:$K$43,2,0)," ")</f>
        <v>Servicios para la planeación y sistemas de gestión y comunicación estratégica</v>
      </c>
      <c r="U496" s="127" t="str">
        <f>CONCATENATE(S496,"-",T496)</f>
        <v>13-Servicios para la planeación y sistemas de gestión y comunicación estratégica</v>
      </c>
      <c r="V496" s="51" t="s">
        <v>240</v>
      </c>
      <c r="W496" s="125" t="str">
        <f>IFERROR(VLOOKUP(V496,TD!$N$33:$O$45,2,0)," ")</f>
        <v>Servicio de asistencia técnica</v>
      </c>
      <c r="X496" s="127" t="str">
        <f>CONCATENATE(V496,"_",W496)</f>
        <v>031_Servicio de asistencia técnica</v>
      </c>
      <c r="Y496" s="127" t="str">
        <f>CONCATENATE(U496," ",X496)</f>
        <v>13-Servicios para la planeación y sistemas de gestión y comunicación estratégica 031_Servicio de asistencia técnica</v>
      </c>
      <c r="Z496" s="125" t="str">
        <f>CONCATENATE(P496,Q496,R496,S496,V496)</f>
        <v>O23011745992024020713031</v>
      </c>
      <c r="AA496" s="125" t="str">
        <f>IFERROR(VLOOKUP(Y496,TD!$K$46:$L$64,2,0)," ")</f>
        <v>PM/0131/0113/45990310207</v>
      </c>
      <c r="AB496" s="53" t="s">
        <v>138</v>
      </c>
      <c r="AC496" s="51" t="s">
        <v>204</v>
      </c>
    </row>
    <row r="497" spans="2:29" s="28" customFormat="1" ht="74.25" customHeight="1" x14ac:dyDescent="0.35">
      <c r="B497" s="77">
        <v>20250051</v>
      </c>
      <c r="C497" s="50" t="s">
        <v>208</v>
      </c>
      <c r="D497" s="123" t="s">
        <v>36</v>
      </c>
      <c r="E497" s="51" t="s">
        <v>379</v>
      </c>
      <c r="F497" s="123" t="s">
        <v>430</v>
      </c>
      <c r="G497" s="123" t="s">
        <v>155</v>
      </c>
      <c r="H497" s="97">
        <v>80111600</v>
      </c>
      <c r="I497" s="124">
        <v>2</v>
      </c>
      <c r="J497" s="124">
        <v>8</v>
      </c>
      <c r="K497" s="52">
        <v>0</v>
      </c>
      <c r="L497" s="53">
        <v>57600000</v>
      </c>
      <c r="M497" s="123" t="s">
        <v>484</v>
      </c>
      <c r="N497" s="53" t="s">
        <v>113</v>
      </c>
      <c r="O497" s="51" t="s">
        <v>211</v>
      </c>
      <c r="P497" s="125" t="str">
        <f>IFERROR(VLOOKUP(C497,TD!$B$32:$F$36,2,0)," ")</f>
        <v>O230117</v>
      </c>
      <c r="Q497" s="125" t="str">
        <f>IFERROR(VLOOKUP(C497,TD!$B$32:$F$36,3,0)," ")</f>
        <v>4599</v>
      </c>
      <c r="R497" s="125">
        <f>IFERROR(VLOOKUP(C497,TD!$B$32:$F$36,4,0)," ")</f>
        <v>20240207</v>
      </c>
      <c r="S497" s="51" t="s">
        <v>193</v>
      </c>
      <c r="T497" s="125" t="str">
        <f>IFERROR(VLOOKUP(S497,TD!$J$33:$K$43,2,0)," ")</f>
        <v>Servicios para la planeación y sistemas de gestión y comunicación estratégica</v>
      </c>
      <c r="U497" s="127" t="str">
        <f>CONCATENATE(S497,"-",T497)</f>
        <v>13-Servicios para la planeación y sistemas de gestión y comunicación estratégica</v>
      </c>
      <c r="V497" s="51" t="s">
        <v>240</v>
      </c>
      <c r="W497" s="125" t="str">
        <f>IFERROR(VLOOKUP(V497,TD!$N$33:$O$45,2,0)," ")</f>
        <v>Servicio de asistencia técnica</v>
      </c>
      <c r="X497" s="127" t="str">
        <f>CONCATENATE(V497,"_",W497)</f>
        <v>031_Servicio de asistencia técnica</v>
      </c>
      <c r="Y497" s="127" t="str">
        <f>CONCATENATE(U497," ",X497)</f>
        <v>13-Servicios para la planeación y sistemas de gestión y comunicación estratégica 031_Servicio de asistencia técnica</v>
      </c>
      <c r="Z497" s="125" t="str">
        <f>CONCATENATE(P497,Q497,R497,S497,V497)</f>
        <v>O23011745992024020713031</v>
      </c>
      <c r="AA497" s="125" t="str">
        <f>IFERROR(VLOOKUP(Y497,TD!$K$46:$L$64,2,0)," ")</f>
        <v>PM/0131/0113/45990310207</v>
      </c>
      <c r="AB497" s="53" t="s">
        <v>138</v>
      </c>
      <c r="AC497" s="126" t="s">
        <v>204</v>
      </c>
    </row>
    <row r="498" spans="2:29" s="28" customFormat="1" ht="131.5" customHeight="1" x14ac:dyDescent="0.35">
      <c r="B498" s="77">
        <v>20250052</v>
      </c>
      <c r="C498" s="50" t="s">
        <v>208</v>
      </c>
      <c r="D498" s="123" t="s">
        <v>36</v>
      </c>
      <c r="E498" s="51" t="s">
        <v>379</v>
      </c>
      <c r="F498" s="123" t="s">
        <v>494</v>
      </c>
      <c r="G498" s="123" t="s">
        <v>155</v>
      </c>
      <c r="H498" s="97">
        <v>80111600</v>
      </c>
      <c r="I498" s="124">
        <v>2</v>
      </c>
      <c r="J498" s="124">
        <v>11</v>
      </c>
      <c r="K498" s="52">
        <v>0</v>
      </c>
      <c r="L498" s="53">
        <v>93500000</v>
      </c>
      <c r="M498" s="123" t="s">
        <v>484</v>
      </c>
      <c r="N498" s="53" t="s">
        <v>113</v>
      </c>
      <c r="O498" s="51" t="s">
        <v>212</v>
      </c>
      <c r="P498" s="125" t="str">
        <f>IFERROR(VLOOKUP(C498,TD!$B$32:$F$36,2,0)," ")</f>
        <v>O230117</v>
      </c>
      <c r="Q498" s="125" t="str">
        <f>IFERROR(VLOOKUP(C498,TD!$B$32:$F$36,3,0)," ")</f>
        <v>4599</v>
      </c>
      <c r="R498" s="125">
        <f>IFERROR(VLOOKUP(C498,TD!$B$32:$F$36,4,0)," ")</f>
        <v>20240207</v>
      </c>
      <c r="S498" s="51" t="s">
        <v>193</v>
      </c>
      <c r="T498" s="125" t="str">
        <f>IFERROR(VLOOKUP(S498,TD!$J$33:$K$43,2,0)," ")</f>
        <v>Servicios para la planeación y sistemas de gestión y comunicación estratégica</v>
      </c>
      <c r="U498" s="127" t="str">
        <f>CONCATENATE(S498,"-",T498)</f>
        <v>13-Servicios para la planeación y sistemas de gestión y comunicación estratégica</v>
      </c>
      <c r="V498" s="51" t="s">
        <v>241</v>
      </c>
      <c r="W498" s="125" t="str">
        <f>IFERROR(VLOOKUP(V498,TD!$N$33:$O$45,2,0)," ")</f>
        <v>Servicio de Implementación Sistemas de Gestión</v>
      </c>
      <c r="X498" s="127" t="str">
        <f>CONCATENATE(V498,"_",W498)</f>
        <v>023_Servicio de Implementación Sistemas de Gestión</v>
      </c>
      <c r="Y498" s="127" t="str">
        <f>CONCATENATE(U498," ",X498)</f>
        <v>13-Servicios para la planeación y sistemas de gestión y comunicación estratégica 023_Servicio de Implementación Sistemas de Gestión</v>
      </c>
      <c r="Z498" s="125" t="str">
        <f>CONCATENATE(P498,Q498,R498,S498,V498)</f>
        <v>O23011745992024020713023</v>
      </c>
      <c r="AA498" s="125" t="str">
        <f>IFERROR(VLOOKUP(Y498,TD!$K$46:$L$64,2,0)," ")</f>
        <v>PM/0131/0113/45990230207</v>
      </c>
      <c r="AB498" s="53" t="s">
        <v>138</v>
      </c>
      <c r="AC498" s="126" t="s">
        <v>204</v>
      </c>
    </row>
    <row r="499" spans="2:29" s="28" customFormat="1" ht="74.25" customHeight="1" x14ac:dyDescent="0.35">
      <c r="B499" s="77">
        <v>20250053</v>
      </c>
      <c r="C499" s="50" t="s">
        <v>208</v>
      </c>
      <c r="D499" s="123" t="s">
        <v>36</v>
      </c>
      <c r="E499" s="51" t="s">
        <v>379</v>
      </c>
      <c r="F499" s="123" t="s">
        <v>495</v>
      </c>
      <c r="G499" s="123" t="s">
        <v>155</v>
      </c>
      <c r="H499" s="97">
        <v>80111600</v>
      </c>
      <c r="I499" s="124">
        <v>2</v>
      </c>
      <c r="J499" s="124">
        <v>8</v>
      </c>
      <c r="K499" s="52">
        <v>0</v>
      </c>
      <c r="L499" s="53">
        <v>56000000</v>
      </c>
      <c r="M499" s="123" t="s">
        <v>484</v>
      </c>
      <c r="N499" s="53" t="s">
        <v>113</v>
      </c>
      <c r="O499" s="51" t="s">
        <v>211</v>
      </c>
      <c r="P499" s="125" t="str">
        <f>IFERROR(VLOOKUP(C499,TD!$B$32:$F$36,2,0)," ")</f>
        <v>O230117</v>
      </c>
      <c r="Q499" s="125" t="str">
        <f>IFERROR(VLOOKUP(C499,TD!$B$32:$F$36,3,0)," ")</f>
        <v>4599</v>
      </c>
      <c r="R499" s="125">
        <f>IFERROR(VLOOKUP(C499,TD!$B$32:$F$36,4,0)," ")</f>
        <v>20240207</v>
      </c>
      <c r="S499" s="51" t="s">
        <v>193</v>
      </c>
      <c r="T499" s="125" t="str">
        <f>IFERROR(VLOOKUP(S499,TD!$J$33:$K$43,2,0)," ")</f>
        <v>Servicios para la planeación y sistemas de gestión y comunicación estratégica</v>
      </c>
      <c r="U499" s="127" t="str">
        <f>CONCATENATE(S499,"-",T499)</f>
        <v>13-Servicios para la planeación y sistemas de gestión y comunicación estratégica</v>
      </c>
      <c r="V499" s="51" t="s">
        <v>240</v>
      </c>
      <c r="W499" s="125" t="str">
        <f>IFERROR(VLOOKUP(V499,TD!$N$33:$O$45,2,0)," ")</f>
        <v>Servicio de asistencia técnica</v>
      </c>
      <c r="X499" s="127" t="str">
        <f>CONCATENATE(V499,"_",W499)</f>
        <v>031_Servicio de asistencia técnica</v>
      </c>
      <c r="Y499" s="127" t="str">
        <f>CONCATENATE(U499," ",X499)</f>
        <v>13-Servicios para la planeación y sistemas de gestión y comunicación estratégica 031_Servicio de asistencia técnica</v>
      </c>
      <c r="Z499" s="125" t="str">
        <f>CONCATENATE(P499,Q499,R499,S499,V499)</f>
        <v>O23011745992024020713031</v>
      </c>
      <c r="AA499" s="125" t="str">
        <f>IFERROR(VLOOKUP(Y499,TD!$K$46:$L$64,2,0)," ")</f>
        <v>PM/0131/0113/45990310207</v>
      </c>
      <c r="AB499" s="53" t="s">
        <v>138</v>
      </c>
      <c r="AC499" s="126" t="s">
        <v>204</v>
      </c>
    </row>
    <row r="500" spans="2:29" s="28" customFormat="1" ht="74.25" customHeight="1" x14ac:dyDescent="0.35">
      <c r="B500" s="77">
        <v>20250054</v>
      </c>
      <c r="C500" s="50" t="s">
        <v>208</v>
      </c>
      <c r="D500" s="123" t="s">
        <v>36</v>
      </c>
      <c r="E500" s="51" t="s">
        <v>379</v>
      </c>
      <c r="F500" s="123" t="s">
        <v>496</v>
      </c>
      <c r="G500" s="123" t="s">
        <v>156</v>
      </c>
      <c r="H500" s="97">
        <v>80111600</v>
      </c>
      <c r="I500" s="124">
        <v>2</v>
      </c>
      <c r="J500" s="124">
        <v>7</v>
      </c>
      <c r="K500" s="52">
        <v>0</v>
      </c>
      <c r="L500" s="53">
        <v>26523000</v>
      </c>
      <c r="M500" s="123" t="s">
        <v>484</v>
      </c>
      <c r="N500" s="53" t="s">
        <v>113</v>
      </c>
      <c r="O500" s="51" t="s">
        <v>211</v>
      </c>
      <c r="P500" s="125" t="str">
        <f>IFERROR(VLOOKUP(C500,TD!$B$32:$F$36,2,0)," ")</f>
        <v>O230117</v>
      </c>
      <c r="Q500" s="125" t="str">
        <f>IFERROR(VLOOKUP(C500,TD!$B$32:$F$36,3,0)," ")</f>
        <v>4599</v>
      </c>
      <c r="R500" s="125">
        <f>IFERROR(VLOOKUP(C500,TD!$B$32:$F$36,4,0)," ")</f>
        <v>20240207</v>
      </c>
      <c r="S500" s="51" t="s">
        <v>193</v>
      </c>
      <c r="T500" s="125" t="str">
        <f>IFERROR(VLOOKUP(S500,TD!$J$33:$K$43,2,0)," ")</f>
        <v>Servicios para la planeación y sistemas de gestión y comunicación estratégica</v>
      </c>
      <c r="U500" s="127" t="str">
        <f>CONCATENATE(S500,"-",T500)</f>
        <v>13-Servicios para la planeación y sistemas de gestión y comunicación estratégica</v>
      </c>
      <c r="V500" s="51" t="s">
        <v>240</v>
      </c>
      <c r="W500" s="125" t="str">
        <f>IFERROR(VLOOKUP(V500,TD!$N$33:$O$45,2,0)," ")</f>
        <v>Servicio de asistencia técnica</v>
      </c>
      <c r="X500" s="127" t="str">
        <f>CONCATENATE(V500,"_",W500)</f>
        <v>031_Servicio de asistencia técnica</v>
      </c>
      <c r="Y500" s="127" t="str">
        <f>CONCATENATE(U500," ",X500)</f>
        <v>13-Servicios para la planeación y sistemas de gestión y comunicación estratégica 031_Servicio de asistencia técnica</v>
      </c>
      <c r="Z500" s="125" t="str">
        <f>CONCATENATE(P500,Q500,R500,S500,V500)</f>
        <v>O23011745992024020713031</v>
      </c>
      <c r="AA500" s="125" t="str">
        <f>IFERROR(VLOOKUP(Y500,TD!$K$46:$L$64,2,0)," ")</f>
        <v>PM/0131/0113/45990310207</v>
      </c>
      <c r="AB500" s="53" t="s">
        <v>138</v>
      </c>
      <c r="AC500" s="126" t="s">
        <v>204</v>
      </c>
    </row>
    <row r="501" spans="2:29" s="28" customFormat="1" ht="74.25" customHeight="1" x14ac:dyDescent="0.35">
      <c r="B501" s="77">
        <v>20250055</v>
      </c>
      <c r="C501" s="50" t="s">
        <v>208</v>
      </c>
      <c r="D501" s="123" t="s">
        <v>36</v>
      </c>
      <c r="E501" s="51" t="s">
        <v>379</v>
      </c>
      <c r="F501" s="123" t="s">
        <v>384</v>
      </c>
      <c r="G501" s="123" t="s">
        <v>155</v>
      </c>
      <c r="H501" s="97">
        <v>80111600</v>
      </c>
      <c r="I501" s="124">
        <v>2</v>
      </c>
      <c r="J501" s="124">
        <v>7</v>
      </c>
      <c r="K501" s="52">
        <v>0</v>
      </c>
      <c r="L501" s="53">
        <v>59500000</v>
      </c>
      <c r="M501" s="123" t="s">
        <v>484</v>
      </c>
      <c r="N501" s="53" t="s">
        <v>113</v>
      </c>
      <c r="O501" s="51" t="s">
        <v>211</v>
      </c>
      <c r="P501" s="125" t="str">
        <f>IFERROR(VLOOKUP(C501,TD!$B$32:$F$36,2,0)," ")</f>
        <v>O230117</v>
      </c>
      <c r="Q501" s="125" t="str">
        <f>IFERROR(VLOOKUP(C501,TD!$B$32:$F$36,3,0)," ")</f>
        <v>4599</v>
      </c>
      <c r="R501" s="125">
        <f>IFERROR(VLOOKUP(C501,TD!$B$32:$F$36,4,0)," ")</f>
        <v>20240207</v>
      </c>
      <c r="S501" s="51" t="s">
        <v>193</v>
      </c>
      <c r="T501" s="125" t="str">
        <f>IFERROR(VLOOKUP(S501,TD!$J$33:$K$43,2,0)," ")</f>
        <v>Servicios para la planeación y sistemas de gestión y comunicación estratégica</v>
      </c>
      <c r="U501" s="127" t="str">
        <f>CONCATENATE(S501,"-",T501)</f>
        <v>13-Servicios para la planeación y sistemas de gestión y comunicación estratégica</v>
      </c>
      <c r="V501" s="51" t="s">
        <v>241</v>
      </c>
      <c r="W501" s="125" t="str">
        <f>IFERROR(VLOOKUP(V501,TD!$N$33:$O$45,2,0)," ")</f>
        <v>Servicio de Implementación Sistemas de Gestión</v>
      </c>
      <c r="X501" s="127" t="str">
        <f>CONCATENATE(V501,"_",W501)</f>
        <v>023_Servicio de Implementación Sistemas de Gestión</v>
      </c>
      <c r="Y501" s="127" t="str">
        <f>CONCATENATE(U501," ",X501)</f>
        <v>13-Servicios para la planeación y sistemas de gestión y comunicación estratégica 023_Servicio de Implementación Sistemas de Gestión</v>
      </c>
      <c r="Z501" s="125" t="str">
        <f>CONCATENATE(P501,Q501,R501,S501,V501)</f>
        <v>O23011745992024020713023</v>
      </c>
      <c r="AA501" s="125" t="str">
        <f>IFERROR(VLOOKUP(Y501,TD!$K$46:$L$64,2,0)," ")</f>
        <v>PM/0131/0113/45990230207</v>
      </c>
      <c r="AB501" s="53" t="s">
        <v>138</v>
      </c>
      <c r="AC501" s="126" t="s">
        <v>204</v>
      </c>
    </row>
    <row r="502" spans="2:29" s="28" customFormat="1" ht="74.25" customHeight="1" x14ac:dyDescent="0.35">
      <c r="B502" s="77">
        <v>20250056</v>
      </c>
      <c r="C502" s="50" t="s">
        <v>208</v>
      </c>
      <c r="D502" s="123" t="s">
        <v>36</v>
      </c>
      <c r="E502" s="51" t="s">
        <v>379</v>
      </c>
      <c r="F502" s="123" t="s">
        <v>385</v>
      </c>
      <c r="G502" s="123" t="s">
        <v>155</v>
      </c>
      <c r="H502" s="97">
        <v>80111600</v>
      </c>
      <c r="I502" s="124">
        <v>2</v>
      </c>
      <c r="J502" s="124">
        <v>11</v>
      </c>
      <c r="K502" s="52">
        <v>0</v>
      </c>
      <c r="L502" s="53">
        <v>77000000</v>
      </c>
      <c r="M502" s="123" t="s">
        <v>484</v>
      </c>
      <c r="N502" s="53" t="s">
        <v>113</v>
      </c>
      <c r="O502" s="51" t="s">
        <v>211</v>
      </c>
      <c r="P502" s="125" t="str">
        <f>IFERROR(VLOOKUP(C502,TD!$B$32:$F$36,2,0)," ")</f>
        <v>O230117</v>
      </c>
      <c r="Q502" s="125" t="str">
        <f>IFERROR(VLOOKUP(C502,TD!$B$32:$F$36,3,0)," ")</f>
        <v>4599</v>
      </c>
      <c r="R502" s="125">
        <f>IFERROR(VLOOKUP(C502,TD!$B$32:$F$36,4,0)," ")</f>
        <v>20240207</v>
      </c>
      <c r="S502" s="51" t="s">
        <v>193</v>
      </c>
      <c r="T502" s="125" t="str">
        <f>IFERROR(VLOOKUP(S502,TD!$J$33:$K$43,2,0)," ")</f>
        <v>Servicios para la planeación y sistemas de gestión y comunicación estratégica</v>
      </c>
      <c r="U502" s="127" t="str">
        <f>CONCATENATE(S502,"-",T502)</f>
        <v>13-Servicios para la planeación y sistemas de gestión y comunicación estratégica</v>
      </c>
      <c r="V502" s="51" t="s">
        <v>240</v>
      </c>
      <c r="W502" s="125" t="str">
        <f>IFERROR(VLOOKUP(V502,TD!$N$33:$O$45,2,0)," ")</f>
        <v>Servicio de asistencia técnica</v>
      </c>
      <c r="X502" s="127" t="str">
        <f>CONCATENATE(V502,"_",W502)</f>
        <v>031_Servicio de asistencia técnica</v>
      </c>
      <c r="Y502" s="127" t="str">
        <f>CONCATENATE(U502," ",X502)</f>
        <v>13-Servicios para la planeación y sistemas de gestión y comunicación estratégica 031_Servicio de asistencia técnica</v>
      </c>
      <c r="Z502" s="125" t="str">
        <f>CONCATENATE(P502,Q502,R502,S502,V502)</f>
        <v>O23011745992024020713031</v>
      </c>
      <c r="AA502" s="125" t="str">
        <f>IFERROR(VLOOKUP(Y502,TD!$K$46:$L$64,2,0)," ")</f>
        <v>PM/0131/0113/45990310207</v>
      </c>
      <c r="AB502" s="53" t="s">
        <v>138</v>
      </c>
      <c r="AC502" s="126" t="s">
        <v>204</v>
      </c>
    </row>
    <row r="503" spans="2:29" s="28" customFormat="1" ht="74.25" customHeight="1" x14ac:dyDescent="0.35">
      <c r="B503" s="77">
        <v>20250057</v>
      </c>
      <c r="C503" s="50" t="s">
        <v>208</v>
      </c>
      <c r="D503" s="123" t="s">
        <v>36</v>
      </c>
      <c r="E503" s="51" t="s">
        <v>379</v>
      </c>
      <c r="F503" s="123" t="s">
        <v>497</v>
      </c>
      <c r="G503" s="123" t="s">
        <v>155</v>
      </c>
      <c r="H503" s="97">
        <v>80111600</v>
      </c>
      <c r="I503" s="124">
        <v>2</v>
      </c>
      <c r="J503" s="124">
        <v>9</v>
      </c>
      <c r="K503" s="52">
        <v>0</v>
      </c>
      <c r="L503" s="53">
        <v>58500000</v>
      </c>
      <c r="M503" s="123" t="s">
        <v>484</v>
      </c>
      <c r="N503" s="53" t="s">
        <v>113</v>
      </c>
      <c r="O503" s="51" t="s">
        <v>212</v>
      </c>
      <c r="P503" s="125" t="str">
        <f>IFERROR(VLOOKUP(C503,TD!$B$32:$F$36,2,0)," ")</f>
        <v>O230117</v>
      </c>
      <c r="Q503" s="125" t="str">
        <f>IFERROR(VLOOKUP(C503,TD!$B$32:$F$36,3,0)," ")</f>
        <v>4599</v>
      </c>
      <c r="R503" s="125">
        <f>IFERROR(VLOOKUP(C503,TD!$B$32:$F$36,4,0)," ")</f>
        <v>20240207</v>
      </c>
      <c r="S503" s="51" t="s">
        <v>193</v>
      </c>
      <c r="T503" s="125" t="str">
        <f>IFERROR(VLOOKUP(S503,TD!$J$33:$K$43,2,0)," ")</f>
        <v>Servicios para la planeación y sistemas de gestión y comunicación estratégica</v>
      </c>
      <c r="U503" s="127" t="str">
        <f>CONCATENATE(S503,"-",T503)</f>
        <v>13-Servicios para la planeación y sistemas de gestión y comunicación estratégica</v>
      </c>
      <c r="V503" s="51" t="s">
        <v>241</v>
      </c>
      <c r="W503" s="125" t="str">
        <f>IFERROR(VLOOKUP(V503,TD!$N$33:$O$45,2,0)," ")</f>
        <v>Servicio de Implementación Sistemas de Gestión</v>
      </c>
      <c r="X503" s="127" t="str">
        <f>CONCATENATE(V503,"_",W503)</f>
        <v>023_Servicio de Implementación Sistemas de Gestión</v>
      </c>
      <c r="Y503" s="127" t="str">
        <f>CONCATENATE(U503," ",X503)</f>
        <v>13-Servicios para la planeación y sistemas de gestión y comunicación estratégica 023_Servicio de Implementación Sistemas de Gestión</v>
      </c>
      <c r="Z503" s="125" t="str">
        <f>CONCATENATE(P503,Q503,R503,S503,V503)</f>
        <v>O23011745992024020713023</v>
      </c>
      <c r="AA503" s="125" t="str">
        <f>IFERROR(VLOOKUP(Y503,TD!$K$46:$L$64,2,0)," ")</f>
        <v>PM/0131/0113/45990230207</v>
      </c>
      <c r="AB503" s="53" t="s">
        <v>138</v>
      </c>
      <c r="AC503" s="126" t="s">
        <v>204</v>
      </c>
    </row>
    <row r="504" spans="2:29" s="28" customFormat="1" ht="74.25" customHeight="1" x14ac:dyDescent="0.35">
      <c r="B504" s="77">
        <v>20250058</v>
      </c>
      <c r="C504" s="50" t="s">
        <v>208</v>
      </c>
      <c r="D504" s="123" t="s">
        <v>36</v>
      </c>
      <c r="E504" s="51" t="s">
        <v>379</v>
      </c>
      <c r="F504" s="123" t="s">
        <v>386</v>
      </c>
      <c r="G504" s="123" t="s">
        <v>155</v>
      </c>
      <c r="H504" s="97">
        <v>80111600</v>
      </c>
      <c r="I504" s="124">
        <v>2</v>
      </c>
      <c r="J504" s="124">
        <v>7</v>
      </c>
      <c r="K504" s="52">
        <v>0</v>
      </c>
      <c r="L504" s="53">
        <v>51100000</v>
      </c>
      <c r="M504" s="123" t="s">
        <v>484</v>
      </c>
      <c r="N504" s="53" t="s">
        <v>113</v>
      </c>
      <c r="O504" s="51" t="s">
        <v>211</v>
      </c>
      <c r="P504" s="125" t="str">
        <f>IFERROR(VLOOKUP(C504,TD!$B$32:$F$36,2,0)," ")</f>
        <v>O230117</v>
      </c>
      <c r="Q504" s="125" t="str">
        <f>IFERROR(VLOOKUP(C504,TD!$B$32:$F$36,3,0)," ")</f>
        <v>4599</v>
      </c>
      <c r="R504" s="125">
        <f>IFERROR(VLOOKUP(C504,TD!$B$32:$F$36,4,0)," ")</f>
        <v>20240207</v>
      </c>
      <c r="S504" s="51" t="s">
        <v>193</v>
      </c>
      <c r="T504" s="125" t="str">
        <f>IFERROR(VLOOKUP(S504,TD!$J$33:$K$43,2,0)," ")</f>
        <v>Servicios para la planeación y sistemas de gestión y comunicación estratégica</v>
      </c>
      <c r="U504" s="127" t="str">
        <f>CONCATENATE(S504,"-",T504)</f>
        <v>13-Servicios para la planeación y sistemas de gestión y comunicación estratégica</v>
      </c>
      <c r="V504" s="51" t="s">
        <v>241</v>
      </c>
      <c r="W504" s="125" t="str">
        <f>IFERROR(VLOOKUP(V504,TD!$N$33:$O$45,2,0)," ")</f>
        <v>Servicio de Implementación Sistemas de Gestión</v>
      </c>
      <c r="X504" s="127" t="str">
        <f>CONCATENATE(V504,"_",W504)</f>
        <v>023_Servicio de Implementación Sistemas de Gestión</v>
      </c>
      <c r="Y504" s="127" t="str">
        <f>CONCATENATE(U504," ",X504)</f>
        <v>13-Servicios para la planeación y sistemas de gestión y comunicación estratégica 023_Servicio de Implementación Sistemas de Gestión</v>
      </c>
      <c r="Z504" s="125" t="str">
        <f>CONCATENATE(P504,Q504,R504,S504,V504)</f>
        <v>O23011745992024020713023</v>
      </c>
      <c r="AA504" s="125" t="str">
        <f>IFERROR(VLOOKUP(Y504,TD!$K$46:$L$64,2,0)," ")</f>
        <v>PM/0131/0113/45990230207</v>
      </c>
      <c r="AB504" s="53" t="s">
        <v>138</v>
      </c>
      <c r="AC504" s="126" t="s">
        <v>204</v>
      </c>
    </row>
    <row r="505" spans="2:29" s="28" customFormat="1" ht="74.25" customHeight="1" x14ac:dyDescent="0.35">
      <c r="B505" s="77">
        <v>20250059</v>
      </c>
      <c r="C505" s="50" t="s">
        <v>208</v>
      </c>
      <c r="D505" s="123" t="s">
        <v>36</v>
      </c>
      <c r="E505" s="51" t="s">
        <v>379</v>
      </c>
      <c r="F505" s="123" t="s">
        <v>387</v>
      </c>
      <c r="G505" s="123" t="s">
        <v>155</v>
      </c>
      <c r="H505" s="97">
        <v>80111600</v>
      </c>
      <c r="I505" s="124">
        <v>2</v>
      </c>
      <c r="J505" s="124">
        <v>11</v>
      </c>
      <c r="K505" s="52">
        <v>0</v>
      </c>
      <c r="L505" s="53">
        <v>104500000</v>
      </c>
      <c r="M505" s="123" t="s">
        <v>484</v>
      </c>
      <c r="N505" s="53" t="s">
        <v>113</v>
      </c>
      <c r="O505" s="51" t="s">
        <v>211</v>
      </c>
      <c r="P505" s="125" t="str">
        <f>IFERROR(VLOOKUP(C505,TD!$B$32:$F$36,2,0)," ")</f>
        <v>O230117</v>
      </c>
      <c r="Q505" s="125" t="str">
        <f>IFERROR(VLOOKUP(C505,TD!$B$32:$F$36,3,0)," ")</f>
        <v>4599</v>
      </c>
      <c r="R505" s="125">
        <f>IFERROR(VLOOKUP(C505,TD!$B$32:$F$36,4,0)," ")</f>
        <v>20240207</v>
      </c>
      <c r="S505" s="51" t="s">
        <v>193</v>
      </c>
      <c r="T505" s="125" t="str">
        <f>IFERROR(VLOOKUP(S505,TD!$J$33:$K$43,2,0)," ")</f>
        <v>Servicios para la planeación y sistemas de gestión y comunicación estratégica</v>
      </c>
      <c r="U505" s="127" t="str">
        <f>CONCATENATE(S505,"-",T505)</f>
        <v>13-Servicios para la planeación y sistemas de gestión y comunicación estratégica</v>
      </c>
      <c r="V505" s="51" t="s">
        <v>241</v>
      </c>
      <c r="W505" s="125" t="str">
        <f>IFERROR(VLOOKUP(V505,TD!$N$33:$O$45,2,0)," ")</f>
        <v>Servicio de Implementación Sistemas de Gestión</v>
      </c>
      <c r="X505" s="127" t="str">
        <f>CONCATENATE(V505,"_",W505)</f>
        <v>023_Servicio de Implementación Sistemas de Gestión</v>
      </c>
      <c r="Y505" s="127" t="str">
        <f>CONCATENATE(U505," ",X505)</f>
        <v>13-Servicios para la planeación y sistemas de gestión y comunicación estratégica 023_Servicio de Implementación Sistemas de Gestión</v>
      </c>
      <c r="Z505" s="125" t="str">
        <f>CONCATENATE(P505,Q505,R505,S505,V505)</f>
        <v>O23011745992024020713023</v>
      </c>
      <c r="AA505" s="125" t="str">
        <f>IFERROR(VLOOKUP(Y505,TD!$K$46:$L$64,2,0)," ")</f>
        <v>PM/0131/0113/45990230207</v>
      </c>
      <c r="AB505" s="53" t="s">
        <v>138</v>
      </c>
      <c r="AC505" s="126" t="s">
        <v>204</v>
      </c>
    </row>
    <row r="506" spans="2:29" s="28" customFormat="1" ht="74.25" customHeight="1" x14ac:dyDescent="0.35">
      <c r="B506" s="77">
        <v>20250060</v>
      </c>
      <c r="C506" s="50" t="s">
        <v>208</v>
      </c>
      <c r="D506" s="123" t="s">
        <v>36</v>
      </c>
      <c r="E506" s="51" t="s">
        <v>379</v>
      </c>
      <c r="F506" s="123" t="s">
        <v>498</v>
      </c>
      <c r="G506" s="123" t="s">
        <v>155</v>
      </c>
      <c r="H506" s="97">
        <v>80111600</v>
      </c>
      <c r="I506" s="124">
        <v>2</v>
      </c>
      <c r="J506" s="124">
        <v>8</v>
      </c>
      <c r="K506" s="52">
        <v>0</v>
      </c>
      <c r="L506" s="53">
        <v>53600000</v>
      </c>
      <c r="M506" s="123" t="s">
        <v>484</v>
      </c>
      <c r="N506" s="53" t="s">
        <v>113</v>
      </c>
      <c r="O506" s="51" t="s">
        <v>212</v>
      </c>
      <c r="P506" s="125" t="str">
        <f>IFERROR(VLOOKUP(C506,TD!$B$32:$F$36,2,0)," ")</f>
        <v>O230117</v>
      </c>
      <c r="Q506" s="125" t="str">
        <f>IFERROR(VLOOKUP(C506,TD!$B$32:$F$36,3,0)," ")</f>
        <v>4599</v>
      </c>
      <c r="R506" s="125">
        <f>IFERROR(VLOOKUP(C506,TD!$B$32:$F$36,4,0)," ")</f>
        <v>20240207</v>
      </c>
      <c r="S506" s="51" t="s">
        <v>193</v>
      </c>
      <c r="T506" s="125" t="str">
        <f>IFERROR(VLOOKUP(S506,TD!$J$33:$K$43,2,0)," ")</f>
        <v>Servicios para la planeación y sistemas de gestión y comunicación estratégica</v>
      </c>
      <c r="U506" s="127" t="str">
        <f>CONCATENATE(S506,"-",T506)</f>
        <v>13-Servicios para la planeación y sistemas de gestión y comunicación estratégica</v>
      </c>
      <c r="V506" s="51" t="s">
        <v>241</v>
      </c>
      <c r="W506" s="125" t="str">
        <f>IFERROR(VLOOKUP(V506,TD!$N$33:$O$45,2,0)," ")</f>
        <v>Servicio de Implementación Sistemas de Gestión</v>
      </c>
      <c r="X506" s="127" t="str">
        <f>CONCATENATE(V506,"_",W506)</f>
        <v>023_Servicio de Implementación Sistemas de Gestión</v>
      </c>
      <c r="Y506" s="127" t="str">
        <f>CONCATENATE(U506," ",X506)</f>
        <v>13-Servicios para la planeación y sistemas de gestión y comunicación estratégica 023_Servicio de Implementación Sistemas de Gestión</v>
      </c>
      <c r="Z506" s="125" t="str">
        <f>CONCATENATE(P506,Q506,R506,S506,V506)</f>
        <v>O23011745992024020713023</v>
      </c>
      <c r="AA506" s="125" t="str">
        <f>IFERROR(VLOOKUP(Y506,TD!$K$46:$L$64,2,0)," ")</f>
        <v>PM/0131/0113/45990230207</v>
      </c>
      <c r="AB506" s="53" t="s">
        <v>138</v>
      </c>
      <c r="AC506" s="126" t="s">
        <v>204</v>
      </c>
    </row>
    <row r="507" spans="2:29" s="28" customFormat="1" ht="74.25" customHeight="1" x14ac:dyDescent="0.35">
      <c r="B507" s="77">
        <v>20250061</v>
      </c>
      <c r="C507" s="50" t="s">
        <v>208</v>
      </c>
      <c r="D507" s="123" t="s">
        <v>36</v>
      </c>
      <c r="E507" s="51" t="s">
        <v>379</v>
      </c>
      <c r="F507" s="123" t="s">
        <v>499</v>
      </c>
      <c r="G507" s="123" t="s">
        <v>155</v>
      </c>
      <c r="H507" s="97">
        <v>80111600</v>
      </c>
      <c r="I507" s="124">
        <v>2</v>
      </c>
      <c r="J507" s="124">
        <v>7</v>
      </c>
      <c r="K507" s="52">
        <v>0</v>
      </c>
      <c r="L507" s="53">
        <v>45500000</v>
      </c>
      <c r="M507" s="123" t="s">
        <v>484</v>
      </c>
      <c r="N507" s="53" t="s">
        <v>113</v>
      </c>
      <c r="O507" s="51" t="s">
        <v>212</v>
      </c>
      <c r="P507" s="125" t="str">
        <f>IFERROR(VLOOKUP(C507,TD!$B$32:$F$36,2,0)," ")</f>
        <v>O230117</v>
      </c>
      <c r="Q507" s="125" t="str">
        <f>IFERROR(VLOOKUP(C507,TD!$B$32:$F$36,3,0)," ")</f>
        <v>4599</v>
      </c>
      <c r="R507" s="125">
        <f>IFERROR(VLOOKUP(C507,TD!$B$32:$F$36,4,0)," ")</f>
        <v>20240207</v>
      </c>
      <c r="S507" s="51" t="s">
        <v>193</v>
      </c>
      <c r="T507" s="125" t="str">
        <f>IFERROR(VLOOKUP(S507,TD!$J$33:$K$43,2,0)," ")</f>
        <v>Servicios para la planeación y sistemas de gestión y comunicación estratégica</v>
      </c>
      <c r="U507" s="127" t="str">
        <f>CONCATENATE(S507,"-",T507)</f>
        <v>13-Servicios para la planeación y sistemas de gestión y comunicación estratégica</v>
      </c>
      <c r="V507" s="51" t="s">
        <v>241</v>
      </c>
      <c r="W507" s="125" t="str">
        <f>IFERROR(VLOOKUP(V507,TD!$N$33:$O$45,2,0)," ")</f>
        <v>Servicio de Implementación Sistemas de Gestión</v>
      </c>
      <c r="X507" s="127" t="str">
        <f>CONCATENATE(V507,"_",W507)</f>
        <v>023_Servicio de Implementación Sistemas de Gestión</v>
      </c>
      <c r="Y507" s="127" t="str">
        <f>CONCATENATE(U507," ",X507)</f>
        <v>13-Servicios para la planeación y sistemas de gestión y comunicación estratégica 023_Servicio de Implementación Sistemas de Gestión</v>
      </c>
      <c r="Z507" s="125" t="str">
        <f>CONCATENATE(P507,Q507,R507,S507,V507)</f>
        <v>O23011745992024020713023</v>
      </c>
      <c r="AA507" s="125" t="str">
        <f>IFERROR(VLOOKUP(Y507,TD!$K$46:$L$64,2,0)," ")</f>
        <v>PM/0131/0113/45990230207</v>
      </c>
      <c r="AB507" s="53" t="s">
        <v>138</v>
      </c>
      <c r="AC507" s="126" t="s">
        <v>204</v>
      </c>
    </row>
    <row r="508" spans="2:29" s="28" customFormat="1" ht="74.25" customHeight="1" x14ac:dyDescent="0.35">
      <c r="B508" s="77">
        <v>20250062</v>
      </c>
      <c r="C508" s="50" t="s">
        <v>208</v>
      </c>
      <c r="D508" s="123" t="s">
        <v>36</v>
      </c>
      <c r="E508" s="51" t="s">
        <v>379</v>
      </c>
      <c r="F508" s="123" t="s">
        <v>500</v>
      </c>
      <c r="G508" s="123" t="s">
        <v>155</v>
      </c>
      <c r="H508" s="97">
        <v>80111600</v>
      </c>
      <c r="I508" s="124">
        <v>2</v>
      </c>
      <c r="J508" s="124">
        <v>11</v>
      </c>
      <c r="K508" s="52">
        <v>0</v>
      </c>
      <c r="L508" s="53">
        <v>93500000</v>
      </c>
      <c r="M508" s="123" t="s">
        <v>484</v>
      </c>
      <c r="N508" s="53" t="s">
        <v>113</v>
      </c>
      <c r="O508" s="51" t="s">
        <v>211</v>
      </c>
      <c r="P508" s="125" t="str">
        <f>IFERROR(VLOOKUP(C508,TD!$B$32:$F$36,2,0)," ")</f>
        <v>O230117</v>
      </c>
      <c r="Q508" s="125" t="str">
        <f>IFERROR(VLOOKUP(C508,TD!$B$32:$F$36,3,0)," ")</f>
        <v>4599</v>
      </c>
      <c r="R508" s="125">
        <f>IFERROR(VLOOKUP(C508,TD!$B$32:$F$36,4,0)," ")</f>
        <v>20240207</v>
      </c>
      <c r="S508" s="51" t="s">
        <v>193</v>
      </c>
      <c r="T508" s="125" t="str">
        <f>IFERROR(VLOOKUP(S508,TD!$J$33:$K$43,2,0)," ")</f>
        <v>Servicios para la planeación y sistemas de gestión y comunicación estratégica</v>
      </c>
      <c r="U508" s="127" t="str">
        <f>CONCATENATE(S508,"-",T508)</f>
        <v>13-Servicios para la planeación y sistemas de gestión y comunicación estratégica</v>
      </c>
      <c r="V508" s="51" t="s">
        <v>241</v>
      </c>
      <c r="W508" s="125" t="str">
        <f>IFERROR(VLOOKUP(V508,TD!$N$33:$O$45,2,0)," ")</f>
        <v>Servicio de Implementación Sistemas de Gestión</v>
      </c>
      <c r="X508" s="127" t="str">
        <f>CONCATENATE(V508,"_",W508)</f>
        <v>023_Servicio de Implementación Sistemas de Gestión</v>
      </c>
      <c r="Y508" s="127" t="str">
        <f>CONCATENATE(U508," ",X508)</f>
        <v>13-Servicios para la planeación y sistemas de gestión y comunicación estratégica 023_Servicio de Implementación Sistemas de Gestión</v>
      </c>
      <c r="Z508" s="125" t="str">
        <f>CONCATENATE(P508,Q508,R508,S508,V508)</f>
        <v>O23011745992024020713023</v>
      </c>
      <c r="AA508" s="125" t="str">
        <f>IFERROR(VLOOKUP(Y508,TD!$K$46:$L$64,2,0)," ")</f>
        <v>PM/0131/0113/45990230207</v>
      </c>
      <c r="AB508" s="53" t="s">
        <v>138</v>
      </c>
      <c r="AC508" s="126" t="s">
        <v>204</v>
      </c>
    </row>
    <row r="509" spans="2:29" s="28" customFormat="1" ht="74.25" customHeight="1" x14ac:dyDescent="0.35">
      <c r="B509" s="77">
        <v>20250063</v>
      </c>
      <c r="C509" s="50" t="s">
        <v>208</v>
      </c>
      <c r="D509" s="123" t="s">
        <v>36</v>
      </c>
      <c r="E509" s="51" t="s">
        <v>379</v>
      </c>
      <c r="F509" s="123" t="s">
        <v>461</v>
      </c>
      <c r="G509" s="123" t="s">
        <v>156</v>
      </c>
      <c r="H509" s="97">
        <v>80111600</v>
      </c>
      <c r="I509" s="124">
        <v>2</v>
      </c>
      <c r="J509" s="124">
        <v>11</v>
      </c>
      <c r="K509" s="52">
        <v>0</v>
      </c>
      <c r="L509" s="53">
        <v>41679000</v>
      </c>
      <c r="M509" s="123" t="s">
        <v>484</v>
      </c>
      <c r="N509" s="53" t="s">
        <v>113</v>
      </c>
      <c r="O509" s="51" t="s">
        <v>211</v>
      </c>
      <c r="P509" s="125" t="str">
        <f>IFERROR(VLOOKUP(C509,TD!$B$32:$F$36,2,0)," ")</f>
        <v>O230117</v>
      </c>
      <c r="Q509" s="125" t="str">
        <f>IFERROR(VLOOKUP(C509,TD!$B$32:$F$36,3,0)," ")</f>
        <v>4599</v>
      </c>
      <c r="R509" s="125">
        <f>IFERROR(VLOOKUP(C509,TD!$B$32:$F$36,4,0)," ")</f>
        <v>20240207</v>
      </c>
      <c r="S509" s="51" t="s">
        <v>193</v>
      </c>
      <c r="T509" s="125" t="str">
        <f>IFERROR(VLOOKUP(S509,TD!$J$33:$K$43,2,0)," ")</f>
        <v>Servicios para la planeación y sistemas de gestión y comunicación estratégica</v>
      </c>
      <c r="U509" s="127" t="str">
        <f>CONCATENATE(S509,"-",T509)</f>
        <v>13-Servicios para la planeación y sistemas de gestión y comunicación estratégica</v>
      </c>
      <c r="V509" s="51" t="s">
        <v>241</v>
      </c>
      <c r="W509" s="125" t="str">
        <f>IFERROR(VLOOKUP(V509,TD!$N$33:$O$45,2,0)," ")</f>
        <v>Servicio de Implementación Sistemas de Gestión</v>
      </c>
      <c r="X509" s="127" t="str">
        <f>CONCATENATE(V509,"_",W509)</f>
        <v>023_Servicio de Implementación Sistemas de Gestión</v>
      </c>
      <c r="Y509" s="127" t="str">
        <f>CONCATENATE(U509," ",X509)</f>
        <v>13-Servicios para la planeación y sistemas de gestión y comunicación estratégica 023_Servicio de Implementación Sistemas de Gestión</v>
      </c>
      <c r="Z509" s="125" t="str">
        <f>CONCATENATE(P509,Q509,R509,S509,V509)</f>
        <v>O23011745992024020713023</v>
      </c>
      <c r="AA509" s="125" t="str">
        <f>IFERROR(VLOOKUP(Y509,TD!$K$46:$L$64,2,0)," ")</f>
        <v>PM/0131/0113/45990230207</v>
      </c>
      <c r="AB509" s="53" t="s">
        <v>138</v>
      </c>
      <c r="AC509" s="126" t="s">
        <v>204</v>
      </c>
    </row>
    <row r="510" spans="2:29" s="28" customFormat="1" ht="74.25" customHeight="1" x14ac:dyDescent="0.35">
      <c r="B510" s="77">
        <v>20250064</v>
      </c>
      <c r="C510" s="50" t="s">
        <v>208</v>
      </c>
      <c r="D510" s="123" t="s">
        <v>36</v>
      </c>
      <c r="E510" s="51" t="s">
        <v>379</v>
      </c>
      <c r="F510" s="123" t="s">
        <v>501</v>
      </c>
      <c r="G510" s="123" t="s">
        <v>155</v>
      </c>
      <c r="H510" s="97">
        <v>80111600</v>
      </c>
      <c r="I510" s="124">
        <v>2</v>
      </c>
      <c r="J510" s="124">
        <v>7</v>
      </c>
      <c r="K510" s="52">
        <v>0</v>
      </c>
      <c r="L510" s="53">
        <v>45500000</v>
      </c>
      <c r="M510" s="123" t="s">
        <v>484</v>
      </c>
      <c r="N510" s="53" t="s">
        <v>113</v>
      </c>
      <c r="O510" s="51" t="s">
        <v>211</v>
      </c>
      <c r="P510" s="125" t="str">
        <f>IFERROR(VLOOKUP(C510,TD!$B$32:$F$36,2,0)," ")</f>
        <v>O230117</v>
      </c>
      <c r="Q510" s="125" t="str">
        <f>IFERROR(VLOOKUP(C510,TD!$B$32:$F$36,3,0)," ")</f>
        <v>4599</v>
      </c>
      <c r="R510" s="125">
        <f>IFERROR(VLOOKUP(C510,TD!$B$32:$F$36,4,0)," ")</f>
        <v>20240207</v>
      </c>
      <c r="S510" s="51" t="s">
        <v>193</v>
      </c>
      <c r="T510" s="125" t="str">
        <f>IFERROR(VLOOKUP(S510,TD!$J$33:$K$43,2,0)," ")</f>
        <v>Servicios para la planeación y sistemas de gestión y comunicación estratégica</v>
      </c>
      <c r="U510" s="127" t="str">
        <f>CONCATENATE(S510,"-",T510)</f>
        <v>13-Servicios para la planeación y sistemas de gestión y comunicación estratégica</v>
      </c>
      <c r="V510" s="51" t="s">
        <v>241</v>
      </c>
      <c r="W510" s="125" t="str">
        <f>IFERROR(VLOOKUP(V510,TD!$N$33:$O$45,2,0)," ")</f>
        <v>Servicio de Implementación Sistemas de Gestión</v>
      </c>
      <c r="X510" s="127" t="str">
        <f>CONCATENATE(V510,"_",W510)</f>
        <v>023_Servicio de Implementación Sistemas de Gestión</v>
      </c>
      <c r="Y510" s="127" t="str">
        <f>CONCATENATE(U510," ",X510)</f>
        <v>13-Servicios para la planeación y sistemas de gestión y comunicación estratégica 023_Servicio de Implementación Sistemas de Gestión</v>
      </c>
      <c r="Z510" s="125" t="str">
        <f>CONCATENATE(P510,Q510,R510,S510,V510)</f>
        <v>O23011745992024020713023</v>
      </c>
      <c r="AA510" s="125" t="str">
        <f>IFERROR(VLOOKUP(Y510,TD!$K$46:$L$64,2,0)," ")</f>
        <v>PM/0131/0113/45990230207</v>
      </c>
      <c r="AB510" s="53" t="s">
        <v>138</v>
      </c>
      <c r="AC510" s="126" t="s">
        <v>204</v>
      </c>
    </row>
    <row r="511" spans="2:29" s="28" customFormat="1" ht="74.25" customHeight="1" x14ac:dyDescent="0.35">
      <c r="B511" s="77">
        <v>20250065</v>
      </c>
      <c r="C511" s="50" t="s">
        <v>208</v>
      </c>
      <c r="D511" s="123" t="s">
        <v>36</v>
      </c>
      <c r="E511" s="51" t="s">
        <v>379</v>
      </c>
      <c r="F511" s="123" t="s">
        <v>502</v>
      </c>
      <c r="G511" s="123" t="s">
        <v>503</v>
      </c>
      <c r="H511" s="97">
        <v>80111601</v>
      </c>
      <c r="I511" s="124">
        <v>2</v>
      </c>
      <c r="J511" s="124">
        <v>6</v>
      </c>
      <c r="K511" s="52">
        <v>0</v>
      </c>
      <c r="L511" s="53">
        <v>42000000</v>
      </c>
      <c r="M511" s="123" t="s">
        <v>484</v>
      </c>
      <c r="N511" s="53" t="s">
        <v>113</v>
      </c>
      <c r="O511" s="51" t="s">
        <v>211</v>
      </c>
      <c r="P511" s="125" t="str">
        <f>IFERROR(VLOOKUP(C511,TD!$B$32:$F$36,2,0)," ")</f>
        <v>O230117</v>
      </c>
      <c r="Q511" s="125" t="str">
        <f>IFERROR(VLOOKUP(C511,TD!$B$32:$F$36,3,0)," ")</f>
        <v>4599</v>
      </c>
      <c r="R511" s="125">
        <f>IFERROR(VLOOKUP(C511,TD!$B$32:$F$36,4,0)," ")</f>
        <v>20240207</v>
      </c>
      <c r="S511" s="51" t="s">
        <v>193</v>
      </c>
      <c r="T511" s="125" t="str">
        <f>IFERROR(VLOOKUP(S511,TD!$J$33:$K$43,2,0)," ")</f>
        <v>Servicios para la planeación y sistemas de gestión y comunicación estratégica</v>
      </c>
      <c r="U511" s="127" t="str">
        <f>CONCATENATE(S511,"-",T511)</f>
        <v>13-Servicios para la planeación y sistemas de gestión y comunicación estratégica</v>
      </c>
      <c r="V511" s="51" t="s">
        <v>241</v>
      </c>
      <c r="W511" s="125" t="str">
        <f>IFERROR(VLOOKUP(V511,TD!$N$33:$O$45,2,0)," ")</f>
        <v>Servicio de Implementación Sistemas de Gestión</v>
      </c>
      <c r="X511" s="127" t="str">
        <f>CONCATENATE(V511,"_",W511)</f>
        <v>023_Servicio de Implementación Sistemas de Gestión</v>
      </c>
      <c r="Y511" s="127" t="str">
        <f>CONCATENATE(U511," ",X511)</f>
        <v>13-Servicios para la planeación y sistemas de gestión y comunicación estratégica 023_Servicio de Implementación Sistemas de Gestión</v>
      </c>
      <c r="Z511" s="125" t="str">
        <f>CONCATENATE(P511,Q511,R511,S511,V511)</f>
        <v>O23011745992024020713023</v>
      </c>
      <c r="AA511" s="125" t="str">
        <f>IFERROR(VLOOKUP(Y511,TD!$K$46:$L$64,2,0)," ")</f>
        <v>PM/0131/0113/45990230207</v>
      </c>
      <c r="AB511" s="53" t="s">
        <v>138</v>
      </c>
      <c r="AC511" s="126" t="s">
        <v>204</v>
      </c>
    </row>
    <row r="512" spans="2:29" s="28" customFormat="1" ht="74.25" customHeight="1" x14ac:dyDescent="0.35">
      <c r="B512" s="77">
        <v>20250068</v>
      </c>
      <c r="C512" s="50" t="s">
        <v>208</v>
      </c>
      <c r="D512" s="123" t="s">
        <v>45</v>
      </c>
      <c r="E512" s="51" t="s">
        <v>355</v>
      </c>
      <c r="F512" s="123" t="s">
        <v>505</v>
      </c>
      <c r="G512" s="123" t="s">
        <v>155</v>
      </c>
      <c r="H512" s="97">
        <v>80111600</v>
      </c>
      <c r="I512" s="124">
        <v>2</v>
      </c>
      <c r="J512" s="124">
        <v>11</v>
      </c>
      <c r="K512" s="52">
        <v>0</v>
      </c>
      <c r="L512" s="53">
        <v>91300000</v>
      </c>
      <c r="M512" s="123" t="s">
        <v>484</v>
      </c>
      <c r="N512" s="53" t="s">
        <v>113</v>
      </c>
      <c r="O512" s="51" t="s">
        <v>219</v>
      </c>
      <c r="P512" s="125" t="str">
        <f>IFERROR(VLOOKUP(C512,TD!$B$32:$F$36,2,0)," ")</f>
        <v>O230117</v>
      </c>
      <c r="Q512" s="125" t="str">
        <f>IFERROR(VLOOKUP(C512,TD!$B$32:$F$36,3,0)," ")</f>
        <v>4599</v>
      </c>
      <c r="R512" s="125">
        <f>IFERROR(VLOOKUP(C512,TD!$B$32:$F$36,4,0)," ")</f>
        <v>20240207</v>
      </c>
      <c r="S512" s="51" t="s">
        <v>185</v>
      </c>
      <c r="T512" s="125" t="str">
        <f>IFERROR(VLOOKUP(S512,TD!$J$33:$K$43,2,0)," ")</f>
        <v>Infraestructura física, mantenimiento y dotación (Sedes construidas, mantenidas reforzadas)</v>
      </c>
      <c r="U512" s="127" t="str">
        <f>CONCATENATE(S512,"-",T512)</f>
        <v>08-Infraestructura física, mantenimiento y dotación (Sedes construidas, mantenidas reforzadas)</v>
      </c>
      <c r="V512" s="51" t="s">
        <v>238</v>
      </c>
      <c r="W512" s="125" t="str">
        <f>IFERROR(VLOOKUP(V512,TD!$N$33:$O$45,2,0)," ")</f>
        <v>Sedes mantenidas</v>
      </c>
      <c r="X512" s="127" t="str">
        <f>CONCATENATE(V512,"_",W512)</f>
        <v>016_Sedes mantenidas</v>
      </c>
      <c r="Y512" s="127" t="str">
        <f>CONCATENATE(U512," ",X512)</f>
        <v>08-Infraestructura física, mantenimiento y dotación (Sedes construidas, mantenidas reforzadas) 016_Sedes mantenidas</v>
      </c>
      <c r="Z512" s="125" t="str">
        <f>CONCATENATE(P512,Q512,R512,S512,V512)</f>
        <v>O23011745992024020708016</v>
      </c>
      <c r="AA512" s="125" t="str">
        <f>IFERROR(VLOOKUP(Y512,TD!$K$46:$L$64,2,0)," ")</f>
        <v>PM/0131/0108/45990160207</v>
      </c>
      <c r="AB512" s="53" t="s">
        <v>138</v>
      </c>
      <c r="AC512" s="126" t="s">
        <v>204</v>
      </c>
    </row>
    <row r="513" spans="2:29" s="28" customFormat="1" ht="74.25" customHeight="1" x14ac:dyDescent="0.35">
      <c r="B513" s="77">
        <v>20250069</v>
      </c>
      <c r="C513" s="50" t="s">
        <v>208</v>
      </c>
      <c r="D513" s="123" t="s">
        <v>45</v>
      </c>
      <c r="E513" s="51" t="s">
        <v>355</v>
      </c>
      <c r="F513" s="123" t="s">
        <v>356</v>
      </c>
      <c r="G513" s="123" t="s">
        <v>155</v>
      </c>
      <c r="H513" s="97">
        <v>80111600</v>
      </c>
      <c r="I513" s="124">
        <v>2</v>
      </c>
      <c r="J513" s="124">
        <v>11</v>
      </c>
      <c r="K513" s="52">
        <v>0</v>
      </c>
      <c r="L513" s="53">
        <v>82500000</v>
      </c>
      <c r="M513" s="123" t="s">
        <v>484</v>
      </c>
      <c r="N513" s="53" t="s">
        <v>113</v>
      </c>
      <c r="O513" s="51" t="s">
        <v>219</v>
      </c>
      <c r="P513" s="125" t="str">
        <f>IFERROR(VLOOKUP(C513,TD!$B$32:$F$36,2,0)," ")</f>
        <v>O230117</v>
      </c>
      <c r="Q513" s="125" t="str">
        <f>IFERROR(VLOOKUP(C513,TD!$B$32:$F$36,3,0)," ")</f>
        <v>4599</v>
      </c>
      <c r="R513" s="125">
        <f>IFERROR(VLOOKUP(C513,TD!$B$32:$F$36,4,0)," ")</f>
        <v>20240207</v>
      </c>
      <c r="S513" s="51" t="s">
        <v>185</v>
      </c>
      <c r="T513" s="125" t="str">
        <f>IFERROR(VLOOKUP(S513,TD!$J$33:$K$43,2,0)," ")</f>
        <v>Infraestructura física, mantenimiento y dotación (Sedes construidas, mantenidas reforzadas)</v>
      </c>
      <c r="U513" s="127" t="str">
        <f>CONCATENATE(S513,"-",T513)</f>
        <v>08-Infraestructura física, mantenimiento y dotación (Sedes construidas, mantenidas reforzadas)</v>
      </c>
      <c r="V513" s="51" t="s">
        <v>238</v>
      </c>
      <c r="W513" s="125" t="str">
        <f>IFERROR(VLOOKUP(V513,TD!$N$33:$O$45,2,0)," ")</f>
        <v>Sedes mantenidas</v>
      </c>
      <c r="X513" s="127" t="str">
        <f>CONCATENATE(V513,"_",W513)</f>
        <v>016_Sedes mantenidas</v>
      </c>
      <c r="Y513" s="127" t="str">
        <f>CONCATENATE(U513," ",X513)</f>
        <v>08-Infraestructura física, mantenimiento y dotación (Sedes construidas, mantenidas reforzadas) 016_Sedes mantenidas</v>
      </c>
      <c r="Z513" s="125" t="str">
        <f>CONCATENATE(P513,Q513,R513,S513,V513)</f>
        <v>O23011745992024020708016</v>
      </c>
      <c r="AA513" s="125" t="str">
        <f>IFERROR(VLOOKUP(Y513,TD!$K$46:$L$64,2,0)," ")</f>
        <v>PM/0131/0108/45990160207</v>
      </c>
      <c r="AB513" s="53" t="s">
        <v>138</v>
      </c>
      <c r="AC513" s="126" t="s">
        <v>204</v>
      </c>
    </row>
    <row r="514" spans="2:29" s="28" customFormat="1" ht="74.25" customHeight="1" x14ac:dyDescent="0.35">
      <c r="B514" s="77">
        <v>20250070</v>
      </c>
      <c r="C514" s="50" t="s">
        <v>208</v>
      </c>
      <c r="D514" s="123" t="s">
        <v>45</v>
      </c>
      <c r="E514" s="51" t="s">
        <v>355</v>
      </c>
      <c r="F514" s="123" t="s">
        <v>506</v>
      </c>
      <c r="G514" s="123" t="s">
        <v>155</v>
      </c>
      <c r="H514" s="97">
        <v>80111600</v>
      </c>
      <c r="I514" s="124">
        <v>2</v>
      </c>
      <c r="J514" s="124">
        <v>11</v>
      </c>
      <c r="K514" s="52">
        <v>0</v>
      </c>
      <c r="L514" s="53">
        <v>107800000</v>
      </c>
      <c r="M514" s="123" t="s">
        <v>484</v>
      </c>
      <c r="N514" s="53" t="s">
        <v>113</v>
      </c>
      <c r="O514" s="51" t="s">
        <v>219</v>
      </c>
      <c r="P514" s="125" t="str">
        <f>IFERROR(VLOOKUP(C514,TD!$B$32:$F$36,2,0)," ")</f>
        <v>O230117</v>
      </c>
      <c r="Q514" s="125" t="str">
        <f>IFERROR(VLOOKUP(C514,TD!$B$32:$F$36,3,0)," ")</f>
        <v>4599</v>
      </c>
      <c r="R514" s="125">
        <f>IFERROR(VLOOKUP(C514,TD!$B$32:$F$36,4,0)," ")</f>
        <v>20240207</v>
      </c>
      <c r="S514" s="51" t="s">
        <v>185</v>
      </c>
      <c r="T514" s="125" t="str">
        <f>IFERROR(VLOOKUP(S514,TD!$J$33:$K$43,2,0)," ")</f>
        <v>Infraestructura física, mantenimiento y dotación (Sedes construidas, mantenidas reforzadas)</v>
      </c>
      <c r="U514" s="127" t="str">
        <f>CONCATENATE(S514,"-",T514)</f>
        <v>08-Infraestructura física, mantenimiento y dotación (Sedes construidas, mantenidas reforzadas)</v>
      </c>
      <c r="V514" s="51" t="s">
        <v>238</v>
      </c>
      <c r="W514" s="125" t="str">
        <f>IFERROR(VLOOKUP(V514,TD!$N$33:$O$45,2,0)," ")</f>
        <v>Sedes mantenidas</v>
      </c>
      <c r="X514" s="127" t="str">
        <f>CONCATENATE(V514,"_",W514)</f>
        <v>016_Sedes mantenidas</v>
      </c>
      <c r="Y514" s="127" t="str">
        <f>CONCATENATE(U514," ",X514)</f>
        <v>08-Infraestructura física, mantenimiento y dotación (Sedes construidas, mantenidas reforzadas) 016_Sedes mantenidas</v>
      </c>
      <c r="Z514" s="125" t="str">
        <f>CONCATENATE(P514,Q514,R514,S514,V514)</f>
        <v>O23011745992024020708016</v>
      </c>
      <c r="AA514" s="125" t="str">
        <f>IFERROR(VLOOKUP(Y514,TD!$K$46:$L$64,2,0)," ")</f>
        <v>PM/0131/0108/45990160207</v>
      </c>
      <c r="AB514" s="53" t="s">
        <v>138</v>
      </c>
      <c r="AC514" s="126" t="s">
        <v>204</v>
      </c>
    </row>
    <row r="515" spans="2:29" s="28" customFormat="1" ht="74.25" customHeight="1" x14ac:dyDescent="0.35">
      <c r="B515" s="77">
        <v>20250072</v>
      </c>
      <c r="C515" s="50" t="s">
        <v>208</v>
      </c>
      <c r="D515" s="123" t="s">
        <v>45</v>
      </c>
      <c r="E515" s="51" t="s">
        <v>355</v>
      </c>
      <c r="F515" s="123" t="s">
        <v>358</v>
      </c>
      <c r="G515" s="123" t="s">
        <v>155</v>
      </c>
      <c r="H515" s="97">
        <v>80111600</v>
      </c>
      <c r="I515" s="124">
        <v>2</v>
      </c>
      <c r="J515" s="124">
        <v>11</v>
      </c>
      <c r="K515" s="52">
        <v>0</v>
      </c>
      <c r="L515" s="53">
        <v>57200000</v>
      </c>
      <c r="M515" s="123" t="s">
        <v>484</v>
      </c>
      <c r="N515" s="53" t="s">
        <v>113</v>
      </c>
      <c r="O515" s="51" t="s">
        <v>219</v>
      </c>
      <c r="P515" s="125" t="str">
        <f>IFERROR(VLOOKUP(C515,TD!$B$32:$F$36,2,0)," ")</f>
        <v>O230117</v>
      </c>
      <c r="Q515" s="125" t="str">
        <f>IFERROR(VLOOKUP(C515,TD!$B$32:$F$36,3,0)," ")</f>
        <v>4599</v>
      </c>
      <c r="R515" s="125">
        <f>IFERROR(VLOOKUP(C515,TD!$B$32:$F$36,4,0)," ")</f>
        <v>20240207</v>
      </c>
      <c r="S515" s="51" t="s">
        <v>185</v>
      </c>
      <c r="T515" s="125" t="str">
        <f>IFERROR(VLOOKUP(S515,TD!$J$33:$K$43,2,0)," ")</f>
        <v>Infraestructura física, mantenimiento y dotación (Sedes construidas, mantenidas reforzadas)</v>
      </c>
      <c r="U515" s="127" t="str">
        <f>CONCATENATE(S515,"-",T515)</f>
        <v>08-Infraestructura física, mantenimiento y dotación (Sedes construidas, mantenidas reforzadas)</v>
      </c>
      <c r="V515" s="51" t="s">
        <v>238</v>
      </c>
      <c r="W515" s="125" t="str">
        <f>IFERROR(VLOOKUP(V515,TD!$N$33:$O$45,2,0)," ")</f>
        <v>Sedes mantenidas</v>
      </c>
      <c r="X515" s="127" t="str">
        <f>CONCATENATE(V515,"_",W515)</f>
        <v>016_Sedes mantenidas</v>
      </c>
      <c r="Y515" s="127" t="str">
        <f>CONCATENATE(U515," ",X515)</f>
        <v>08-Infraestructura física, mantenimiento y dotación (Sedes construidas, mantenidas reforzadas) 016_Sedes mantenidas</v>
      </c>
      <c r="Z515" s="125" t="str">
        <f>CONCATENATE(P515,Q515,R515,S515,V515)</f>
        <v>O23011745992024020708016</v>
      </c>
      <c r="AA515" s="125" t="str">
        <f>IFERROR(VLOOKUP(Y515,TD!$K$46:$L$64,2,0)," ")</f>
        <v>PM/0131/0108/45990160207</v>
      </c>
      <c r="AB515" s="53" t="s">
        <v>138</v>
      </c>
      <c r="AC515" s="126" t="s">
        <v>204</v>
      </c>
    </row>
    <row r="516" spans="2:29" s="28" customFormat="1" ht="74.25" customHeight="1" x14ac:dyDescent="0.35">
      <c r="B516" s="77">
        <v>20250073</v>
      </c>
      <c r="C516" s="50" t="s">
        <v>208</v>
      </c>
      <c r="D516" s="123" t="s">
        <v>45</v>
      </c>
      <c r="E516" s="51" t="s">
        <v>355</v>
      </c>
      <c r="F516" s="123" t="s">
        <v>359</v>
      </c>
      <c r="G516" s="123" t="s">
        <v>156</v>
      </c>
      <c r="H516" s="97">
        <v>80111600</v>
      </c>
      <c r="I516" s="124">
        <v>2</v>
      </c>
      <c r="J516" s="124">
        <v>11</v>
      </c>
      <c r="K516" s="52">
        <v>0</v>
      </c>
      <c r="L516" s="53">
        <v>48400000</v>
      </c>
      <c r="M516" s="123" t="s">
        <v>484</v>
      </c>
      <c r="N516" s="53" t="s">
        <v>113</v>
      </c>
      <c r="O516" s="51" t="s">
        <v>219</v>
      </c>
      <c r="P516" s="125" t="str">
        <f>IFERROR(VLOOKUP(C516,TD!$B$32:$F$36,2,0)," ")</f>
        <v>O230117</v>
      </c>
      <c r="Q516" s="125" t="str">
        <f>IFERROR(VLOOKUP(C516,TD!$B$32:$F$36,3,0)," ")</f>
        <v>4599</v>
      </c>
      <c r="R516" s="125">
        <f>IFERROR(VLOOKUP(C516,TD!$B$32:$F$36,4,0)," ")</f>
        <v>20240207</v>
      </c>
      <c r="S516" s="51" t="s">
        <v>185</v>
      </c>
      <c r="T516" s="125" t="str">
        <f>IFERROR(VLOOKUP(S516,TD!$J$33:$K$43,2,0)," ")</f>
        <v>Infraestructura física, mantenimiento y dotación (Sedes construidas, mantenidas reforzadas)</v>
      </c>
      <c r="U516" s="127" t="str">
        <f>CONCATENATE(S516,"-",T516)</f>
        <v>08-Infraestructura física, mantenimiento y dotación (Sedes construidas, mantenidas reforzadas)</v>
      </c>
      <c r="V516" s="51" t="s">
        <v>238</v>
      </c>
      <c r="W516" s="125" t="str">
        <f>IFERROR(VLOOKUP(V516,TD!$N$33:$O$45,2,0)," ")</f>
        <v>Sedes mantenidas</v>
      </c>
      <c r="X516" s="127" t="str">
        <f>CONCATENATE(V516,"_",W516)</f>
        <v>016_Sedes mantenidas</v>
      </c>
      <c r="Y516" s="127" t="str">
        <f>CONCATENATE(U516," ",X516)</f>
        <v>08-Infraestructura física, mantenimiento y dotación (Sedes construidas, mantenidas reforzadas) 016_Sedes mantenidas</v>
      </c>
      <c r="Z516" s="125" t="str">
        <f>CONCATENATE(P516,Q516,R516,S516,V516)</f>
        <v>O23011745992024020708016</v>
      </c>
      <c r="AA516" s="125" t="str">
        <f>IFERROR(VLOOKUP(Y516,TD!$K$46:$L$64,2,0)," ")</f>
        <v>PM/0131/0108/45990160207</v>
      </c>
      <c r="AB516" s="53" t="s">
        <v>138</v>
      </c>
      <c r="AC516" s="126" t="s">
        <v>204</v>
      </c>
    </row>
    <row r="517" spans="2:29" s="28" customFormat="1" ht="74.25" customHeight="1" x14ac:dyDescent="0.35">
      <c r="B517" s="77">
        <v>20250076</v>
      </c>
      <c r="C517" s="50" t="s">
        <v>208</v>
      </c>
      <c r="D517" s="123" t="s">
        <v>161</v>
      </c>
      <c r="E517" s="51" t="s">
        <v>355</v>
      </c>
      <c r="F517" s="123" t="s">
        <v>360</v>
      </c>
      <c r="G517" s="123" t="s">
        <v>155</v>
      </c>
      <c r="H517" s="97">
        <v>80111600</v>
      </c>
      <c r="I517" s="124">
        <v>2</v>
      </c>
      <c r="J517" s="124">
        <v>11</v>
      </c>
      <c r="K517" s="52">
        <v>0</v>
      </c>
      <c r="L517" s="53">
        <v>115500000</v>
      </c>
      <c r="M517" s="123" t="s">
        <v>484</v>
      </c>
      <c r="N517" s="53" t="s">
        <v>113</v>
      </c>
      <c r="O517" s="51" t="s">
        <v>220</v>
      </c>
      <c r="P517" s="125" t="str">
        <f>IFERROR(VLOOKUP(C517,TD!$B$32:$F$36,2,0)," ")</f>
        <v>O230117</v>
      </c>
      <c r="Q517" s="125" t="str">
        <f>IFERROR(VLOOKUP(C517,TD!$B$32:$F$36,3,0)," ")</f>
        <v>4599</v>
      </c>
      <c r="R517" s="125">
        <f>IFERROR(VLOOKUP(C517,TD!$B$32:$F$36,4,0)," ")</f>
        <v>20240207</v>
      </c>
      <c r="S517" s="51" t="s">
        <v>193</v>
      </c>
      <c r="T517" s="125" t="str">
        <f>IFERROR(VLOOKUP(S517,TD!$J$33:$K$43,2,0)," ")</f>
        <v>Servicios para la planeación y sistemas de gestión y comunicación estratégica</v>
      </c>
      <c r="U517" s="127" t="str">
        <f>CONCATENATE(S517,"-",T517)</f>
        <v>13-Servicios para la planeación y sistemas de gestión y comunicación estratégica</v>
      </c>
      <c r="V517" s="51" t="s">
        <v>242</v>
      </c>
      <c r="W517" s="125" t="str">
        <f>IFERROR(VLOOKUP(V517,TD!$N$33:$O$45,2,0)," ")</f>
        <v>Documentos de planeación</v>
      </c>
      <c r="X517" s="127" t="str">
        <f>CONCATENATE(V517,"_",W517)</f>
        <v>019_Documentos de planeación</v>
      </c>
      <c r="Y517" s="127" t="str">
        <f>CONCATENATE(U517," ",X517)</f>
        <v>13-Servicios para la planeación y sistemas de gestión y comunicación estratégica 019_Documentos de planeación</v>
      </c>
      <c r="Z517" s="125" t="str">
        <f>CONCATENATE(P517,Q517,R517,S517,V517)</f>
        <v>O23011745992024020713019</v>
      </c>
      <c r="AA517" s="125" t="str">
        <f>IFERROR(VLOOKUP(Y517,TD!$K$46:$L$64,2,0)," ")</f>
        <v>PM/0131/0113/45990190207</v>
      </c>
      <c r="AB517" s="53" t="s">
        <v>138</v>
      </c>
      <c r="AC517" s="126" t="s">
        <v>204</v>
      </c>
    </row>
    <row r="518" spans="2:29" s="28" customFormat="1" ht="74.25" customHeight="1" x14ac:dyDescent="0.35">
      <c r="B518" s="77">
        <v>20250077</v>
      </c>
      <c r="C518" s="50" t="s">
        <v>208</v>
      </c>
      <c r="D518" s="123" t="s">
        <v>161</v>
      </c>
      <c r="E518" s="51" t="s">
        <v>355</v>
      </c>
      <c r="F518" s="123" t="s">
        <v>364</v>
      </c>
      <c r="G518" s="123" t="s">
        <v>155</v>
      </c>
      <c r="H518" s="97">
        <v>80111600</v>
      </c>
      <c r="I518" s="124">
        <v>2</v>
      </c>
      <c r="J518" s="124">
        <v>11</v>
      </c>
      <c r="K518" s="52">
        <v>0</v>
      </c>
      <c r="L518" s="53">
        <v>66000000</v>
      </c>
      <c r="M518" s="123" t="s">
        <v>484</v>
      </c>
      <c r="N518" s="53" t="s">
        <v>113</v>
      </c>
      <c r="O518" s="51" t="s">
        <v>220</v>
      </c>
      <c r="P518" s="125" t="str">
        <f>IFERROR(VLOOKUP(C518,TD!$B$32:$F$36,2,0)," ")</f>
        <v>O230117</v>
      </c>
      <c r="Q518" s="125" t="str">
        <f>IFERROR(VLOOKUP(C518,TD!$B$32:$F$36,3,0)," ")</f>
        <v>4599</v>
      </c>
      <c r="R518" s="125">
        <f>IFERROR(VLOOKUP(C518,TD!$B$32:$F$36,4,0)," ")</f>
        <v>20240207</v>
      </c>
      <c r="S518" s="51" t="s">
        <v>193</v>
      </c>
      <c r="T518" s="125" t="str">
        <f>IFERROR(VLOOKUP(S518,TD!$J$33:$K$43,2,0)," ")</f>
        <v>Servicios para la planeación y sistemas de gestión y comunicación estratégica</v>
      </c>
      <c r="U518" s="127" t="str">
        <f>CONCATENATE(S518,"-",T518)</f>
        <v>13-Servicios para la planeación y sistemas de gestión y comunicación estratégica</v>
      </c>
      <c r="V518" s="51" t="s">
        <v>242</v>
      </c>
      <c r="W518" s="125" t="str">
        <f>IFERROR(VLOOKUP(V518,TD!$N$33:$O$45,2,0)," ")</f>
        <v>Documentos de planeación</v>
      </c>
      <c r="X518" s="127" t="str">
        <f>CONCATENATE(V518,"_",W518)</f>
        <v>019_Documentos de planeación</v>
      </c>
      <c r="Y518" s="127" t="str">
        <f>CONCATENATE(U518," ",X518)</f>
        <v>13-Servicios para la planeación y sistemas de gestión y comunicación estratégica 019_Documentos de planeación</v>
      </c>
      <c r="Z518" s="125" t="str">
        <f>CONCATENATE(P518,Q518,R518,S518,V518)</f>
        <v>O23011745992024020713019</v>
      </c>
      <c r="AA518" s="125" t="str">
        <f>IFERROR(VLOOKUP(Y518,TD!$K$46:$L$64,2,0)," ")</f>
        <v>PM/0131/0113/45990190207</v>
      </c>
      <c r="AB518" s="53" t="s">
        <v>138</v>
      </c>
      <c r="AC518" s="51" t="s">
        <v>204</v>
      </c>
    </row>
    <row r="519" spans="2:29" s="28" customFormat="1" ht="74.25" customHeight="1" x14ac:dyDescent="0.35">
      <c r="B519" s="77">
        <v>20250079</v>
      </c>
      <c r="C519" s="50" t="s">
        <v>208</v>
      </c>
      <c r="D519" s="123" t="s">
        <v>161</v>
      </c>
      <c r="E519" s="51" t="s">
        <v>355</v>
      </c>
      <c r="F519" s="123" t="s">
        <v>363</v>
      </c>
      <c r="G519" s="123" t="s">
        <v>155</v>
      </c>
      <c r="H519" s="97">
        <v>80111600</v>
      </c>
      <c r="I519" s="124">
        <v>2</v>
      </c>
      <c r="J519" s="124">
        <v>11</v>
      </c>
      <c r="K519" s="52">
        <v>0</v>
      </c>
      <c r="L519" s="53">
        <v>66000000</v>
      </c>
      <c r="M519" s="123" t="s">
        <v>484</v>
      </c>
      <c r="N519" s="53" t="s">
        <v>113</v>
      </c>
      <c r="O519" s="51" t="s">
        <v>220</v>
      </c>
      <c r="P519" s="125" t="str">
        <f>IFERROR(VLOOKUP(C519,TD!$B$32:$F$36,2,0)," ")</f>
        <v>O230117</v>
      </c>
      <c r="Q519" s="125" t="str">
        <f>IFERROR(VLOOKUP(C519,TD!$B$32:$F$36,3,0)," ")</f>
        <v>4599</v>
      </c>
      <c r="R519" s="125">
        <f>IFERROR(VLOOKUP(C519,TD!$B$32:$F$36,4,0)," ")</f>
        <v>20240207</v>
      </c>
      <c r="S519" s="51" t="s">
        <v>193</v>
      </c>
      <c r="T519" s="125" t="str">
        <f>IFERROR(VLOOKUP(S519,TD!$J$33:$K$43,2,0)," ")</f>
        <v>Servicios para la planeación y sistemas de gestión y comunicación estratégica</v>
      </c>
      <c r="U519" s="127" t="str">
        <f>CONCATENATE(S519,"-",T519)</f>
        <v>13-Servicios para la planeación y sistemas de gestión y comunicación estratégica</v>
      </c>
      <c r="V519" s="51" t="s">
        <v>242</v>
      </c>
      <c r="W519" s="125" t="str">
        <f>IFERROR(VLOOKUP(V519,TD!$N$33:$O$45,2,0)," ")</f>
        <v>Documentos de planeación</v>
      </c>
      <c r="X519" s="127" t="str">
        <f>CONCATENATE(V519,"_",W519)</f>
        <v>019_Documentos de planeación</v>
      </c>
      <c r="Y519" s="127" t="str">
        <f>CONCATENATE(U519," ",X519)</f>
        <v>13-Servicios para la planeación y sistemas de gestión y comunicación estratégica 019_Documentos de planeación</v>
      </c>
      <c r="Z519" s="125" t="str">
        <f>CONCATENATE(P519,Q519,R519,S519,V519)</f>
        <v>O23011745992024020713019</v>
      </c>
      <c r="AA519" s="125" t="str">
        <f>IFERROR(VLOOKUP(Y519,TD!$K$46:$L$64,2,0)," ")</f>
        <v>PM/0131/0113/45990190207</v>
      </c>
      <c r="AB519" s="53" t="s">
        <v>138</v>
      </c>
      <c r="AC519" s="126" t="s">
        <v>204</v>
      </c>
    </row>
    <row r="520" spans="2:29" s="28" customFormat="1" ht="74.25" customHeight="1" x14ac:dyDescent="0.35">
      <c r="B520" s="77">
        <v>20250080</v>
      </c>
      <c r="C520" s="50" t="s">
        <v>208</v>
      </c>
      <c r="D520" s="123" t="s">
        <v>161</v>
      </c>
      <c r="E520" s="51" t="s">
        <v>355</v>
      </c>
      <c r="F520" s="123" t="s">
        <v>362</v>
      </c>
      <c r="G520" s="123" t="s">
        <v>155</v>
      </c>
      <c r="H520" s="97">
        <v>80111600</v>
      </c>
      <c r="I520" s="124">
        <v>2</v>
      </c>
      <c r="J520" s="124">
        <v>11</v>
      </c>
      <c r="K520" s="52">
        <v>0</v>
      </c>
      <c r="L520" s="53">
        <v>88000000</v>
      </c>
      <c r="M520" s="123" t="s">
        <v>484</v>
      </c>
      <c r="N520" s="53" t="s">
        <v>113</v>
      </c>
      <c r="O520" s="51" t="s">
        <v>220</v>
      </c>
      <c r="P520" s="125" t="str">
        <f>IFERROR(VLOOKUP(C520,TD!$B$32:$F$36,2,0)," ")</f>
        <v>O230117</v>
      </c>
      <c r="Q520" s="125" t="str">
        <f>IFERROR(VLOOKUP(C520,TD!$B$32:$F$36,3,0)," ")</f>
        <v>4599</v>
      </c>
      <c r="R520" s="125">
        <f>IFERROR(VLOOKUP(C520,TD!$B$32:$F$36,4,0)," ")</f>
        <v>20240207</v>
      </c>
      <c r="S520" s="51" t="s">
        <v>193</v>
      </c>
      <c r="T520" s="125" t="str">
        <f>IFERROR(VLOOKUP(S520,TD!$J$33:$K$43,2,0)," ")</f>
        <v>Servicios para la planeación y sistemas de gestión y comunicación estratégica</v>
      </c>
      <c r="U520" s="127" t="str">
        <f>CONCATENATE(S520,"-",T520)</f>
        <v>13-Servicios para la planeación y sistemas de gestión y comunicación estratégica</v>
      </c>
      <c r="V520" s="51" t="s">
        <v>242</v>
      </c>
      <c r="W520" s="125" t="str">
        <f>IFERROR(VLOOKUP(V520,TD!$N$33:$O$45,2,0)," ")</f>
        <v>Documentos de planeación</v>
      </c>
      <c r="X520" s="127" t="str">
        <f>CONCATENATE(V520,"_",W520)</f>
        <v>019_Documentos de planeación</v>
      </c>
      <c r="Y520" s="127" t="str">
        <f>CONCATENATE(U520," ",X520)</f>
        <v>13-Servicios para la planeación y sistemas de gestión y comunicación estratégica 019_Documentos de planeación</v>
      </c>
      <c r="Z520" s="125" t="str">
        <f>CONCATENATE(P520,Q520,R520,S520,V520)</f>
        <v>O23011745992024020713019</v>
      </c>
      <c r="AA520" s="125" t="str">
        <f>IFERROR(VLOOKUP(Y520,TD!$K$46:$L$64,2,0)," ")</f>
        <v>PM/0131/0113/45990190207</v>
      </c>
      <c r="AB520" s="53" t="s">
        <v>138</v>
      </c>
      <c r="AC520" s="126" t="s">
        <v>204</v>
      </c>
    </row>
    <row r="521" spans="2:29" s="28" customFormat="1" ht="74.25" customHeight="1" x14ac:dyDescent="0.35">
      <c r="B521" s="77">
        <v>20250081</v>
      </c>
      <c r="C521" s="50" t="s">
        <v>208</v>
      </c>
      <c r="D521" s="123" t="s">
        <v>161</v>
      </c>
      <c r="E521" s="51" t="s">
        <v>355</v>
      </c>
      <c r="F521" s="123" t="s">
        <v>365</v>
      </c>
      <c r="G521" s="123" t="s">
        <v>155</v>
      </c>
      <c r="H521" s="97">
        <v>80111600</v>
      </c>
      <c r="I521" s="124">
        <v>2</v>
      </c>
      <c r="J521" s="124">
        <v>11</v>
      </c>
      <c r="K521" s="52">
        <v>0</v>
      </c>
      <c r="L521" s="53">
        <v>66000000</v>
      </c>
      <c r="M521" s="123" t="s">
        <v>484</v>
      </c>
      <c r="N521" s="53" t="s">
        <v>113</v>
      </c>
      <c r="O521" s="51" t="s">
        <v>220</v>
      </c>
      <c r="P521" s="125" t="str">
        <f>IFERROR(VLOOKUP(C521,TD!$B$32:$F$36,2,0)," ")</f>
        <v>O230117</v>
      </c>
      <c r="Q521" s="125" t="str">
        <f>IFERROR(VLOOKUP(C521,TD!$B$32:$F$36,3,0)," ")</f>
        <v>4599</v>
      </c>
      <c r="R521" s="125">
        <f>IFERROR(VLOOKUP(C521,TD!$B$32:$F$36,4,0)," ")</f>
        <v>20240207</v>
      </c>
      <c r="S521" s="51" t="s">
        <v>193</v>
      </c>
      <c r="T521" s="125" t="str">
        <f>IFERROR(VLOOKUP(S521,TD!$J$33:$K$43,2,0)," ")</f>
        <v>Servicios para la planeación y sistemas de gestión y comunicación estratégica</v>
      </c>
      <c r="U521" s="127" t="str">
        <f>CONCATENATE(S521,"-",T521)</f>
        <v>13-Servicios para la planeación y sistemas de gestión y comunicación estratégica</v>
      </c>
      <c r="V521" s="51" t="s">
        <v>242</v>
      </c>
      <c r="W521" s="125" t="str">
        <f>IFERROR(VLOOKUP(V521,TD!$N$33:$O$45,2,0)," ")</f>
        <v>Documentos de planeación</v>
      </c>
      <c r="X521" s="127" t="str">
        <f>CONCATENATE(V521,"_",W521)</f>
        <v>019_Documentos de planeación</v>
      </c>
      <c r="Y521" s="127" t="str">
        <f>CONCATENATE(U521," ",X521)</f>
        <v>13-Servicios para la planeación y sistemas de gestión y comunicación estratégica 019_Documentos de planeación</v>
      </c>
      <c r="Z521" s="125" t="str">
        <f>CONCATENATE(P521,Q521,R521,S521,V521)</f>
        <v>O23011745992024020713019</v>
      </c>
      <c r="AA521" s="125" t="str">
        <f>IFERROR(VLOOKUP(Y521,TD!$K$46:$L$64,2,0)," ")</f>
        <v>PM/0131/0113/45990190207</v>
      </c>
      <c r="AB521" s="53" t="s">
        <v>138</v>
      </c>
      <c r="AC521" s="126" t="s">
        <v>204</v>
      </c>
    </row>
    <row r="522" spans="2:29" s="28" customFormat="1" ht="74.25" customHeight="1" x14ac:dyDescent="0.35">
      <c r="B522" s="77">
        <v>20250083</v>
      </c>
      <c r="C522" s="50" t="s">
        <v>208</v>
      </c>
      <c r="D522" s="123" t="s">
        <v>161</v>
      </c>
      <c r="E522" s="51" t="s">
        <v>355</v>
      </c>
      <c r="F522" s="123" t="s">
        <v>365</v>
      </c>
      <c r="G522" s="123" t="s">
        <v>155</v>
      </c>
      <c r="H522" s="97">
        <v>80111600</v>
      </c>
      <c r="I522" s="124">
        <v>2</v>
      </c>
      <c r="J522" s="124">
        <v>11</v>
      </c>
      <c r="K522" s="52">
        <v>0</v>
      </c>
      <c r="L522" s="53">
        <v>57200000</v>
      </c>
      <c r="M522" s="123" t="s">
        <v>484</v>
      </c>
      <c r="N522" s="53" t="s">
        <v>113</v>
      </c>
      <c r="O522" s="51" t="s">
        <v>220</v>
      </c>
      <c r="P522" s="125" t="str">
        <f>IFERROR(VLOOKUP(C522,TD!$B$32:$F$36,2,0)," ")</f>
        <v>O230117</v>
      </c>
      <c r="Q522" s="125" t="str">
        <f>IFERROR(VLOOKUP(C522,TD!$B$32:$F$36,3,0)," ")</f>
        <v>4599</v>
      </c>
      <c r="R522" s="125">
        <f>IFERROR(VLOOKUP(C522,TD!$B$32:$F$36,4,0)," ")</f>
        <v>20240207</v>
      </c>
      <c r="S522" s="51" t="s">
        <v>193</v>
      </c>
      <c r="T522" s="125" t="str">
        <f>IFERROR(VLOOKUP(S522,TD!$J$33:$K$43,2,0)," ")</f>
        <v>Servicios para la planeación y sistemas de gestión y comunicación estratégica</v>
      </c>
      <c r="U522" s="127" t="str">
        <f>CONCATENATE(S522,"-",T522)</f>
        <v>13-Servicios para la planeación y sistemas de gestión y comunicación estratégica</v>
      </c>
      <c r="V522" s="51" t="s">
        <v>242</v>
      </c>
      <c r="W522" s="125" t="str">
        <f>IFERROR(VLOOKUP(V522,TD!$N$33:$O$45,2,0)," ")</f>
        <v>Documentos de planeación</v>
      </c>
      <c r="X522" s="127" t="str">
        <f>CONCATENATE(V522,"_",W522)</f>
        <v>019_Documentos de planeación</v>
      </c>
      <c r="Y522" s="127" t="str">
        <f>CONCATENATE(U522," ",X522)</f>
        <v>13-Servicios para la planeación y sistemas de gestión y comunicación estratégica 019_Documentos de planeación</v>
      </c>
      <c r="Z522" s="125" t="str">
        <f>CONCATENATE(P522,Q522,R522,S522,V522)</f>
        <v>O23011745992024020713019</v>
      </c>
      <c r="AA522" s="125" t="str">
        <f>IFERROR(VLOOKUP(Y522,TD!$K$46:$L$64,2,0)," ")</f>
        <v>PM/0131/0113/45990190207</v>
      </c>
      <c r="AB522" s="53" t="s">
        <v>138</v>
      </c>
      <c r="AC522" s="126" t="s">
        <v>204</v>
      </c>
    </row>
    <row r="523" spans="2:29" s="28" customFormat="1" ht="74.25" customHeight="1" x14ac:dyDescent="0.35">
      <c r="B523" s="77">
        <v>20250084</v>
      </c>
      <c r="C523" s="50" t="s">
        <v>208</v>
      </c>
      <c r="D523" s="123" t="s">
        <v>161</v>
      </c>
      <c r="E523" s="51" t="s">
        <v>355</v>
      </c>
      <c r="F523" s="123" t="s">
        <v>361</v>
      </c>
      <c r="G523" s="123" t="s">
        <v>155</v>
      </c>
      <c r="H523" s="97">
        <v>80111600</v>
      </c>
      <c r="I523" s="124">
        <v>2</v>
      </c>
      <c r="J523" s="124">
        <v>11</v>
      </c>
      <c r="K523" s="52">
        <v>0</v>
      </c>
      <c r="L523" s="53">
        <v>66000000</v>
      </c>
      <c r="M523" s="123" t="s">
        <v>484</v>
      </c>
      <c r="N523" s="53" t="s">
        <v>113</v>
      </c>
      <c r="O523" s="51" t="s">
        <v>220</v>
      </c>
      <c r="P523" s="125" t="str">
        <f>IFERROR(VLOOKUP(C523,TD!$B$32:$F$36,2,0)," ")</f>
        <v>O230117</v>
      </c>
      <c r="Q523" s="125" t="str">
        <f>IFERROR(VLOOKUP(C523,TD!$B$32:$F$36,3,0)," ")</f>
        <v>4599</v>
      </c>
      <c r="R523" s="125">
        <f>IFERROR(VLOOKUP(C523,TD!$B$32:$F$36,4,0)," ")</f>
        <v>20240207</v>
      </c>
      <c r="S523" s="51" t="s">
        <v>193</v>
      </c>
      <c r="T523" s="125" t="str">
        <f>IFERROR(VLOOKUP(S523,TD!$J$33:$K$43,2,0)," ")</f>
        <v>Servicios para la planeación y sistemas de gestión y comunicación estratégica</v>
      </c>
      <c r="U523" s="127" t="str">
        <f>CONCATENATE(S523,"-",T523)</f>
        <v>13-Servicios para la planeación y sistemas de gestión y comunicación estratégica</v>
      </c>
      <c r="V523" s="51" t="s">
        <v>242</v>
      </c>
      <c r="W523" s="125" t="str">
        <f>IFERROR(VLOOKUP(V523,TD!$N$33:$O$45,2,0)," ")</f>
        <v>Documentos de planeación</v>
      </c>
      <c r="X523" s="127" t="str">
        <f>CONCATENATE(V523,"_",W523)</f>
        <v>019_Documentos de planeación</v>
      </c>
      <c r="Y523" s="127" t="str">
        <f>CONCATENATE(U523," ",X523)</f>
        <v>13-Servicios para la planeación y sistemas de gestión y comunicación estratégica 019_Documentos de planeación</v>
      </c>
      <c r="Z523" s="125" t="str">
        <f>CONCATENATE(P523,Q523,R523,S523,V523)</f>
        <v>O23011745992024020713019</v>
      </c>
      <c r="AA523" s="125" t="str">
        <f>IFERROR(VLOOKUP(Y523,TD!$K$46:$L$64,2,0)," ")</f>
        <v>PM/0131/0113/45990190207</v>
      </c>
      <c r="AB523" s="53" t="s">
        <v>138</v>
      </c>
      <c r="AC523" s="126" t="s">
        <v>204</v>
      </c>
    </row>
    <row r="524" spans="2:29" s="28" customFormat="1" ht="74.25" customHeight="1" x14ac:dyDescent="0.35">
      <c r="B524" s="77">
        <v>20250086</v>
      </c>
      <c r="C524" s="50" t="s">
        <v>208</v>
      </c>
      <c r="D524" s="123" t="s">
        <v>161</v>
      </c>
      <c r="E524" s="51" t="s">
        <v>355</v>
      </c>
      <c r="F524" s="123" t="s">
        <v>443</v>
      </c>
      <c r="G524" s="123" t="s">
        <v>155</v>
      </c>
      <c r="H524" s="97">
        <v>80111600</v>
      </c>
      <c r="I524" s="124">
        <v>2</v>
      </c>
      <c r="J524" s="124">
        <v>11</v>
      </c>
      <c r="K524" s="52">
        <v>0</v>
      </c>
      <c r="L524" s="53">
        <v>107800000</v>
      </c>
      <c r="M524" s="123" t="s">
        <v>484</v>
      </c>
      <c r="N524" s="53" t="s">
        <v>113</v>
      </c>
      <c r="O524" s="51" t="s">
        <v>220</v>
      </c>
      <c r="P524" s="125" t="str">
        <f>IFERROR(VLOOKUP(C524,TD!$B$32:$F$36,2,0)," ")</f>
        <v>O230117</v>
      </c>
      <c r="Q524" s="125" t="str">
        <f>IFERROR(VLOOKUP(C524,TD!$B$32:$F$36,3,0)," ")</f>
        <v>4599</v>
      </c>
      <c r="R524" s="125">
        <f>IFERROR(VLOOKUP(C524,TD!$B$32:$F$36,4,0)," ")</f>
        <v>20240207</v>
      </c>
      <c r="S524" s="51" t="s">
        <v>193</v>
      </c>
      <c r="T524" s="125" t="str">
        <f>IFERROR(VLOOKUP(S524,TD!$J$33:$K$43,2,0)," ")</f>
        <v>Servicios para la planeación y sistemas de gestión y comunicación estratégica</v>
      </c>
      <c r="U524" s="127" t="str">
        <f>CONCATENATE(S524,"-",T524)</f>
        <v>13-Servicios para la planeación y sistemas de gestión y comunicación estratégica</v>
      </c>
      <c r="V524" s="51" t="s">
        <v>242</v>
      </c>
      <c r="W524" s="125" t="str">
        <f>IFERROR(VLOOKUP(V524,TD!$N$33:$O$45,2,0)," ")</f>
        <v>Documentos de planeación</v>
      </c>
      <c r="X524" s="127" t="str">
        <f>CONCATENATE(V524,"_",W524)</f>
        <v>019_Documentos de planeación</v>
      </c>
      <c r="Y524" s="127" t="str">
        <f>CONCATENATE(U524," ",X524)</f>
        <v>13-Servicios para la planeación y sistemas de gestión y comunicación estratégica 019_Documentos de planeación</v>
      </c>
      <c r="Z524" s="125" t="str">
        <f>CONCATENATE(P524,Q524,R524,S524,V524)</f>
        <v>O23011745992024020713019</v>
      </c>
      <c r="AA524" s="125" t="str">
        <f>IFERROR(VLOOKUP(Y524,TD!$K$46:$L$64,2,0)," ")</f>
        <v>PM/0131/0113/45990190207</v>
      </c>
      <c r="AB524" s="53" t="s">
        <v>138</v>
      </c>
      <c r="AC524" s="126" t="s">
        <v>204</v>
      </c>
    </row>
    <row r="525" spans="2:29" s="28" customFormat="1" ht="74.25" customHeight="1" x14ac:dyDescent="0.35">
      <c r="B525" s="77">
        <v>20250088</v>
      </c>
      <c r="C525" s="50" t="s">
        <v>208</v>
      </c>
      <c r="D525" s="123" t="s">
        <v>161</v>
      </c>
      <c r="E525" s="51" t="s">
        <v>355</v>
      </c>
      <c r="F525" s="123" t="s">
        <v>450</v>
      </c>
      <c r="G525" s="123" t="s">
        <v>155</v>
      </c>
      <c r="H525" s="97">
        <v>80111600</v>
      </c>
      <c r="I525" s="124">
        <v>2</v>
      </c>
      <c r="J525" s="124">
        <v>11</v>
      </c>
      <c r="K525" s="52">
        <v>0</v>
      </c>
      <c r="L525" s="53">
        <v>57200000</v>
      </c>
      <c r="M525" s="123" t="s">
        <v>484</v>
      </c>
      <c r="N525" s="53" t="s">
        <v>113</v>
      </c>
      <c r="O525" s="51" t="s">
        <v>220</v>
      </c>
      <c r="P525" s="125" t="str">
        <f>IFERROR(VLOOKUP(C525,TD!$B$32:$F$36,2,0)," ")</f>
        <v>O230117</v>
      </c>
      <c r="Q525" s="125" t="str">
        <f>IFERROR(VLOOKUP(C525,TD!$B$32:$F$36,3,0)," ")</f>
        <v>4599</v>
      </c>
      <c r="R525" s="125">
        <f>IFERROR(VLOOKUP(C525,TD!$B$32:$F$36,4,0)," ")</f>
        <v>20240207</v>
      </c>
      <c r="S525" s="51" t="s">
        <v>193</v>
      </c>
      <c r="T525" s="125" t="str">
        <f>IFERROR(VLOOKUP(S525,TD!$J$33:$K$43,2,0)," ")</f>
        <v>Servicios para la planeación y sistemas de gestión y comunicación estratégica</v>
      </c>
      <c r="U525" s="127" t="str">
        <f>CONCATENATE(S525,"-",T525)</f>
        <v>13-Servicios para la planeación y sistemas de gestión y comunicación estratégica</v>
      </c>
      <c r="V525" s="51" t="s">
        <v>242</v>
      </c>
      <c r="W525" s="125" t="str">
        <f>IFERROR(VLOOKUP(V525,TD!$N$33:$O$45,2,0)," ")</f>
        <v>Documentos de planeación</v>
      </c>
      <c r="X525" s="127" t="str">
        <f>CONCATENATE(V525,"_",W525)</f>
        <v>019_Documentos de planeación</v>
      </c>
      <c r="Y525" s="127" t="str">
        <f>CONCATENATE(U525," ",X525)</f>
        <v>13-Servicios para la planeación y sistemas de gestión y comunicación estratégica 019_Documentos de planeación</v>
      </c>
      <c r="Z525" s="125" t="str">
        <f>CONCATENATE(P525,Q525,R525,S525,V525)</f>
        <v>O23011745992024020713019</v>
      </c>
      <c r="AA525" s="125" t="str">
        <f>IFERROR(VLOOKUP(Y525,TD!$K$46:$L$64,2,0)," ")</f>
        <v>PM/0131/0113/45990190207</v>
      </c>
      <c r="AB525" s="53" t="s">
        <v>138</v>
      </c>
      <c r="AC525" s="126" t="s">
        <v>204</v>
      </c>
    </row>
    <row r="526" spans="2:29" s="28" customFormat="1" ht="74.25" customHeight="1" x14ac:dyDescent="0.35">
      <c r="B526" s="77">
        <v>20250090</v>
      </c>
      <c r="C526" s="50" t="s">
        <v>208</v>
      </c>
      <c r="D526" s="123" t="s">
        <v>161</v>
      </c>
      <c r="E526" s="51" t="s">
        <v>355</v>
      </c>
      <c r="F526" s="123" t="s">
        <v>451</v>
      </c>
      <c r="G526" s="123" t="s">
        <v>156</v>
      </c>
      <c r="H526" s="97">
        <v>80111600</v>
      </c>
      <c r="I526" s="124">
        <v>2</v>
      </c>
      <c r="J526" s="124">
        <v>11</v>
      </c>
      <c r="K526" s="52">
        <v>0</v>
      </c>
      <c r="L526" s="53">
        <v>38500000</v>
      </c>
      <c r="M526" s="123" t="s">
        <v>484</v>
      </c>
      <c r="N526" s="53" t="s">
        <v>113</v>
      </c>
      <c r="O526" s="51" t="s">
        <v>220</v>
      </c>
      <c r="P526" s="125" t="str">
        <f>IFERROR(VLOOKUP(C526,TD!$B$32:$F$36,2,0)," ")</f>
        <v>O230117</v>
      </c>
      <c r="Q526" s="125" t="str">
        <f>IFERROR(VLOOKUP(C526,TD!$B$32:$F$36,3,0)," ")</f>
        <v>4599</v>
      </c>
      <c r="R526" s="125">
        <f>IFERROR(VLOOKUP(C526,TD!$B$32:$F$36,4,0)," ")</f>
        <v>20240207</v>
      </c>
      <c r="S526" s="51" t="s">
        <v>193</v>
      </c>
      <c r="T526" s="125" t="str">
        <f>IFERROR(VLOOKUP(S526,TD!$J$33:$K$43,2,0)," ")</f>
        <v>Servicios para la planeación y sistemas de gestión y comunicación estratégica</v>
      </c>
      <c r="U526" s="127" t="str">
        <f>CONCATENATE(S526,"-",T526)</f>
        <v>13-Servicios para la planeación y sistemas de gestión y comunicación estratégica</v>
      </c>
      <c r="V526" s="51" t="s">
        <v>242</v>
      </c>
      <c r="W526" s="125" t="str">
        <f>IFERROR(VLOOKUP(V526,TD!$N$33:$O$45,2,0)," ")</f>
        <v>Documentos de planeación</v>
      </c>
      <c r="X526" s="127" t="str">
        <f>CONCATENATE(V526,"_",W526)</f>
        <v>019_Documentos de planeación</v>
      </c>
      <c r="Y526" s="127" t="str">
        <f>CONCATENATE(U526," ",X526)</f>
        <v>13-Servicios para la planeación y sistemas de gestión y comunicación estratégica 019_Documentos de planeación</v>
      </c>
      <c r="Z526" s="125" t="str">
        <f>CONCATENATE(P526,Q526,R526,S526,V526)</f>
        <v>O23011745992024020713019</v>
      </c>
      <c r="AA526" s="125" t="str">
        <f>IFERROR(VLOOKUP(Y526,TD!$K$46:$L$64,2,0)," ")</f>
        <v>PM/0131/0113/45990190207</v>
      </c>
      <c r="AB526" s="53" t="s">
        <v>138</v>
      </c>
      <c r="AC526" s="126" t="s">
        <v>204</v>
      </c>
    </row>
    <row r="527" spans="2:29" s="28" customFormat="1" ht="74.25" customHeight="1" x14ac:dyDescent="0.35">
      <c r="B527" s="77">
        <v>20250092</v>
      </c>
      <c r="C527" s="50" t="s">
        <v>208</v>
      </c>
      <c r="D527" s="123" t="s">
        <v>161</v>
      </c>
      <c r="E527" s="51" t="s">
        <v>355</v>
      </c>
      <c r="F527" s="123" t="s">
        <v>452</v>
      </c>
      <c r="G527" s="123" t="s">
        <v>155</v>
      </c>
      <c r="H527" s="97">
        <v>80111600</v>
      </c>
      <c r="I527" s="124">
        <v>2</v>
      </c>
      <c r="J527" s="124">
        <v>6</v>
      </c>
      <c r="K527" s="52">
        <v>0</v>
      </c>
      <c r="L527" s="53">
        <v>48000000</v>
      </c>
      <c r="M527" s="123" t="s">
        <v>484</v>
      </c>
      <c r="N527" s="53" t="s">
        <v>113</v>
      </c>
      <c r="O527" s="51" t="s">
        <v>220</v>
      </c>
      <c r="P527" s="125" t="str">
        <f>IFERROR(VLOOKUP(C527,TD!$B$32:$F$36,2,0)," ")</f>
        <v>O230117</v>
      </c>
      <c r="Q527" s="125" t="str">
        <f>IFERROR(VLOOKUP(C527,TD!$B$32:$F$36,3,0)," ")</f>
        <v>4599</v>
      </c>
      <c r="R527" s="125">
        <f>IFERROR(VLOOKUP(C527,TD!$B$32:$F$36,4,0)," ")</f>
        <v>20240207</v>
      </c>
      <c r="S527" s="51" t="s">
        <v>193</v>
      </c>
      <c r="T527" s="125" t="str">
        <f>IFERROR(VLOOKUP(S527,TD!$J$33:$K$43,2,0)," ")</f>
        <v>Servicios para la planeación y sistemas de gestión y comunicación estratégica</v>
      </c>
      <c r="U527" s="127" t="str">
        <f>CONCATENATE(S527,"-",T527)</f>
        <v>13-Servicios para la planeación y sistemas de gestión y comunicación estratégica</v>
      </c>
      <c r="V527" s="51" t="s">
        <v>242</v>
      </c>
      <c r="W527" s="125" t="str">
        <f>IFERROR(VLOOKUP(V527,TD!$N$33:$O$45,2,0)," ")</f>
        <v>Documentos de planeación</v>
      </c>
      <c r="X527" s="127" t="str">
        <f>CONCATENATE(V527,"_",W527)</f>
        <v>019_Documentos de planeación</v>
      </c>
      <c r="Y527" s="127" t="str">
        <f>CONCATENATE(U527," ",X527)</f>
        <v>13-Servicios para la planeación y sistemas de gestión y comunicación estratégica 019_Documentos de planeación</v>
      </c>
      <c r="Z527" s="125" t="str">
        <f>CONCATENATE(P527,Q527,R527,S527,V527)</f>
        <v>O23011745992024020713019</v>
      </c>
      <c r="AA527" s="125" t="str">
        <f>IFERROR(VLOOKUP(Y527,TD!$K$46:$L$64,2,0)," ")</f>
        <v>PM/0131/0113/45990190207</v>
      </c>
      <c r="AB527" s="53" t="s">
        <v>138</v>
      </c>
      <c r="AC527" s="126" t="s">
        <v>204</v>
      </c>
    </row>
    <row r="528" spans="2:29" s="28" customFormat="1" ht="74.25" customHeight="1" x14ac:dyDescent="0.35">
      <c r="B528" s="77">
        <v>20250139</v>
      </c>
      <c r="C528" s="50" t="s">
        <v>209</v>
      </c>
      <c r="D528" s="123" t="s">
        <v>165</v>
      </c>
      <c r="E528" s="51" t="s">
        <v>510</v>
      </c>
      <c r="F528" s="123" t="s">
        <v>472</v>
      </c>
      <c r="G528" s="123" t="s">
        <v>133</v>
      </c>
      <c r="H528" s="97">
        <v>80111600</v>
      </c>
      <c r="I528" s="124">
        <v>3</v>
      </c>
      <c r="J528" s="124">
        <v>10</v>
      </c>
      <c r="K528" s="52">
        <v>0</v>
      </c>
      <c r="L528" s="53">
        <v>57697166</v>
      </c>
      <c r="M528" s="123" t="s">
        <v>484</v>
      </c>
      <c r="N528" s="53" t="s">
        <v>113</v>
      </c>
      <c r="O528" s="51" t="s">
        <v>229</v>
      </c>
      <c r="P528" s="125" t="str">
        <f>IFERROR(VLOOKUP(C528,TD!$B$32:$F$36,2,0)," ")</f>
        <v>O230117</v>
      </c>
      <c r="Q528" s="125" t="str">
        <f>IFERROR(VLOOKUP(C528,TD!$B$32:$F$36,3,0)," ")</f>
        <v>4503</v>
      </c>
      <c r="R528" s="125">
        <f>IFERROR(VLOOKUP(C528,TD!$B$32:$F$36,4,0)," ")</f>
        <v>20240255</v>
      </c>
      <c r="S528" s="51" t="s">
        <v>183</v>
      </c>
      <c r="T528" s="125" t="str">
        <f>IFERROR(VLOOKUP(S528,TD!$J$33:$K$43,2,0)," ")</f>
        <v>Servicio de formación en gestión del riesgo de incendios para el personal UAECOB</v>
      </c>
      <c r="U528" s="127" t="str">
        <f>CONCATENATE(S528,"-",T528)</f>
        <v>07-Servicio de formación en gestión del riesgo de incendios para el personal UAECOB</v>
      </c>
      <c r="V528" s="51" t="s">
        <v>233</v>
      </c>
      <c r="W528" s="125" t="str">
        <f>IFERROR(VLOOKUP(V528,TD!$N$33:$O$45,2,0)," ")</f>
        <v>Servicio de educación informal</v>
      </c>
      <c r="X528" s="127" t="str">
        <f>CONCATENATE(V528,"_",W528)</f>
        <v>002_Servicio de educación informal</v>
      </c>
      <c r="Y528" s="127" t="str">
        <f>CONCATENATE(U528," ",X528)</f>
        <v>07-Servicio de formación en gestión del riesgo de incendios para el personal UAECOB 002_Servicio de educación informal</v>
      </c>
      <c r="Z528" s="125" t="str">
        <f>CONCATENATE(P528,Q528,R528,S528,V528)</f>
        <v>O23011745032024025507002</v>
      </c>
      <c r="AA528" s="125" t="str">
        <f>IFERROR(VLOOKUP(Y528,TD!$K$46:$L$64,2,0)," ")</f>
        <v>PM/0131/0107/45030020255</v>
      </c>
      <c r="AB528" s="190" t="s">
        <v>138</v>
      </c>
      <c r="AC528" s="126" t="s">
        <v>204</v>
      </c>
    </row>
    <row r="529" spans="2:29" s="28" customFormat="1" ht="74.25" customHeight="1" x14ac:dyDescent="0.35">
      <c r="B529" s="77">
        <v>20250140</v>
      </c>
      <c r="C529" s="50" t="s">
        <v>209</v>
      </c>
      <c r="D529" s="123" t="s">
        <v>165</v>
      </c>
      <c r="E529" s="51" t="s">
        <v>510</v>
      </c>
      <c r="F529" s="123" t="s">
        <v>512</v>
      </c>
      <c r="G529" s="123" t="s">
        <v>133</v>
      </c>
      <c r="H529" s="97">
        <v>80111600</v>
      </c>
      <c r="I529" s="124">
        <v>2</v>
      </c>
      <c r="J529" s="124">
        <v>11</v>
      </c>
      <c r="K529" s="52">
        <v>0</v>
      </c>
      <c r="L529" s="53">
        <v>43390578</v>
      </c>
      <c r="M529" s="123" t="s">
        <v>484</v>
      </c>
      <c r="N529" s="53" t="s">
        <v>113</v>
      </c>
      <c r="O529" s="51" t="s">
        <v>229</v>
      </c>
      <c r="P529" s="125" t="str">
        <f>IFERROR(VLOOKUP(C529,TD!$B$32:$F$36,2,0)," ")</f>
        <v>O230117</v>
      </c>
      <c r="Q529" s="125" t="str">
        <f>IFERROR(VLOOKUP(C529,TD!$B$32:$F$36,3,0)," ")</f>
        <v>4503</v>
      </c>
      <c r="R529" s="125">
        <f>IFERROR(VLOOKUP(C529,TD!$B$32:$F$36,4,0)," ")</f>
        <v>20240255</v>
      </c>
      <c r="S529" s="51" t="s">
        <v>183</v>
      </c>
      <c r="T529" s="125" t="str">
        <f>IFERROR(VLOOKUP(S529,TD!$J$33:$K$43,2,0)," ")</f>
        <v>Servicio de formación en gestión del riesgo de incendios para el personal UAECOB</v>
      </c>
      <c r="U529" s="127" t="str">
        <f>CONCATENATE(S529,"-",T529)</f>
        <v>07-Servicio de formación en gestión del riesgo de incendios para el personal UAECOB</v>
      </c>
      <c r="V529" s="51" t="s">
        <v>233</v>
      </c>
      <c r="W529" s="125" t="str">
        <f>IFERROR(VLOOKUP(V529,TD!$N$33:$O$45,2,0)," ")</f>
        <v>Servicio de educación informal</v>
      </c>
      <c r="X529" s="127" t="str">
        <f>CONCATENATE(V529,"_",W529)</f>
        <v>002_Servicio de educación informal</v>
      </c>
      <c r="Y529" s="127" t="str">
        <f>CONCATENATE(U529," ",X529)</f>
        <v>07-Servicio de formación en gestión del riesgo de incendios para el personal UAECOB 002_Servicio de educación informal</v>
      </c>
      <c r="Z529" s="125" t="str">
        <f>CONCATENATE(P529,Q529,R529,S529,V529)</f>
        <v>O23011745032024025507002</v>
      </c>
      <c r="AA529" s="125" t="str">
        <f>IFERROR(VLOOKUP(Y529,TD!$K$46:$L$64,2,0)," ")</f>
        <v>PM/0131/0107/45030020255</v>
      </c>
      <c r="AB529" s="190" t="s">
        <v>138</v>
      </c>
      <c r="AC529" s="126" t="s">
        <v>204</v>
      </c>
    </row>
    <row r="530" spans="2:29" s="28" customFormat="1" ht="74.25" customHeight="1" x14ac:dyDescent="0.35">
      <c r="B530" s="77">
        <v>20250142</v>
      </c>
      <c r="C530" s="50" t="s">
        <v>209</v>
      </c>
      <c r="D530" s="123" t="s">
        <v>165</v>
      </c>
      <c r="E530" s="51" t="s">
        <v>510</v>
      </c>
      <c r="F530" s="123" t="s">
        <v>513</v>
      </c>
      <c r="G530" s="123" t="s">
        <v>133</v>
      </c>
      <c r="H530" s="97" t="s">
        <v>514</v>
      </c>
      <c r="I530" s="124">
        <v>3</v>
      </c>
      <c r="J530" s="124">
        <v>6</v>
      </c>
      <c r="K530" s="52">
        <v>0</v>
      </c>
      <c r="L530" s="53">
        <v>500000000</v>
      </c>
      <c r="M530" s="123" t="s">
        <v>484</v>
      </c>
      <c r="N530" s="53" t="s">
        <v>90</v>
      </c>
      <c r="O530" s="51" t="s">
        <v>229</v>
      </c>
      <c r="P530" s="125" t="str">
        <f>IFERROR(VLOOKUP(C530,TD!$B$32:$F$36,2,0)," ")</f>
        <v>O230117</v>
      </c>
      <c r="Q530" s="125" t="str">
        <f>IFERROR(VLOOKUP(C530,TD!$B$32:$F$36,3,0)," ")</f>
        <v>4503</v>
      </c>
      <c r="R530" s="125">
        <f>IFERROR(VLOOKUP(C530,TD!$B$32:$F$36,4,0)," ")</f>
        <v>20240255</v>
      </c>
      <c r="S530" s="51" t="s">
        <v>183</v>
      </c>
      <c r="T530" s="125" t="str">
        <f>IFERROR(VLOOKUP(S530,TD!$J$33:$K$43,2,0)," ")</f>
        <v>Servicio de formación en gestión del riesgo de incendios para el personal UAECOB</v>
      </c>
      <c r="U530" s="127" t="str">
        <f>CONCATENATE(S530,"-",T530)</f>
        <v>07-Servicio de formación en gestión del riesgo de incendios para el personal UAECOB</v>
      </c>
      <c r="V530" s="51" t="s">
        <v>233</v>
      </c>
      <c r="W530" s="125" t="str">
        <f>IFERROR(VLOOKUP(V530,TD!$N$33:$O$45,2,0)," ")</f>
        <v>Servicio de educación informal</v>
      </c>
      <c r="X530" s="127" t="str">
        <f>CONCATENATE(V530,"_",W530)</f>
        <v>002_Servicio de educación informal</v>
      </c>
      <c r="Y530" s="127" t="str">
        <f>CONCATENATE(U530," ",X530)</f>
        <v>07-Servicio de formación en gestión del riesgo de incendios para el personal UAECOB 002_Servicio de educación informal</v>
      </c>
      <c r="Z530" s="125" t="str">
        <f>CONCATENATE(P530,Q530,R530,S530,V530)</f>
        <v>O23011745032024025507002</v>
      </c>
      <c r="AA530" s="125" t="str">
        <f>IFERROR(VLOOKUP(Y530,TD!$K$46:$L$64,2,0)," ")</f>
        <v>PM/0131/0107/45030020255</v>
      </c>
      <c r="AB530" s="190" t="s">
        <v>138</v>
      </c>
      <c r="AC530" s="126" t="s">
        <v>204</v>
      </c>
    </row>
    <row r="531" spans="2:29" s="28" customFormat="1" ht="74.25" customHeight="1" x14ac:dyDescent="0.35">
      <c r="B531" s="77">
        <v>20250143</v>
      </c>
      <c r="C531" s="50" t="s">
        <v>209</v>
      </c>
      <c r="D531" s="123" t="s">
        <v>165</v>
      </c>
      <c r="E531" s="51" t="s">
        <v>510</v>
      </c>
      <c r="F531" s="123" t="s">
        <v>515</v>
      </c>
      <c r="G531" s="123" t="s">
        <v>133</v>
      </c>
      <c r="H531" s="97" t="s">
        <v>516</v>
      </c>
      <c r="I531" s="124">
        <v>3</v>
      </c>
      <c r="J531" s="124">
        <v>4</v>
      </c>
      <c r="K531" s="52">
        <v>0</v>
      </c>
      <c r="L531" s="53">
        <v>50000000</v>
      </c>
      <c r="M531" s="123" t="s">
        <v>484</v>
      </c>
      <c r="N531" s="53" t="s">
        <v>100</v>
      </c>
      <c r="O531" s="51" t="s">
        <v>229</v>
      </c>
      <c r="P531" s="125" t="str">
        <f>IFERROR(VLOOKUP(C531,TD!$B$32:$F$36,2,0)," ")</f>
        <v>O230117</v>
      </c>
      <c r="Q531" s="125" t="str">
        <f>IFERROR(VLOOKUP(C531,TD!$B$32:$F$36,3,0)," ")</f>
        <v>4503</v>
      </c>
      <c r="R531" s="125">
        <f>IFERROR(VLOOKUP(C531,TD!$B$32:$F$36,4,0)," ")</f>
        <v>20240255</v>
      </c>
      <c r="S531" s="51" t="s">
        <v>183</v>
      </c>
      <c r="T531" s="125" t="str">
        <f>IFERROR(VLOOKUP(S531,TD!$J$33:$K$43,2,0)," ")</f>
        <v>Servicio de formación en gestión del riesgo de incendios para el personal UAECOB</v>
      </c>
      <c r="U531" s="127" t="str">
        <f>CONCATENATE(S531,"-",T531)</f>
        <v>07-Servicio de formación en gestión del riesgo de incendios para el personal UAECOB</v>
      </c>
      <c r="V531" s="51" t="s">
        <v>233</v>
      </c>
      <c r="W531" s="125" t="str">
        <f>IFERROR(VLOOKUP(V531,TD!$N$33:$O$45,2,0)," ")</f>
        <v>Servicio de educación informal</v>
      </c>
      <c r="X531" s="127" t="str">
        <f>CONCATENATE(V531,"_",W531)</f>
        <v>002_Servicio de educación informal</v>
      </c>
      <c r="Y531" s="127" t="str">
        <f>CONCATENATE(U531," ",X531)</f>
        <v>07-Servicio de formación en gestión del riesgo de incendios para el personal UAECOB 002_Servicio de educación informal</v>
      </c>
      <c r="Z531" s="125" t="str">
        <f>CONCATENATE(P531,Q531,R531,S531,V531)</f>
        <v>O23011745032024025507002</v>
      </c>
      <c r="AA531" s="125" t="str">
        <f>IFERROR(VLOOKUP(Y531,TD!$K$46:$L$64,2,0)," ")</f>
        <v>PM/0131/0107/45030020255</v>
      </c>
      <c r="AB531" s="190" t="s">
        <v>138</v>
      </c>
      <c r="AC531" s="126" t="s">
        <v>204</v>
      </c>
    </row>
    <row r="532" spans="2:29" s="28" customFormat="1" ht="74.25" customHeight="1" x14ac:dyDescent="0.35">
      <c r="B532" s="77">
        <v>20250144</v>
      </c>
      <c r="C532" s="50" t="s">
        <v>209</v>
      </c>
      <c r="D532" s="123" t="s">
        <v>165</v>
      </c>
      <c r="E532" s="51" t="s">
        <v>510</v>
      </c>
      <c r="F532" s="123" t="s">
        <v>517</v>
      </c>
      <c r="G532" s="123" t="s">
        <v>133</v>
      </c>
      <c r="H532" s="97" t="s">
        <v>516</v>
      </c>
      <c r="I532" s="124">
        <v>3</v>
      </c>
      <c r="J532" s="124">
        <v>4</v>
      </c>
      <c r="K532" s="52">
        <v>0</v>
      </c>
      <c r="L532" s="53">
        <v>200000000</v>
      </c>
      <c r="M532" s="123" t="s">
        <v>484</v>
      </c>
      <c r="N532" s="53" t="s">
        <v>90</v>
      </c>
      <c r="O532" s="51" t="s">
        <v>229</v>
      </c>
      <c r="P532" s="125" t="str">
        <f>IFERROR(VLOOKUP(C532,TD!$B$32:$F$36,2,0)," ")</f>
        <v>O230117</v>
      </c>
      <c r="Q532" s="125" t="str">
        <f>IFERROR(VLOOKUP(C532,TD!$B$32:$F$36,3,0)," ")</f>
        <v>4503</v>
      </c>
      <c r="R532" s="125">
        <f>IFERROR(VLOOKUP(C532,TD!$B$32:$F$36,4,0)," ")</f>
        <v>20240255</v>
      </c>
      <c r="S532" s="51" t="s">
        <v>183</v>
      </c>
      <c r="T532" s="125" t="str">
        <f>IFERROR(VLOOKUP(S532,TD!$J$33:$K$43,2,0)," ")</f>
        <v>Servicio de formación en gestión del riesgo de incendios para el personal UAECOB</v>
      </c>
      <c r="U532" s="127" t="str">
        <f>CONCATENATE(S532,"-",T532)</f>
        <v>07-Servicio de formación en gestión del riesgo de incendios para el personal UAECOB</v>
      </c>
      <c r="V532" s="51" t="s">
        <v>233</v>
      </c>
      <c r="W532" s="125" t="str">
        <f>IFERROR(VLOOKUP(V532,TD!$N$33:$O$45,2,0)," ")</f>
        <v>Servicio de educación informal</v>
      </c>
      <c r="X532" s="127" t="str">
        <f>CONCATENATE(V532,"_",W532)</f>
        <v>002_Servicio de educación informal</v>
      </c>
      <c r="Y532" s="127" t="str">
        <f>CONCATENATE(U532," ",X532)</f>
        <v>07-Servicio de formación en gestión del riesgo de incendios para el personal UAECOB 002_Servicio de educación informal</v>
      </c>
      <c r="Z532" s="125" t="str">
        <f>CONCATENATE(P532,Q532,R532,S532,V532)</f>
        <v>O23011745032024025507002</v>
      </c>
      <c r="AA532" s="125" t="str">
        <f>IFERROR(VLOOKUP(Y532,TD!$K$46:$L$64,2,0)," ")</f>
        <v>PM/0131/0107/45030020255</v>
      </c>
      <c r="AB532" s="190" t="s">
        <v>138</v>
      </c>
      <c r="AC532" s="126" t="s">
        <v>204</v>
      </c>
    </row>
    <row r="533" spans="2:29" s="28" customFormat="1" ht="74.25" customHeight="1" x14ac:dyDescent="0.35">
      <c r="B533" s="77">
        <v>20250145</v>
      </c>
      <c r="C533" s="50" t="s">
        <v>209</v>
      </c>
      <c r="D533" s="123" t="s">
        <v>165</v>
      </c>
      <c r="E533" s="51" t="s">
        <v>510</v>
      </c>
      <c r="F533" s="123" t="s">
        <v>518</v>
      </c>
      <c r="G533" s="123" t="s">
        <v>109</v>
      </c>
      <c r="H533" s="97" t="s">
        <v>519</v>
      </c>
      <c r="I533" s="124">
        <v>3</v>
      </c>
      <c r="J533" s="124">
        <v>4</v>
      </c>
      <c r="K533" s="52">
        <v>0</v>
      </c>
      <c r="L533" s="53">
        <v>150000000</v>
      </c>
      <c r="M533" s="123" t="s">
        <v>484</v>
      </c>
      <c r="N533" s="53" t="s">
        <v>90</v>
      </c>
      <c r="O533" s="51" t="s">
        <v>229</v>
      </c>
      <c r="P533" s="125" t="str">
        <f>IFERROR(VLOOKUP(C533,TD!$B$32:$F$36,2,0)," ")</f>
        <v>O230117</v>
      </c>
      <c r="Q533" s="125" t="str">
        <f>IFERROR(VLOOKUP(C533,TD!$B$32:$F$36,3,0)," ")</f>
        <v>4503</v>
      </c>
      <c r="R533" s="125">
        <f>IFERROR(VLOOKUP(C533,TD!$B$32:$F$36,4,0)," ")</f>
        <v>20240255</v>
      </c>
      <c r="S533" s="51" t="s">
        <v>183</v>
      </c>
      <c r="T533" s="125" t="str">
        <f>IFERROR(VLOOKUP(S533,TD!$J$33:$K$43,2,0)," ")</f>
        <v>Servicio de formación en gestión del riesgo de incendios para el personal UAECOB</v>
      </c>
      <c r="U533" s="127" t="str">
        <f>CONCATENATE(S533,"-",T533)</f>
        <v>07-Servicio de formación en gestión del riesgo de incendios para el personal UAECOB</v>
      </c>
      <c r="V533" s="51" t="s">
        <v>233</v>
      </c>
      <c r="W533" s="125" t="str">
        <f>IFERROR(VLOOKUP(V533,TD!$N$33:$O$45,2,0)," ")</f>
        <v>Servicio de educación informal</v>
      </c>
      <c r="X533" s="127" t="str">
        <f>CONCATENATE(V533,"_",W533)</f>
        <v>002_Servicio de educación informal</v>
      </c>
      <c r="Y533" s="127" t="str">
        <f>CONCATENATE(U533," ",X533)</f>
        <v>07-Servicio de formación en gestión del riesgo de incendios para el personal UAECOB 002_Servicio de educación informal</v>
      </c>
      <c r="Z533" s="125" t="str">
        <f>CONCATENATE(P533,Q533,R533,S533,V533)</f>
        <v>O23011745032024025507002</v>
      </c>
      <c r="AA533" s="125" t="str">
        <f>IFERROR(VLOOKUP(Y533,TD!$K$46:$L$64,2,0)," ")</f>
        <v>PM/0131/0107/45030020255</v>
      </c>
      <c r="AB533" s="190" t="s">
        <v>138</v>
      </c>
      <c r="AC533" s="126" t="s">
        <v>204</v>
      </c>
    </row>
    <row r="534" spans="2:29" s="28" customFormat="1" ht="74.25" customHeight="1" x14ac:dyDescent="0.35">
      <c r="B534" s="77">
        <v>20250146</v>
      </c>
      <c r="C534" s="50" t="s">
        <v>209</v>
      </c>
      <c r="D534" s="123" t="s">
        <v>165</v>
      </c>
      <c r="E534" s="51" t="s">
        <v>510</v>
      </c>
      <c r="F534" s="123" t="s">
        <v>520</v>
      </c>
      <c r="G534" s="123" t="s">
        <v>109</v>
      </c>
      <c r="H534" s="97" t="s">
        <v>519</v>
      </c>
      <c r="I534" s="124">
        <v>3</v>
      </c>
      <c r="J534" s="124">
        <v>4</v>
      </c>
      <c r="K534" s="52">
        <v>0</v>
      </c>
      <c r="L534" s="53">
        <v>30000000</v>
      </c>
      <c r="M534" s="123" t="s">
        <v>484</v>
      </c>
      <c r="N534" s="53" t="s">
        <v>100</v>
      </c>
      <c r="O534" s="51" t="s">
        <v>229</v>
      </c>
      <c r="P534" s="125" t="str">
        <f>IFERROR(VLOOKUP(C534,TD!$B$32:$F$36,2,0)," ")</f>
        <v>O230117</v>
      </c>
      <c r="Q534" s="125" t="str">
        <f>IFERROR(VLOOKUP(C534,TD!$B$32:$F$36,3,0)," ")</f>
        <v>4503</v>
      </c>
      <c r="R534" s="125">
        <f>IFERROR(VLOOKUP(C534,TD!$B$32:$F$36,4,0)," ")</f>
        <v>20240255</v>
      </c>
      <c r="S534" s="51" t="s">
        <v>183</v>
      </c>
      <c r="T534" s="125" t="str">
        <f>IFERROR(VLOOKUP(S534,TD!$J$33:$K$43,2,0)," ")</f>
        <v>Servicio de formación en gestión del riesgo de incendios para el personal UAECOB</v>
      </c>
      <c r="U534" s="127" t="str">
        <f>CONCATENATE(S534,"-",T534)</f>
        <v>07-Servicio de formación en gestión del riesgo de incendios para el personal UAECOB</v>
      </c>
      <c r="V534" s="51" t="s">
        <v>233</v>
      </c>
      <c r="W534" s="125" t="str">
        <f>IFERROR(VLOOKUP(V534,TD!$N$33:$O$45,2,0)," ")</f>
        <v>Servicio de educación informal</v>
      </c>
      <c r="X534" s="127" t="str">
        <f>CONCATENATE(V534,"_",W534)</f>
        <v>002_Servicio de educación informal</v>
      </c>
      <c r="Y534" s="127" t="str">
        <f>CONCATENATE(U534," ",X534)</f>
        <v>07-Servicio de formación en gestión del riesgo de incendios para el personal UAECOB 002_Servicio de educación informal</v>
      </c>
      <c r="Z534" s="125" t="str">
        <f>CONCATENATE(P534,Q534,R534,S534,V534)</f>
        <v>O23011745032024025507002</v>
      </c>
      <c r="AA534" s="125" t="str">
        <f>IFERROR(VLOOKUP(Y534,TD!$K$46:$L$64,2,0)," ")</f>
        <v>PM/0131/0107/45030020255</v>
      </c>
      <c r="AB534" s="190" t="s">
        <v>138</v>
      </c>
      <c r="AC534" s="126" t="s">
        <v>204</v>
      </c>
    </row>
    <row r="535" spans="2:29" s="28" customFormat="1" ht="74.25" customHeight="1" x14ac:dyDescent="0.35">
      <c r="B535" s="77">
        <v>20250147</v>
      </c>
      <c r="C535" s="50" t="s">
        <v>209</v>
      </c>
      <c r="D535" s="123" t="s">
        <v>165</v>
      </c>
      <c r="E535" s="51" t="s">
        <v>510</v>
      </c>
      <c r="F535" s="123" t="s">
        <v>521</v>
      </c>
      <c r="G535" s="123" t="s">
        <v>109</v>
      </c>
      <c r="H535" s="97" t="s">
        <v>519</v>
      </c>
      <c r="I535" s="124">
        <v>3</v>
      </c>
      <c r="J535" s="124">
        <v>4</v>
      </c>
      <c r="K535" s="52">
        <v>0</v>
      </c>
      <c r="L535" s="53">
        <v>30000000</v>
      </c>
      <c r="M535" s="123" t="s">
        <v>484</v>
      </c>
      <c r="N535" s="53" t="s">
        <v>100</v>
      </c>
      <c r="O535" s="51" t="s">
        <v>229</v>
      </c>
      <c r="P535" s="125" t="str">
        <f>IFERROR(VLOOKUP(C535,TD!$B$32:$F$36,2,0)," ")</f>
        <v>O230117</v>
      </c>
      <c r="Q535" s="125" t="str">
        <f>IFERROR(VLOOKUP(C535,TD!$B$32:$F$36,3,0)," ")</f>
        <v>4503</v>
      </c>
      <c r="R535" s="125">
        <f>IFERROR(VLOOKUP(C535,TD!$B$32:$F$36,4,0)," ")</f>
        <v>20240255</v>
      </c>
      <c r="S535" s="51" t="s">
        <v>183</v>
      </c>
      <c r="T535" s="125" t="str">
        <f>IFERROR(VLOOKUP(S535,TD!$J$33:$K$43,2,0)," ")</f>
        <v>Servicio de formación en gestión del riesgo de incendios para el personal UAECOB</v>
      </c>
      <c r="U535" s="127" t="str">
        <f>CONCATENATE(S535,"-",T535)</f>
        <v>07-Servicio de formación en gestión del riesgo de incendios para el personal UAECOB</v>
      </c>
      <c r="V535" s="51" t="s">
        <v>233</v>
      </c>
      <c r="W535" s="125" t="str">
        <f>IFERROR(VLOOKUP(V535,TD!$N$33:$O$45,2,0)," ")</f>
        <v>Servicio de educación informal</v>
      </c>
      <c r="X535" s="127" t="str">
        <f>CONCATENATE(V535,"_",W535)</f>
        <v>002_Servicio de educación informal</v>
      </c>
      <c r="Y535" s="127" t="str">
        <f>CONCATENATE(U535," ",X535)</f>
        <v>07-Servicio de formación en gestión del riesgo de incendios para el personal UAECOB 002_Servicio de educación informal</v>
      </c>
      <c r="Z535" s="125" t="str">
        <f>CONCATENATE(P535,Q535,R535,S535,V535)</f>
        <v>O23011745032024025507002</v>
      </c>
      <c r="AA535" s="125" t="str">
        <f>IFERROR(VLOOKUP(Y535,TD!$K$46:$L$64,2,0)," ")</f>
        <v>PM/0131/0107/45030020255</v>
      </c>
      <c r="AB535" s="190" t="s">
        <v>138</v>
      </c>
      <c r="AC535" s="126" t="s">
        <v>204</v>
      </c>
    </row>
    <row r="536" spans="2:29" s="28" customFormat="1" ht="74.25" customHeight="1" x14ac:dyDescent="0.35">
      <c r="B536" s="77">
        <v>20250148</v>
      </c>
      <c r="C536" s="50" t="s">
        <v>209</v>
      </c>
      <c r="D536" s="123" t="s">
        <v>165</v>
      </c>
      <c r="E536" s="51" t="s">
        <v>510</v>
      </c>
      <c r="F536" s="123" t="s">
        <v>522</v>
      </c>
      <c r="G536" s="123" t="s">
        <v>119</v>
      </c>
      <c r="H536" s="97" t="s">
        <v>523</v>
      </c>
      <c r="I536" s="124">
        <v>3</v>
      </c>
      <c r="J536" s="124">
        <v>4</v>
      </c>
      <c r="K536" s="52">
        <v>0</v>
      </c>
      <c r="L536" s="53">
        <v>80000000</v>
      </c>
      <c r="M536" s="123" t="s">
        <v>484</v>
      </c>
      <c r="N536" s="53" t="s">
        <v>90</v>
      </c>
      <c r="O536" s="51" t="s">
        <v>229</v>
      </c>
      <c r="P536" s="125" t="str">
        <f>IFERROR(VLOOKUP(C536,TD!$B$32:$F$36,2,0)," ")</f>
        <v>O230117</v>
      </c>
      <c r="Q536" s="125" t="str">
        <f>IFERROR(VLOOKUP(C536,TD!$B$32:$F$36,3,0)," ")</f>
        <v>4503</v>
      </c>
      <c r="R536" s="125">
        <f>IFERROR(VLOOKUP(C536,TD!$B$32:$F$36,4,0)," ")</f>
        <v>20240255</v>
      </c>
      <c r="S536" s="51" t="s">
        <v>183</v>
      </c>
      <c r="T536" s="125" t="str">
        <f>IFERROR(VLOOKUP(S536,TD!$J$33:$K$43,2,0)," ")</f>
        <v>Servicio de formación en gestión del riesgo de incendios para el personal UAECOB</v>
      </c>
      <c r="U536" s="127" t="str">
        <f>CONCATENATE(S536,"-",T536)</f>
        <v>07-Servicio de formación en gestión del riesgo de incendios para el personal UAECOB</v>
      </c>
      <c r="V536" s="51" t="s">
        <v>233</v>
      </c>
      <c r="W536" s="125" t="str">
        <f>IFERROR(VLOOKUP(V536,TD!$N$33:$O$45,2,0)," ")</f>
        <v>Servicio de educación informal</v>
      </c>
      <c r="X536" s="127" t="str">
        <f>CONCATENATE(V536,"_",W536)</f>
        <v>002_Servicio de educación informal</v>
      </c>
      <c r="Y536" s="127" t="str">
        <f>CONCATENATE(U536," ",X536)</f>
        <v>07-Servicio de formación en gestión del riesgo de incendios para el personal UAECOB 002_Servicio de educación informal</v>
      </c>
      <c r="Z536" s="125" t="str">
        <f>CONCATENATE(P536,Q536,R536,S536,V536)</f>
        <v>O23011745032024025507002</v>
      </c>
      <c r="AA536" s="125" t="str">
        <f>IFERROR(VLOOKUP(Y536,TD!$K$46:$L$64,2,0)," ")</f>
        <v>PM/0131/0107/45030020255</v>
      </c>
      <c r="AB536" s="190" t="s">
        <v>138</v>
      </c>
      <c r="AC536" s="126" t="s">
        <v>204</v>
      </c>
    </row>
    <row r="537" spans="2:29" s="28" customFormat="1" ht="74.25" customHeight="1" x14ac:dyDescent="0.35">
      <c r="B537" s="77">
        <v>20250149</v>
      </c>
      <c r="C537" s="50" t="s">
        <v>209</v>
      </c>
      <c r="D537" s="123" t="s">
        <v>165</v>
      </c>
      <c r="E537" s="51" t="s">
        <v>510</v>
      </c>
      <c r="F537" s="123" t="s">
        <v>524</v>
      </c>
      <c r="G537" s="123" t="s">
        <v>133</v>
      </c>
      <c r="H537" s="97" t="s">
        <v>525</v>
      </c>
      <c r="I537" s="124">
        <v>3</v>
      </c>
      <c r="J537" s="124">
        <v>4</v>
      </c>
      <c r="K537" s="52">
        <v>0</v>
      </c>
      <c r="L537" s="53">
        <v>150000000</v>
      </c>
      <c r="M537" s="123" t="s">
        <v>484</v>
      </c>
      <c r="N537" s="53" t="s">
        <v>90</v>
      </c>
      <c r="O537" s="51" t="s">
        <v>229</v>
      </c>
      <c r="P537" s="125" t="str">
        <f>IFERROR(VLOOKUP(C537,TD!$B$32:$F$36,2,0)," ")</f>
        <v>O230117</v>
      </c>
      <c r="Q537" s="125" t="str">
        <f>IFERROR(VLOOKUP(C537,TD!$B$32:$F$36,3,0)," ")</f>
        <v>4503</v>
      </c>
      <c r="R537" s="125">
        <f>IFERROR(VLOOKUP(C537,TD!$B$32:$F$36,4,0)," ")</f>
        <v>20240255</v>
      </c>
      <c r="S537" s="51" t="s">
        <v>183</v>
      </c>
      <c r="T537" s="125" t="str">
        <f>IFERROR(VLOOKUP(S537,TD!$J$33:$K$43,2,0)," ")</f>
        <v>Servicio de formación en gestión del riesgo de incendios para el personal UAECOB</v>
      </c>
      <c r="U537" s="127" t="str">
        <f>CONCATENATE(S537,"-",T537)</f>
        <v>07-Servicio de formación en gestión del riesgo de incendios para el personal UAECOB</v>
      </c>
      <c r="V537" s="51" t="s">
        <v>233</v>
      </c>
      <c r="W537" s="125" t="str">
        <f>IFERROR(VLOOKUP(V537,TD!$N$33:$O$45,2,0)," ")</f>
        <v>Servicio de educación informal</v>
      </c>
      <c r="X537" s="127" t="str">
        <f>CONCATENATE(V537,"_",W537)</f>
        <v>002_Servicio de educación informal</v>
      </c>
      <c r="Y537" s="127" t="str">
        <f>CONCATENATE(U537," ",X537)</f>
        <v>07-Servicio de formación en gestión del riesgo de incendios para el personal UAECOB 002_Servicio de educación informal</v>
      </c>
      <c r="Z537" s="125" t="str">
        <f>CONCATENATE(P537,Q537,R537,S537,V537)</f>
        <v>O23011745032024025507002</v>
      </c>
      <c r="AA537" s="125" t="str">
        <f>IFERROR(VLOOKUP(Y537,TD!$K$46:$L$64,2,0)," ")</f>
        <v>PM/0131/0107/45030020255</v>
      </c>
      <c r="AB537" s="190" t="s">
        <v>138</v>
      </c>
      <c r="AC537" s="126" t="s">
        <v>204</v>
      </c>
    </row>
    <row r="538" spans="2:29" s="28" customFormat="1" ht="74.25" customHeight="1" x14ac:dyDescent="0.35">
      <c r="B538" s="77">
        <v>20250150</v>
      </c>
      <c r="C538" s="50" t="s">
        <v>209</v>
      </c>
      <c r="D538" s="123" t="s">
        <v>165</v>
      </c>
      <c r="E538" s="51" t="s">
        <v>510</v>
      </c>
      <c r="F538" s="123" t="s">
        <v>394</v>
      </c>
      <c r="G538" s="123" t="s">
        <v>96</v>
      </c>
      <c r="H538" s="97">
        <v>90121800</v>
      </c>
      <c r="I538" s="124">
        <v>2</v>
      </c>
      <c r="J538" s="124">
        <v>11</v>
      </c>
      <c r="K538" s="52">
        <v>0</v>
      </c>
      <c r="L538" s="53">
        <v>50000000</v>
      </c>
      <c r="M538" s="123" t="s">
        <v>484</v>
      </c>
      <c r="N538" s="53" t="s">
        <v>113</v>
      </c>
      <c r="O538" s="51" t="s">
        <v>229</v>
      </c>
      <c r="P538" s="125" t="str">
        <f>IFERROR(VLOOKUP(C538,TD!$B$32:$F$36,2,0)," ")</f>
        <v>O230117</v>
      </c>
      <c r="Q538" s="125" t="str">
        <f>IFERROR(VLOOKUP(C538,TD!$B$32:$F$36,3,0)," ")</f>
        <v>4503</v>
      </c>
      <c r="R538" s="125">
        <f>IFERROR(VLOOKUP(C538,TD!$B$32:$F$36,4,0)," ")</f>
        <v>20240255</v>
      </c>
      <c r="S538" s="51" t="s">
        <v>183</v>
      </c>
      <c r="T538" s="125" t="str">
        <f>IFERROR(VLOOKUP(S538,TD!$J$33:$K$43,2,0)," ")</f>
        <v>Servicio de formación en gestión del riesgo de incendios para el personal UAECOB</v>
      </c>
      <c r="U538" s="127" t="str">
        <f>CONCATENATE(S538,"-",T538)</f>
        <v>07-Servicio de formación en gestión del riesgo de incendios para el personal UAECOB</v>
      </c>
      <c r="V538" s="51" t="s">
        <v>233</v>
      </c>
      <c r="W538" s="125" t="str">
        <f>IFERROR(VLOOKUP(V538,TD!$N$33:$O$45,2,0)," ")</f>
        <v>Servicio de educación informal</v>
      </c>
      <c r="X538" s="127" t="str">
        <f>CONCATENATE(V538,"_",W538)</f>
        <v>002_Servicio de educación informal</v>
      </c>
      <c r="Y538" s="127" t="str">
        <f>CONCATENATE(U538," ",X538)</f>
        <v>07-Servicio de formación en gestión del riesgo de incendios para el personal UAECOB 002_Servicio de educación informal</v>
      </c>
      <c r="Z538" s="125" t="str">
        <f>CONCATENATE(P538,Q538,R538,S538,V538)</f>
        <v>O23011745032024025507002</v>
      </c>
      <c r="AA538" s="125" t="str">
        <f>IFERROR(VLOOKUP(Y538,TD!$K$46:$L$64,2,0)," ")</f>
        <v>PM/0131/0107/45030020255</v>
      </c>
      <c r="AB538" s="190" t="s">
        <v>138</v>
      </c>
      <c r="AC538" s="126" t="s">
        <v>204</v>
      </c>
    </row>
    <row r="539" spans="2:29" s="28" customFormat="1" ht="74.25" customHeight="1" x14ac:dyDescent="0.35">
      <c r="B539" s="77">
        <v>20250151</v>
      </c>
      <c r="C539" s="50" t="s">
        <v>209</v>
      </c>
      <c r="D539" s="123" t="s">
        <v>165</v>
      </c>
      <c r="E539" s="51" t="s">
        <v>510</v>
      </c>
      <c r="F539" s="123" t="s">
        <v>393</v>
      </c>
      <c r="G539" s="123" t="s">
        <v>96</v>
      </c>
      <c r="H539" s="97">
        <v>90121800</v>
      </c>
      <c r="I539" s="124">
        <v>2</v>
      </c>
      <c r="J539" s="124">
        <v>11</v>
      </c>
      <c r="K539" s="52">
        <v>0</v>
      </c>
      <c r="L539" s="53">
        <v>150000000</v>
      </c>
      <c r="M539" s="123" t="s">
        <v>484</v>
      </c>
      <c r="N539" s="53" t="s">
        <v>113</v>
      </c>
      <c r="O539" s="51" t="s">
        <v>229</v>
      </c>
      <c r="P539" s="125" t="str">
        <f>IFERROR(VLOOKUP(C539,TD!$B$32:$F$36,2,0)," ")</f>
        <v>O230117</v>
      </c>
      <c r="Q539" s="125" t="str">
        <f>IFERROR(VLOOKUP(C539,TD!$B$32:$F$36,3,0)," ")</f>
        <v>4503</v>
      </c>
      <c r="R539" s="125">
        <f>IFERROR(VLOOKUP(C539,TD!$B$32:$F$36,4,0)," ")</f>
        <v>20240255</v>
      </c>
      <c r="S539" s="51" t="s">
        <v>183</v>
      </c>
      <c r="T539" s="125" t="str">
        <f>IFERROR(VLOOKUP(S539,TD!$J$33:$K$43,2,0)," ")</f>
        <v>Servicio de formación en gestión del riesgo de incendios para el personal UAECOB</v>
      </c>
      <c r="U539" s="127" t="str">
        <f>CONCATENATE(S539,"-",T539)</f>
        <v>07-Servicio de formación en gestión del riesgo de incendios para el personal UAECOB</v>
      </c>
      <c r="V539" s="51" t="s">
        <v>233</v>
      </c>
      <c r="W539" s="125" t="str">
        <f>IFERROR(VLOOKUP(V539,TD!$N$33:$O$45,2,0)," ")</f>
        <v>Servicio de educación informal</v>
      </c>
      <c r="X539" s="127" t="str">
        <f>CONCATENATE(V539,"_",W539)</f>
        <v>002_Servicio de educación informal</v>
      </c>
      <c r="Y539" s="127" t="str">
        <f>CONCATENATE(U539," ",X539)</f>
        <v>07-Servicio de formación en gestión del riesgo de incendios para el personal UAECOB 002_Servicio de educación informal</v>
      </c>
      <c r="Z539" s="125" t="str">
        <f>CONCATENATE(P539,Q539,R539,S539,V539)</f>
        <v>O23011745032024025507002</v>
      </c>
      <c r="AA539" s="125" t="str">
        <f>IFERROR(VLOOKUP(Y539,TD!$K$46:$L$64,2,0)," ")</f>
        <v>PM/0131/0107/45030020255</v>
      </c>
      <c r="AB539" s="190" t="s">
        <v>138</v>
      </c>
      <c r="AC539" s="126" t="s">
        <v>204</v>
      </c>
    </row>
    <row r="540" spans="2:29" s="28" customFormat="1" ht="74.25" customHeight="1" x14ac:dyDescent="0.35">
      <c r="B540" s="77">
        <v>20250152</v>
      </c>
      <c r="C540" s="50" t="s">
        <v>346</v>
      </c>
      <c r="D540" s="123" t="s">
        <v>165</v>
      </c>
      <c r="E540" s="51" t="s">
        <v>510</v>
      </c>
      <c r="F540" s="123" t="s">
        <v>427</v>
      </c>
      <c r="G540" s="123" t="s">
        <v>96</v>
      </c>
      <c r="H540" s="97" t="s">
        <v>428</v>
      </c>
      <c r="I540" s="124">
        <v>3</v>
      </c>
      <c r="J540" s="124">
        <v>9</v>
      </c>
      <c r="K540" s="52">
        <v>0</v>
      </c>
      <c r="L540" s="53">
        <v>302388000</v>
      </c>
      <c r="M540" s="123" t="s">
        <v>172</v>
      </c>
      <c r="N540" s="53" t="s">
        <v>90</v>
      </c>
      <c r="O540" s="51" t="s">
        <v>347</v>
      </c>
      <c r="P540" s="125" t="str">
        <f>IFERROR(VLOOKUP(C540,TD!$B$32:$F$36,2,0)," ")</f>
        <v>NA</v>
      </c>
      <c r="Q540" s="125" t="str">
        <f>IFERROR(VLOOKUP(C540,TD!$B$32:$F$36,3,0)," ")</f>
        <v>NA</v>
      </c>
      <c r="R540" s="125" t="str">
        <f>IFERROR(VLOOKUP(C540,TD!$B$32:$F$36,4,0)," ")</f>
        <v>NA</v>
      </c>
      <c r="S540" s="51" t="s">
        <v>409</v>
      </c>
      <c r="T540" s="125" t="str">
        <f>IFERROR(VLOOKUP(S540,TD!$J$33:$K$43,2,0)," ")</f>
        <v>N/A</v>
      </c>
      <c r="U540" s="127" t="str">
        <f>CONCATENATE(S540,"-",T540)</f>
        <v>N/A-N/A</v>
      </c>
      <c r="V540" s="51" t="s">
        <v>409</v>
      </c>
      <c r="W540" s="125" t="str">
        <f>IFERROR(VLOOKUP(V540,TD!$N$33:$O$45,2,0)," ")</f>
        <v>N/A</v>
      </c>
      <c r="X540" s="127" t="str">
        <f>CONCATENATE(V540,"_",W540)</f>
        <v>N/A_N/A</v>
      </c>
      <c r="Y540" s="127" t="str">
        <f>CONCATENATE(U540," ",X540)</f>
        <v>N/A-N/A N/A_N/A</v>
      </c>
      <c r="Z540" s="125" t="str">
        <f>CONCATENATE(P540,Q540,R540,S540,V540)</f>
        <v>NANANAN/AN/A</v>
      </c>
      <c r="AA540" s="125" t="str">
        <f>IFERROR(VLOOKUP(Y540,TD!$K$46:$L$64,2,0)," ")</f>
        <v>N/A</v>
      </c>
      <c r="AB540" s="190" t="s">
        <v>348</v>
      </c>
      <c r="AC540" s="126" t="s">
        <v>204</v>
      </c>
    </row>
    <row r="541" spans="2:29" s="28" customFormat="1" ht="74.25" customHeight="1" x14ac:dyDescent="0.35">
      <c r="B541" s="77">
        <v>20250153</v>
      </c>
      <c r="C541" s="50" t="s">
        <v>346</v>
      </c>
      <c r="D541" s="123" t="s">
        <v>165</v>
      </c>
      <c r="E541" s="51" t="s">
        <v>510</v>
      </c>
      <c r="F541" s="123" t="s">
        <v>526</v>
      </c>
      <c r="G541" s="123" t="s">
        <v>137</v>
      </c>
      <c r="H541" s="97" t="s">
        <v>409</v>
      </c>
      <c r="I541" s="124">
        <v>9</v>
      </c>
      <c r="J541" s="124">
        <v>9</v>
      </c>
      <c r="K541" s="52">
        <v>0</v>
      </c>
      <c r="L541" s="53">
        <v>179741000</v>
      </c>
      <c r="M541" s="123" t="s">
        <v>172</v>
      </c>
      <c r="N541" s="53" t="s">
        <v>128</v>
      </c>
      <c r="O541" s="51" t="s">
        <v>347</v>
      </c>
      <c r="P541" s="125" t="str">
        <f>IFERROR(VLOOKUP(C541,TD!$B$32:$F$36,2,0)," ")</f>
        <v>NA</v>
      </c>
      <c r="Q541" s="125" t="str">
        <f>IFERROR(VLOOKUP(C541,TD!$B$32:$F$36,3,0)," ")</f>
        <v>NA</v>
      </c>
      <c r="R541" s="125" t="str">
        <f>IFERROR(VLOOKUP(C541,TD!$B$32:$F$36,4,0)," ")</f>
        <v>NA</v>
      </c>
      <c r="S541" s="51" t="s">
        <v>409</v>
      </c>
      <c r="T541" s="125" t="str">
        <f>IFERROR(VLOOKUP(S541,TD!$J$33:$K$43,2,0)," ")</f>
        <v>N/A</v>
      </c>
      <c r="U541" s="127" t="str">
        <f>CONCATENATE(S541,"-",T541)</f>
        <v>N/A-N/A</v>
      </c>
      <c r="V541" s="51" t="s">
        <v>409</v>
      </c>
      <c r="W541" s="125" t="str">
        <f>IFERROR(VLOOKUP(V541,TD!$N$33:$O$45,2,0)," ")</f>
        <v>N/A</v>
      </c>
      <c r="X541" s="127" t="str">
        <f>CONCATENATE(V541,"_",W541)</f>
        <v>N/A_N/A</v>
      </c>
      <c r="Y541" s="127" t="str">
        <f>CONCATENATE(U541," ",X541)</f>
        <v>N/A-N/A N/A_N/A</v>
      </c>
      <c r="Z541" s="125" t="str">
        <f>CONCATENATE(P541,Q541,R541,S541,V541)</f>
        <v>NANANAN/AN/A</v>
      </c>
      <c r="AA541" s="125" t="str">
        <f>IFERROR(VLOOKUP(Y541,TD!$K$46:$L$64,2,0)," ")</f>
        <v>N/A</v>
      </c>
      <c r="AB541" s="190" t="s">
        <v>348</v>
      </c>
      <c r="AC541" s="126" t="s">
        <v>204</v>
      </c>
    </row>
    <row r="542" spans="2:29" s="28" customFormat="1" ht="74.25" customHeight="1" x14ac:dyDescent="0.35">
      <c r="B542" s="77">
        <v>20250154</v>
      </c>
      <c r="C542" s="50" t="s">
        <v>346</v>
      </c>
      <c r="D542" s="123" t="s">
        <v>165</v>
      </c>
      <c r="E542" s="51" t="s">
        <v>510</v>
      </c>
      <c r="F542" s="123" t="s">
        <v>527</v>
      </c>
      <c r="G542" s="123" t="s">
        <v>96</v>
      </c>
      <c r="H542" s="97" t="s">
        <v>455</v>
      </c>
      <c r="I542" s="124">
        <v>3</v>
      </c>
      <c r="J542" s="124">
        <v>8</v>
      </c>
      <c r="K542" s="52">
        <v>0</v>
      </c>
      <c r="L542" s="53">
        <v>1620259000</v>
      </c>
      <c r="M542" s="123" t="s">
        <v>172</v>
      </c>
      <c r="N542" s="53" t="s">
        <v>113</v>
      </c>
      <c r="O542" s="51" t="s">
        <v>347</v>
      </c>
      <c r="P542" s="125" t="str">
        <f>IFERROR(VLOOKUP(C542,TD!$B$32:$F$36,2,0)," ")</f>
        <v>NA</v>
      </c>
      <c r="Q542" s="125" t="str">
        <f>IFERROR(VLOOKUP(C542,TD!$B$32:$F$36,3,0)," ")</f>
        <v>NA</v>
      </c>
      <c r="R542" s="125" t="str">
        <f>IFERROR(VLOOKUP(C542,TD!$B$32:$F$36,4,0)," ")</f>
        <v>NA</v>
      </c>
      <c r="S542" s="51" t="s">
        <v>409</v>
      </c>
      <c r="T542" s="125" t="str">
        <f>IFERROR(VLOOKUP(S542,TD!$J$33:$K$43,2,0)," ")</f>
        <v>N/A</v>
      </c>
      <c r="U542" s="127" t="str">
        <f>CONCATENATE(S542,"-",T542)</f>
        <v>N/A-N/A</v>
      </c>
      <c r="V542" s="51" t="s">
        <v>409</v>
      </c>
      <c r="W542" s="125" t="str">
        <f>IFERROR(VLOOKUP(V542,TD!$N$33:$O$45,2,0)," ")</f>
        <v>N/A</v>
      </c>
      <c r="X542" s="127" t="str">
        <f>CONCATENATE(V542,"_",W542)</f>
        <v>N/A_N/A</v>
      </c>
      <c r="Y542" s="127" t="str">
        <f>CONCATENATE(U542," ",X542)</f>
        <v>N/A-N/A N/A_N/A</v>
      </c>
      <c r="Z542" s="125" t="str">
        <f>CONCATENATE(P542,Q542,R542,S542,V542)</f>
        <v>NANANAN/AN/A</v>
      </c>
      <c r="AA542" s="125" t="str">
        <f>IFERROR(VLOOKUP(Y542,TD!$K$46:$L$64,2,0)," ")</f>
        <v>N/A</v>
      </c>
      <c r="AB542" s="190" t="s">
        <v>348</v>
      </c>
      <c r="AC542" s="126" t="s">
        <v>204</v>
      </c>
    </row>
    <row r="543" spans="2:29" s="28" customFormat="1" ht="74.25" customHeight="1" x14ac:dyDescent="0.35">
      <c r="B543" s="77">
        <v>20250155</v>
      </c>
      <c r="C543" s="50" t="s">
        <v>346</v>
      </c>
      <c r="D543" s="123" t="s">
        <v>165</v>
      </c>
      <c r="E543" s="51" t="s">
        <v>510</v>
      </c>
      <c r="F543" s="123" t="s">
        <v>528</v>
      </c>
      <c r="G543" s="123" t="s">
        <v>96</v>
      </c>
      <c r="H543" s="97" t="s">
        <v>429</v>
      </c>
      <c r="I543" s="124">
        <v>3</v>
      </c>
      <c r="J543" s="124">
        <v>4</v>
      </c>
      <c r="K543" s="52">
        <v>0</v>
      </c>
      <c r="L543" s="53">
        <v>61199000</v>
      </c>
      <c r="M543" s="123" t="s">
        <v>172</v>
      </c>
      <c r="N543" s="53" t="s">
        <v>90</v>
      </c>
      <c r="O543" s="51" t="s">
        <v>347</v>
      </c>
      <c r="P543" s="125" t="str">
        <f>IFERROR(VLOOKUP(C543,TD!$B$32:$F$36,2,0)," ")</f>
        <v>NA</v>
      </c>
      <c r="Q543" s="125" t="str">
        <f>IFERROR(VLOOKUP(C543,TD!$B$32:$F$36,3,0)," ")</f>
        <v>NA</v>
      </c>
      <c r="R543" s="125" t="str">
        <f>IFERROR(VLOOKUP(C543,TD!$B$32:$F$36,4,0)," ")</f>
        <v>NA</v>
      </c>
      <c r="S543" s="51" t="s">
        <v>409</v>
      </c>
      <c r="T543" s="125" t="str">
        <f>IFERROR(VLOOKUP(S543,TD!$J$33:$K$43,2,0)," ")</f>
        <v>N/A</v>
      </c>
      <c r="U543" s="127" t="str">
        <f>CONCATENATE(S543,"-",T543)</f>
        <v>N/A-N/A</v>
      </c>
      <c r="V543" s="51" t="s">
        <v>409</v>
      </c>
      <c r="W543" s="125" t="str">
        <f>IFERROR(VLOOKUP(V543,TD!$N$33:$O$45,2,0)," ")</f>
        <v>N/A</v>
      </c>
      <c r="X543" s="127" t="str">
        <f>CONCATENATE(V543,"_",W543)</f>
        <v>N/A_N/A</v>
      </c>
      <c r="Y543" s="127" t="str">
        <f>CONCATENATE(U543," ",X543)</f>
        <v>N/A-N/A N/A_N/A</v>
      </c>
      <c r="Z543" s="125" t="str">
        <f>CONCATENATE(P543,Q543,R543,S543,V543)</f>
        <v>NANANAN/AN/A</v>
      </c>
      <c r="AA543" s="125" t="str">
        <f>IFERROR(VLOOKUP(Y543,TD!$K$46:$L$64,2,0)," ")</f>
        <v>N/A</v>
      </c>
      <c r="AB543" s="190" t="s">
        <v>348</v>
      </c>
      <c r="AC543" s="126" t="s">
        <v>204</v>
      </c>
    </row>
    <row r="544" spans="2:29" s="28" customFormat="1" ht="74.25" customHeight="1" x14ac:dyDescent="0.35">
      <c r="B544" s="77">
        <v>20250156</v>
      </c>
      <c r="C544" s="50" t="s">
        <v>209</v>
      </c>
      <c r="D544" s="123" t="s">
        <v>168</v>
      </c>
      <c r="E544" s="51" t="s">
        <v>692</v>
      </c>
      <c r="F544" s="123" t="s">
        <v>529</v>
      </c>
      <c r="G544" s="123" t="s">
        <v>96</v>
      </c>
      <c r="H544" s="97">
        <v>25172500</v>
      </c>
      <c r="I544" s="124">
        <v>2</v>
      </c>
      <c r="J544" s="124">
        <v>12</v>
      </c>
      <c r="K544" s="52">
        <v>0</v>
      </c>
      <c r="L544" s="53">
        <v>150000000</v>
      </c>
      <c r="M544" s="123" t="s">
        <v>484</v>
      </c>
      <c r="N544" s="53" t="s">
        <v>95</v>
      </c>
      <c r="O544" s="51" t="s">
        <v>224</v>
      </c>
      <c r="P544" s="125" t="str">
        <f>IFERROR(VLOOKUP(C544,TD!$B$32:$F$36,2,0)," ")</f>
        <v>O230117</v>
      </c>
      <c r="Q544" s="125" t="str">
        <f>IFERROR(VLOOKUP(C544,TD!$B$32:$F$36,3,0)," ")</f>
        <v>4503</v>
      </c>
      <c r="R544" s="125">
        <f>IFERROR(VLOOKUP(C544,TD!$B$32:$F$36,4,0)," ")</f>
        <v>20240255</v>
      </c>
      <c r="S544" s="51" t="s">
        <v>187</v>
      </c>
      <c r="T544" s="125" t="str">
        <f>IFERROR(VLOOKUP(S544,TD!$J$33:$K$43,2,0)," ")</f>
        <v>Servicio de mantenimiento, dotación (HEA´s y equipo menor) y adquisición de vehiculos   especializados para la atención de emergencias.</v>
      </c>
      <c r="U544" s="127" t="str">
        <f>CONCATENATE(S544,"-",T544)</f>
        <v>09-Servicio de mantenimiento, dotación (HEA´s y equipo menor) y adquisición de vehiculos   especializados para la atención de emergencias.</v>
      </c>
      <c r="V544" s="51" t="s">
        <v>232</v>
      </c>
      <c r="W544" s="125" t="str">
        <f>IFERROR(VLOOKUP(V544,TD!$N$33:$O$45,2,0)," ")</f>
        <v>Servicio de atención a emergencias y desastres</v>
      </c>
      <c r="X544" s="127" t="str">
        <f>CONCATENATE(V544,"_",W544)</f>
        <v>004_Servicio de atención a emergencias y desastres</v>
      </c>
      <c r="Y544" s="127" t="str">
        <f>CONCATENATE(U544," ",X544)</f>
        <v>09-Servicio de mantenimiento, dotación (HEA´s y equipo menor) y adquisición de vehiculos   especializados para la atención de emergencias. 004_Servicio de atención a emergencias y desastres</v>
      </c>
      <c r="Z544" s="125" t="str">
        <f>CONCATENATE(P544,Q544,R544,S544,V544)</f>
        <v>O23011745032024025509004</v>
      </c>
      <c r="AA544" s="125" t="str">
        <f>IFERROR(VLOOKUP(Y544,TD!$K$46:$L$64,2,0)," ")</f>
        <v>PM/0131/0109/45030040255</v>
      </c>
      <c r="AB544" s="53" t="s">
        <v>87</v>
      </c>
      <c r="AC544" s="126" t="s">
        <v>204</v>
      </c>
    </row>
    <row r="545" spans="2:29" s="28" customFormat="1" ht="74.25" customHeight="1" x14ac:dyDescent="0.35">
      <c r="B545" s="77">
        <v>20250158</v>
      </c>
      <c r="C545" s="50" t="s">
        <v>209</v>
      </c>
      <c r="D545" s="123" t="s">
        <v>168</v>
      </c>
      <c r="E545" s="51" t="s">
        <v>692</v>
      </c>
      <c r="F545" s="123" t="s">
        <v>531</v>
      </c>
      <c r="G545" s="123" t="s">
        <v>146</v>
      </c>
      <c r="H545" s="97">
        <v>78181500</v>
      </c>
      <c r="I545" s="124">
        <v>4</v>
      </c>
      <c r="J545" s="124">
        <v>12</v>
      </c>
      <c r="K545" s="52">
        <v>0</v>
      </c>
      <c r="L545" s="53">
        <v>4950000000</v>
      </c>
      <c r="M545" s="123" t="s">
        <v>484</v>
      </c>
      <c r="N545" s="53" t="s">
        <v>85</v>
      </c>
      <c r="O545" s="51" t="s">
        <v>224</v>
      </c>
      <c r="P545" s="125" t="str">
        <f>IFERROR(VLOOKUP(C545,TD!$B$32:$F$36,2,0)," ")</f>
        <v>O230117</v>
      </c>
      <c r="Q545" s="125" t="str">
        <f>IFERROR(VLOOKUP(C545,TD!$B$32:$F$36,3,0)," ")</f>
        <v>4503</v>
      </c>
      <c r="R545" s="125">
        <f>IFERROR(VLOOKUP(C545,TD!$B$32:$F$36,4,0)," ")</f>
        <v>20240255</v>
      </c>
      <c r="S545" s="51" t="s">
        <v>187</v>
      </c>
      <c r="T545" s="125" t="str">
        <f>IFERROR(VLOOKUP(S545,TD!$J$33:$K$43,2,0)," ")</f>
        <v>Servicio de mantenimiento, dotación (HEA´s y equipo menor) y adquisición de vehiculos   especializados para la atención de emergencias.</v>
      </c>
      <c r="U545" s="127" t="str">
        <f>CONCATENATE(S545,"-",T545)</f>
        <v>09-Servicio de mantenimiento, dotación (HEA´s y equipo menor) y adquisición de vehiculos   especializados para la atención de emergencias.</v>
      </c>
      <c r="V545" s="51" t="s">
        <v>232</v>
      </c>
      <c r="W545" s="125" t="str">
        <f>IFERROR(VLOOKUP(V545,TD!$N$33:$O$45,2,0)," ")</f>
        <v>Servicio de atención a emergencias y desastres</v>
      </c>
      <c r="X545" s="127" t="str">
        <f>CONCATENATE(V545,"_",W545)</f>
        <v>004_Servicio de atención a emergencias y desastres</v>
      </c>
      <c r="Y545" s="127" t="str">
        <f>CONCATENATE(U545," ",X545)</f>
        <v>09-Servicio de mantenimiento, dotación (HEA´s y equipo menor) y adquisición de vehiculos   especializados para la atención de emergencias. 004_Servicio de atención a emergencias y desastres</v>
      </c>
      <c r="Z545" s="125" t="str">
        <f>CONCATENATE(P545,Q545,R545,S545,V545)</f>
        <v>O23011745032024025509004</v>
      </c>
      <c r="AA545" s="125" t="str">
        <f>IFERROR(VLOOKUP(Y545,TD!$K$46:$L$64,2,0)," ")</f>
        <v>PM/0131/0109/45030040255</v>
      </c>
      <c r="AB545" s="53" t="s">
        <v>145</v>
      </c>
      <c r="AC545" s="126" t="s">
        <v>204</v>
      </c>
    </row>
    <row r="546" spans="2:29" s="28" customFormat="1" ht="74.25" customHeight="1" x14ac:dyDescent="0.35">
      <c r="B546" s="77">
        <v>20250159</v>
      </c>
      <c r="C546" s="50" t="s">
        <v>209</v>
      </c>
      <c r="D546" s="123" t="s">
        <v>168</v>
      </c>
      <c r="E546" s="51" t="s">
        <v>692</v>
      </c>
      <c r="F546" s="123" t="s">
        <v>532</v>
      </c>
      <c r="G546" s="123" t="s">
        <v>119</v>
      </c>
      <c r="H546" s="97" t="s">
        <v>388</v>
      </c>
      <c r="I546" s="124">
        <v>2</v>
      </c>
      <c r="J546" s="124">
        <v>12</v>
      </c>
      <c r="K546" s="52">
        <v>0</v>
      </c>
      <c r="L546" s="53">
        <v>65000000</v>
      </c>
      <c r="M546" s="123" t="s">
        <v>484</v>
      </c>
      <c r="N546" s="53" t="s">
        <v>90</v>
      </c>
      <c r="O546" s="51" t="s">
        <v>224</v>
      </c>
      <c r="P546" s="125" t="str">
        <f>IFERROR(VLOOKUP(C546,TD!$B$32:$F$36,2,0)," ")</f>
        <v>O230117</v>
      </c>
      <c r="Q546" s="125" t="str">
        <f>IFERROR(VLOOKUP(C546,TD!$B$32:$F$36,3,0)," ")</f>
        <v>4503</v>
      </c>
      <c r="R546" s="125">
        <f>IFERROR(VLOOKUP(C546,TD!$B$32:$F$36,4,0)," ")</f>
        <v>20240255</v>
      </c>
      <c r="S546" s="51" t="s">
        <v>191</v>
      </c>
      <c r="T546" s="125" t="str">
        <f>IFERROR(VLOOKUP(S546,TD!$J$33:$K$43,2,0)," ")</f>
        <v>Servicio de apoyo   logístico  en eventos operativos y/o emergencias.</v>
      </c>
      <c r="U546" s="127" t="str">
        <f>CONCATENATE(S546,"-",T546)</f>
        <v>12-Servicio de apoyo   logístico  en eventos operativos y/o emergencias.</v>
      </c>
      <c r="V546" s="51" t="s">
        <v>232</v>
      </c>
      <c r="W546" s="125" t="str">
        <f>IFERROR(VLOOKUP(V546,TD!$N$33:$O$45,2,0)," ")</f>
        <v>Servicio de atención a emergencias y desastres</v>
      </c>
      <c r="X546" s="127" t="str">
        <f>CONCATENATE(V546,"_",W546)</f>
        <v>004_Servicio de atención a emergencias y desastres</v>
      </c>
      <c r="Y546" s="127" t="str">
        <f>CONCATENATE(U546," ",X546)</f>
        <v>12-Servicio de apoyo   logístico  en eventos operativos y/o emergencias. 004_Servicio de atención a emergencias y desastres</v>
      </c>
      <c r="Z546" s="125" t="str">
        <f>CONCATENATE(P546,Q546,R546,S546,V546)</f>
        <v>O23011745032024025512004</v>
      </c>
      <c r="AA546" s="125" t="str">
        <f>IFERROR(VLOOKUP(Y546,TD!$K$46:$L$64,2,0)," ")</f>
        <v>PM/0131/0112/45030040255</v>
      </c>
      <c r="AB546" s="53" t="s">
        <v>97</v>
      </c>
      <c r="AC546" s="126" t="s">
        <v>204</v>
      </c>
    </row>
    <row r="547" spans="2:29" s="28" customFormat="1" ht="74.25" customHeight="1" x14ac:dyDescent="0.35">
      <c r="B547" s="77">
        <v>20250160</v>
      </c>
      <c r="C547" s="50" t="s">
        <v>209</v>
      </c>
      <c r="D547" s="123" t="s">
        <v>168</v>
      </c>
      <c r="E547" s="51" t="s">
        <v>692</v>
      </c>
      <c r="F547" s="123" t="s">
        <v>533</v>
      </c>
      <c r="G547" s="123" t="s">
        <v>119</v>
      </c>
      <c r="H547" s="97" t="s">
        <v>389</v>
      </c>
      <c r="I547" s="124">
        <v>5</v>
      </c>
      <c r="J547" s="124">
        <v>7</v>
      </c>
      <c r="K547" s="52">
        <v>0</v>
      </c>
      <c r="L547" s="53">
        <v>380000000</v>
      </c>
      <c r="M547" s="123" t="s">
        <v>484</v>
      </c>
      <c r="N547" s="53" t="s">
        <v>95</v>
      </c>
      <c r="O547" s="51" t="s">
        <v>224</v>
      </c>
      <c r="P547" s="125" t="str">
        <f>IFERROR(VLOOKUP(C547,TD!$B$32:$F$36,2,0)," ")</f>
        <v>O230117</v>
      </c>
      <c r="Q547" s="125" t="str">
        <f>IFERROR(VLOOKUP(C547,TD!$B$32:$F$36,3,0)," ")</f>
        <v>4503</v>
      </c>
      <c r="R547" s="125">
        <f>IFERROR(VLOOKUP(C547,TD!$B$32:$F$36,4,0)," ")</f>
        <v>20240255</v>
      </c>
      <c r="S547" s="51" t="s">
        <v>191</v>
      </c>
      <c r="T547" s="125" t="str">
        <f>IFERROR(VLOOKUP(S547,TD!$J$33:$K$43,2,0)," ")</f>
        <v>Servicio de apoyo   logístico  en eventos operativos y/o emergencias.</v>
      </c>
      <c r="U547" s="127" t="str">
        <f>CONCATENATE(S547,"-",T547)</f>
        <v>12-Servicio de apoyo   logístico  en eventos operativos y/o emergencias.</v>
      </c>
      <c r="V547" s="51" t="s">
        <v>232</v>
      </c>
      <c r="W547" s="125" t="str">
        <f>IFERROR(VLOOKUP(V547,TD!$N$33:$O$45,2,0)," ")</f>
        <v>Servicio de atención a emergencias y desastres</v>
      </c>
      <c r="X547" s="127" t="str">
        <f>CONCATENATE(V547,"_",W547)</f>
        <v>004_Servicio de atención a emergencias y desastres</v>
      </c>
      <c r="Y547" s="127" t="str">
        <f>CONCATENATE(U547," ",X547)</f>
        <v>12-Servicio de apoyo   logístico  en eventos operativos y/o emergencias. 004_Servicio de atención a emergencias y desastres</v>
      </c>
      <c r="Z547" s="125" t="str">
        <f>CONCATENATE(P547,Q547,R547,S547,V547)</f>
        <v>O23011745032024025512004</v>
      </c>
      <c r="AA547" s="125" t="str">
        <f>IFERROR(VLOOKUP(Y547,TD!$K$46:$L$64,2,0)," ")</f>
        <v>PM/0131/0112/45030040255</v>
      </c>
      <c r="AB547" s="53" t="s">
        <v>110</v>
      </c>
      <c r="AC547" s="126" t="s">
        <v>204</v>
      </c>
    </row>
    <row r="548" spans="2:29" s="28" customFormat="1" ht="74.25" customHeight="1" x14ac:dyDescent="0.35">
      <c r="B548" s="77">
        <v>20250161</v>
      </c>
      <c r="C548" s="50" t="s">
        <v>209</v>
      </c>
      <c r="D548" s="123" t="s">
        <v>168</v>
      </c>
      <c r="E548" s="51" t="s">
        <v>692</v>
      </c>
      <c r="F548" s="123" t="s">
        <v>534</v>
      </c>
      <c r="G548" s="123" t="s">
        <v>119</v>
      </c>
      <c r="H548" s="97">
        <v>15101500</v>
      </c>
      <c r="I548" s="124">
        <v>2</v>
      </c>
      <c r="J548" s="124">
        <v>12</v>
      </c>
      <c r="K548" s="52">
        <v>0</v>
      </c>
      <c r="L548" s="53">
        <v>1080000000</v>
      </c>
      <c r="M548" s="123" t="s">
        <v>484</v>
      </c>
      <c r="N548" s="53" t="s">
        <v>123</v>
      </c>
      <c r="O548" s="51" t="s">
        <v>224</v>
      </c>
      <c r="P548" s="125" t="str">
        <f>IFERROR(VLOOKUP(C548,TD!$B$32:$F$36,2,0)," ")</f>
        <v>O230117</v>
      </c>
      <c r="Q548" s="125" t="str">
        <f>IFERROR(VLOOKUP(C548,TD!$B$32:$F$36,3,0)," ")</f>
        <v>4503</v>
      </c>
      <c r="R548" s="125">
        <f>IFERROR(VLOOKUP(C548,TD!$B$32:$F$36,4,0)," ")</f>
        <v>20240255</v>
      </c>
      <c r="S548" s="51" t="s">
        <v>191</v>
      </c>
      <c r="T548" s="125" t="str">
        <f>IFERROR(VLOOKUP(S548,TD!$J$33:$K$43,2,0)," ")</f>
        <v>Servicio de apoyo   logístico  en eventos operativos y/o emergencias.</v>
      </c>
      <c r="U548" s="127" t="str">
        <f>CONCATENATE(S548,"-",T548)</f>
        <v>12-Servicio de apoyo   logístico  en eventos operativos y/o emergencias.</v>
      </c>
      <c r="V548" s="51" t="s">
        <v>232</v>
      </c>
      <c r="W548" s="125" t="str">
        <f>IFERROR(VLOOKUP(V548,TD!$N$33:$O$45,2,0)," ")</f>
        <v>Servicio de atención a emergencias y desastres</v>
      </c>
      <c r="X548" s="127" t="str">
        <f>CONCATENATE(V548,"_",W548)</f>
        <v>004_Servicio de atención a emergencias y desastres</v>
      </c>
      <c r="Y548" s="127" t="str">
        <f>CONCATENATE(U548," ",X548)</f>
        <v>12-Servicio de apoyo   logístico  en eventos operativos y/o emergencias. 004_Servicio de atención a emergencias y desastres</v>
      </c>
      <c r="Z548" s="125" t="str">
        <f>CONCATENATE(P548,Q548,R548,S548,V548)</f>
        <v>O23011745032024025512004</v>
      </c>
      <c r="AA548" s="125" t="str">
        <f>IFERROR(VLOOKUP(Y548,TD!$K$46:$L$64,2,0)," ")</f>
        <v>PM/0131/0112/45030040255</v>
      </c>
      <c r="AB548" s="53" t="s">
        <v>92</v>
      </c>
      <c r="AC548" s="126" t="s">
        <v>204</v>
      </c>
    </row>
    <row r="549" spans="2:29" s="28" customFormat="1" ht="74.25" customHeight="1" x14ac:dyDescent="0.35">
      <c r="B549" s="77">
        <v>20250162</v>
      </c>
      <c r="C549" s="50" t="s">
        <v>209</v>
      </c>
      <c r="D549" s="123" t="s">
        <v>168</v>
      </c>
      <c r="E549" s="51" t="s">
        <v>692</v>
      </c>
      <c r="F549" s="123" t="s">
        <v>535</v>
      </c>
      <c r="G549" s="123" t="s">
        <v>119</v>
      </c>
      <c r="H549" s="97" t="s">
        <v>433</v>
      </c>
      <c r="I549" s="124">
        <v>2</v>
      </c>
      <c r="J549" s="124">
        <v>12</v>
      </c>
      <c r="K549" s="52">
        <v>0</v>
      </c>
      <c r="L549" s="53">
        <v>100000000</v>
      </c>
      <c r="M549" s="123" t="s">
        <v>484</v>
      </c>
      <c r="N549" s="53" t="s">
        <v>95</v>
      </c>
      <c r="O549" s="51" t="s">
        <v>224</v>
      </c>
      <c r="P549" s="125" t="str">
        <f>IFERROR(VLOOKUP(C549,TD!$B$32:$F$36,2,0)," ")</f>
        <v>O230117</v>
      </c>
      <c r="Q549" s="125" t="str">
        <f>IFERROR(VLOOKUP(C549,TD!$B$32:$F$36,3,0)," ")</f>
        <v>4503</v>
      </c>
      <c r="R549" s="125">
        <f>IFERROR(VLOOKUP(C549,TD!$B$32:$F$36,4,0)," ")</f>
        <v>20240255</v>
      </c>
      <c r="S549" s="51" t="s">
        <v>191</v>
      </c>
      <c r="T549" s="125" t="str">
        <f>IFERROR(VLOOKUP(S549,TD!$J$33:$K$43,2,0)," ")</f>
        <v>Servicio de apoyo   logístico  en eventos operativos y/o emergencias.</v>
      </c>
      <c r="U549" s="127" t="str">
        <f>CONCATENATE(S549,"-",T549)</f>
        <v>12-Servicio de apoyo   logístico  en eventos operativos y/o emergencias.</v>
      </c>
      <c r="V549" s="51" t="s">
        <v>232</v>
      </c>
      <c r="W549" s="125" t="str">
        <f>IFERROR(VLOOKUP(V549,TD!$N$33:$O$45,2,0)," ")</f>
        <v>Servicio de atención a emergencias y desastres</v>
      </c>
      <c r="X549" s="127" t="str">
        <f>CONCATENATE(V549,"_",W549)</f>
        <v>004_Servicio de atención a emergencias y desastres</v>
      </c>
      <c r="Y549" s="127" t="str">
        <f>CONCATENATE(U549," ",X549)</f>
        <v>12-Servicio de apoyo   logístico  en eventos operativos y/o emergencias. 004_Servicio de atención a emergencias y desastres</v>
      </c>
      <c r="Z549" s="125" t="str">
        <f>CONCATENATE(P549,Q549,R549,S549,V549)</f>
        <v>O23011745032024025512004</v>
      </c>
      <c r="AA549" s="125" t="str">
        <f>IFERROR(VLOOKUP(Y549,TD!$K$46:$L$64,2,0)," ")</f>
        <v>PM/0131/0112/45030040255</v>
      </c>
      <c r="AB549" s="53" t="s">
        <v>134</v>
      </c>
      <c r="AC549" s="126" t="s">
        <v>204</v>
      </c>
    </row>
    <row r="550" spans="2:29" s="28" customFormat="1" ht="74.25" customHeight="1" x14ac:dyDescent="0.35">
      <c r="B550" s="77">
        <v>20250163</v>
      </c>
      <c r="C550" s="50" t="s">
        <v>209</v>
      </c>
      <c r="D550" s="123" t="s">
        <v>168</v>
      </c>
      <c r="E550" s="51" t="s">
        <v>692</v>
      </c>
      <c r="F550" s="123" t="s">
        <v>536</v>
      </c>
      <c r="G550" s="123" t="s">
        <v>119</v>
      </c>
      <c r="H550" s="97" t="s">
        <v>434</v>
      </c>
      <c r="I550" s="124">
        <v>2</v>
      </c>
      <c r="J550" s="124">
        <v>12</v>
      </c>
      <c r="K550" s="52">
        <v>0</v>
      </c>
      <c r="L550" s="53">
        <v>120000000</v>
      </c>
      <c r="M550" s="123" t="s">
        <v>484</v>
      </c>
      <c r="N550" s="53" t="s">
        <v>113</v>
      </c>
      <c r="O550" s="51" t="s">
        <v>224</v>
      </c>
      <c r="P550" s="125" t="str">
        <f>IFERROR(VLOOKUP(C550,TD!$B$32:$F$36,2,0)," ")</f>
        <v>O230117</v>
      </c>
      <c r="Q550" s="125" t="str">
        <f>IFERROR(VLOOKUP(C550,TD!$B$32:$F$36,3,0)," ")</f>
        <v>4503</v>
      </c>
      <c r="R550" s="125">
        <f>IFERROR(VLOOKUP(C550,TD!$B$32:$F$36,4,0)," ")</f>
        <v>20240255</v>
      </c>
      <c r="S550" s="51" t="s">
        <v>187</v>
      </c>
      <c r="T550" s="125" t="str">
        <f>IFERROR(VLOOKUP(S550,TD!$J$33:$K$43,2,0)," ")</f>
        <v>Servicio de mantenimiento, dotación (HEA´s y equipo menor) y adquisición de vehiculos   especializados para la atención de emergencias.</v>
      </c>
      <c r="U550" s="127" t="str">
        <f>CONCATENATE(S550,"-",T550)</f>
        <v>09-Servicio de mantenimiento, dotación (HEA´s y equipo menor) y adquisición de vehiculos   especializados para la atención de emergencias.</v>
      </c>
      <c r="V550" s="51" t="s">
        <v>232</v>
      </c>
      <c r="W550" s="125" t="str">
        <f>IFERROR(VLOOKUP(V550,TD!$N$33:$O$45,2,0)," ")</f>
        <v>Servicio de atención a emergencias y desastres</v>
      </c>
      <c r="X550" s="127" t="str">
        <f>CONCATENATE(V550,"_",W550)</f>
        <v>004_Servicio de atención a emergencias y desastres</v>
      </c>
      <c r="Y550" s="127" t="str">
        <f>CONCATENATE(U550," ",X550)</f>
        <v>09-Servicio de mantenimiento, dotación (HEA´s y equipo menor) y adquisición de vehiculos   especializados para la atención de emergencias. 004_Servicio de atención a emergencias y desastres</v>
      </c>
      <c r="Z550" s="125" t="str">
        <f>CONCATENATE(P550,Q550,R550,S550,V550)</f>
        <v>O23011745032024025509004</v>
      </c>
      <c r="AA550" s="125" t="str">
        <f>IFERROR(VLOOKUP(Y550,TD!$K$46:$L$64,2,0)," ")</f>
        <v>PM/0131/0109/45030040255</v>
      </c>
      <c r="AB550" s="53" t="s">
        <v>87</v>
      </c>
      <c r="AC550" s="126" t="s">
        <v>204</v>
      </c>
    </row>
    <row r="551" spans="2:29" s="28" customFormat="1" ht="74.25" customHeight="1" x14ac:dyDescent="0.35">
      <c r="B551" s="77">
        <v>20250164</v>
      </c>
      <c r="C551" s="50" t="s">
        <v>209</v>
      </c>
      <c r="D551" s="123" t="s">
        <v>168</v>
      </c>
      <c r="E551" s="51" t="s">
        <v>692</v>
      </c>
      <c r="F551" s="123" t="s">
        <v>537</v>
      </c>
      <c r="G551" s="123" t="s">
        <v>157</v>
      </c>
      <c r="H551" s="97" t="s">
        <v>435</v>
      </c>
      <c r="I551" s="124">
        <v>2</v>
      </c>
      <c r="J551" s="124">
        <v>12</v>
      </c>
      <c r="K551" s="52">
        <v>0</v>
      </c>
      <c r="L551" s="53">
        <v>120000000</v>
      </c>
      <c r="M551" s="123" t="s">
        <v>484</v>
      </c>
      <c r="N551" s="53" t="s">
        <v>113</v>
      </c>
      <c r="O551" s="51" t="s">
        <v>224</v>
      </c>
      <c r="P551" s="125" t="str">
        <f>IFERROR(VLOOKUP(C551,TD!$B$32:$F$36,2,0)," ")</f>
        <v>O230117</v>
      </c>
      <c r="Q551" s="125" t="str">
        <f>IFERROR(VLOOKUP(C551,TD!$B$32:$F$36,3,0)," ")</f>
        <v>4503</v>
      </c>
      <c r="R551" s="125">
        <f>IFERROR(VLOOKUP(C551,TD!$B$32:$F$36,4,0)," ")</f>
        <v>20240255</v>
      </c>
      <c r="S551" s="51" t="s">
        <v>187</v>
      </c>
      <c r="T551" s="125" t="str">
        <f>IFERROR(VLOOKUP(S551,TD!$J$33:$K$43,2,0)," ")</f>
        <v>Servicio de mantenimiento, dotación (HEA´s y equipo menor) y adquisición de vehiculos   especializados para la atención de emergencias.</v>
      </c>
      <c r="U551" s="127" t="str">
        <f>CONCATENATE(S551,"-",T551)</f>
        <v>09-Servicio de mantenimiento, dotación (HEA´s y equipo menor) y adquisición de vehiculos   especializados para la atención de emergencias.</v>
      </c>
      <c r="V551" s="51" t="s">
        <v>232</v>
      </c>
      <c r="W551" s="125" t="str">
        <f>IFERROR(VLOOKUP(V551,TD!$N$33:$O$45,2,0)," ")</f>
        <v>Servicio de atención a emergencias y desastres</v>
      </c>
      <c r="X551" s="127" t="str">
        <f>CONCATENATE(V551,"_",W551)</f>
        <v>004_Servicio de atención a emergencias y desastres</v>
      </c>
      <c r="Y551" s="127" t="str">
        <f>CONCATENATE(U551," ",X551)</f>
        <v>09-Servicio de mantenimiento, dotación (HEA´s y equipo menor) y adquisición de vehiculos   especializados para la atención de emergencias. 004_Servicio de atención a emergencias y desastres</v>
      </c>
      <c r="Z551" s="125" t="str">
        <f>CONCATENATE(P551,Q551,R551,S551,V551)</f>
        <v>O23011745032024025509004</v>
      </c>
      <c r="AA551" s="125" t="str">
        <f>IFERROR(VLOOKUP(Y551,TD!$K$46:$L$64,2,0)," ")</f>
        <v>PM/0131/0109/45030040255</v>
      </c>
      <c r="AB551" s="53" t="s">
        <v>87</v>
      </c>
      <c r="AC551" s="126" t="s">
        <v>204</v>
      </c>
    </row>
    <row r="552" spans="2:29" s="28" customFormat="1" ht="74.25" customHeight="1" x14ac:dyDescent="0.35">
      <c r="B552" s="77">
        <v>20250165</v>
      </c>
      <c r="C552" s="50" t="s">
        <v>209</v>
      </c>
      <c r="D552" s="123" t="s">
        <v>168</v>
      </c>
      <c r="E552" s="51" t="s">
        <v>692</v>
      </c>
      <c r="F552" s="123" t="s">
        <v>538</v>
      </c>
      <c r="G552" s="123" t="s">
        <v>119</v>
      </c>
      <c r="H552" s="97" t="s">
        <v>436</v>
      </c>
      <c r="I552" s="124">
        <v>3</v>
      </c>
      <c r="J552" s="124">
        <v>10</v>
      </c>
      <c r="K552" s="52">
        <v>0</v>
      </c>
      <c r="L552" s="53">
        <v>150000000</v>
      </c>
      <c r="M552" s="123" t="s">
        <v>484</v>
      </c>
      <c r="N552" s="53" t="s">
        <v>95</v>
      </c>
      <c r="O552" s="51" t="s">
        <v>224</v>
      </c>
      <c r="P552" s="125" t="str">
        <f>IFERROR(VLOOKUP(C552,TD!$B$32:$F$36,2,0)," ")</f>
        <v>O230117</v>
      </c>
      <c r="Q552" s="125" t="str">
        <f>IFERROR(VLOOKUP(C552,TD!$B$32:$F$36,3,0)," ")</f>
        <v>4503</v>
      </c>
      <c r="R552" s="125">
        <f>IFERROR(VLOOKUP(C552,TD!$B$32:$F$36,4,0)," ")</f>
        <v>20240255</v>
      </c>
      <c r="S552" s="51" t="s">
        <v>187</v>
      </c>
      <c r="T552" s="125" t="str">
        <f>IFERROR(VLOOKUP(S552,TD!$J$33:$K$43,2,0)," ")</f>
        <v>Servicio de mantenimiento, dotación (HEA´s y equipo menor) y adquisición de vehiculos   especializados para la atención de emergencias.</v>
      </c>
      <c r="U552" s="127" t="str">
        <f>CONCATENATE(S552,"-",T552)</f>
        <v>09-Servicio de mantenimiento, dotación (HEA´s y equipo menor) y adquisición de vehiculos   especializados para la atención de emergencias.</v>
      </c>
      <c r="V552" s="51" t="s">
        <v>232</v>
      </c>
      <c r="W552" s="125" t="str">
        <f>IFERROR(VLOOKUP(V552,TD!$N$33:$O$45,2,0)," ")</f>
        <v>Servicio de atención a emergencias y desastres</v>
      </c>
      <c r="X552" s="127" t="str">
        <f>CONCATENATE(V552,"_",W552)</f>
        <v>004_Servicio de atención a emergencias y desastres</v>
      </c>
      <c r="Y552" s="127" t="str">
        <f>CONCATENATE(U552," ",X552)</f>
        <v>09-Servicio de mantenimiento, dotación (HEA´s y equipo menor) y adquisición de vehiculos   especializados para la atención de emergencias. 004_Servicio de atención a emergencias y desastres</v>
      </c>
      <c r="Z552" s="125" t="str">
        <f>CONCATENATE(P552,Q552,R552,S552,V552)</f>
        <v>O23011745032024025509004</v>
      </c>
      <c r="AA552" s="125" t="str">
        <f>IFERROR(VLOOKUP(Y552,TD!$K$46:$L$64,2,0)," ")</f>
        <v>PM/0131/0109/45030040255</v>
      </c>
      <c r="AB552" s="53" t="s">
        <v>87</v>
      </c>
      <c r="AC552" s="126" t="s">
        <v>204</v>
      </c>
    </row>
    <row r="553" spans="2:29" s="28" customFormat="1" ht="74.25" customHeight="1" x14ac:dyDescent="0.35">
      <c r="B553" s="77">
        <v>20250166</v>
      </c>
      <c r="C553" s="50" t="s">
        <v>209</v>
      </c>
      <c r="D553" s="123" t="s">
        <v>168</v>
      </c>
      <c r="E553" s="51" t="s">
        <v>692</v>
      </c>
      <c r="F553" s="123" t="s">
        <v>539</v>
      </c>
      <c r="G553" s="123" t="s">
        <v>96</v>
      </c>
      <c r="H553" s="97" t="s">
        <v>437</v>
      </c>
      <c r="I553" s="124">
        <v>3</v>
      </c>
      <c r="J553" s="124">
        <v>12</v>
      </c>
      <c r="K553" s="52">
        <v>0</v>
      </c>
      <c r="L553" s="53">
        <v>40000000</v>
      </c>
      <c r="M553" s="123" t="s">
        <v>484</v>
      </c>
      <c r="N553" s="53" t="s">
        <v>100</v>
      </c>
      <c r="O553" s="51" t="s">
        <v>224</v>
      </c>
      <c r="P553" s="125" t="str">
        <f>IFERROR(VLOOKUP(C553,TD!$B$32:$F$36,2,0)," ")</f>
        <v>O230117</v>
      </c>
      <c r="Q553" s="125" t="str">
        <f>IFERROR(VLOOKUP(C553,TD!$B$32:$F$36,3,0)," ")</f>
        <v>4503</v>
      </c>
      <c r="R553" s="125">
        <f>IFERROR(VLOOKUP(C553,TD!$B$32:$F$36,4,0)," ")</f>
        <v>20240255</v>
      </c>
      <c r="S553" s="51" t="s">
        <v>191</v>
      </c>
      <c r="T553" s="125" t="str">
        <f>IFERROR(VLOOKUP(S553,TD!$J$33:$K$43,2,0)," ")</f>
        <v>Servicio de apoyo   logístico  en eventos operativos y/o emergencias.</v>
      </c>
      <c r="U553" s="127" t="str">
        <f>CONCATENATE(S553,"-",T553)</f>
        <v>12-Servicio de apoyo   logístico  en eventos operativos y/o emergencias.</v>
      </c>
      <c r="V553" s="51" t="s">
        <v>232</v>
      </c>
      <c r="W553" s="125" t="str">
        <f>IFERROR(VLOOKUP(V553,TD!$N$33:$O$45,2,0)," ")</f>
        <v>Servicio de atención a emergencias y desastres</v>
      </c>
      <c r="X553" s="127" t="str">
        <f>CONCATENATE(V553,"_",W553)</f>
        <v>004_Servicio de atención a emergencias y desastres</v>
      </c>
      <c r="Y553" s="127" t="str">
        <f>CONCATENATE(U553," ",X553)</f>
        <v>12-Servicio de apoyo   logístico  en eventos operativos y/o emergencias. 004_Servicio de atención a emergencias y desastres</v>
      </c>
      <c r="Z553" s="125" t="str">
        <f>CONCATENATE(P553,Q553,R553,S553,V553)</f>
        <v>O23011745032024025512004</v>
      </c>
      <c r="AA553" s="125" t="str">
        <f>IFERROR(VLOOKUP(Y553,TD!$K$46:$L$64,2,0)," ")</f>
        <v>PM/0131/0112/45030040255</v>
      </c>
      <c r="AB553" s="53" t="s">
        <v>134</v>
      </c>
      <c r="AC553" s="126" t="s">
        <v>204</v>
      </c>
    </row>
    <row r="554" spans="2:29" s="28" customFormat="1" ht="74.25" customHeight="1" x14ac:dyDescent="0.35">
      <c r="B554" s="77">
        <v>20250167</v>
      </c>
      <c r="C554" s="50" t="s">
        <v>209</v>
      </c>
      <c r="D554" s="123" t="s">
        <v>168</v>
      </c>
      <c r="E554" s="51" t="s">
        <v>692</v>
      </c>
      <c r="F554" s="123" t="s">
        <v>540</v>
      </c>
      <c r="G554" s="123" t="s">
        <v>119</v>
      </c>
      <c r="H554" s="97">
        <v>72101509</v>
      </c>
      <c r="I554" s="124">
        <v>2</v>
      </c>
      <c r="J554" s="124">
        <v>12</v>
      </c>
      <c r="K554" s="52">
        <v>0</v>
      </c>
      <c r="L554" s="53">
        <v>250000000</v>
      </c>
      <c r="M554" s="123" t="s">
        <v>484</v>
      </c>
      <c r="N554" s="53" t="s">
        <v>95</v>
      </c>
      <c r="O554" s="51" t="s">
        <v>224</v>
      </c>
      <c r="P554" s="125" t="str">
        <f>IFERROR(VLOOKUP(C554,TD!$B$32:$F$36,2,0)," ")</f>
        <v>O230117</v>
      </c>
      <c r="Q554" s="125" t="str">
        <f>IFERROR(VLOOKUP(C554,TD!$B$32:$F$36,3,0)," ")</f>
        <v>4503</v>
      </c>
      <c r="R554" s="125">
        <f>IFERROR(VLOOKUP(C554,TD!$B$32:$F$36,4,0)," ")</f>
        <v>20240255</v>
      </c>
      <c r="S554" s="51" t="s">
        <v>191</v>
      </c>
      <c r="T554" s="125" t="str">
        <f>IFERROR(VLOOKUP(S554,TD!$J$33:$K$43,2,0)," ")</f>
        <v>Servicio de apoyo   logístico  en eventos operativos y/o emergencias.</v>
      </c>
      <c r="U554" s="127" t="str">
        <f>CONCATENATE(S554,"-",T554)</f>
        <v>12-Servicio de apoyo   logístico  en eventos operativos y/o emergencias.</v>
      </c>
      <c r="V554" s="51" t="s">
        <v>232</v>
      </c>
      <c r="W554" s="125" t="str">
        <f>IFERROR(VLOOKUP(V554,TD!$N$33:$O$45,2,0)," ")</f>
        <v>Servicio de atención a emergencias y desastres</v>
      </c>
      <c r="X554" s="127" t="str">
        <f>CONCATENATE(V554,"_",W554)</f>
        <v>004_Servicio de atención a emergencias y desastres</v>
      </c>
      <c r="Y554" s="127" t="str">
        <f>CONCATENATE(U554," ",X554)</f>
        <v>12-Servicio de apoyo   logístico  en eventos operativos y/o emergencias. 004_Servicio de atención a emergencias y desastres</v>
      </c>
      <c r="Z554" s="125" t="str">
        <f>CONCATENATE(P554,Q554,R554,S554,V554)</f>
        <v>O23011745032024025512004</v>
      </c>
      <c r="AA554" s="125" t="str">
        <f>IFERROR(VLOOKUP(Y554,TD!$K$46:$L$64,2,0)," ")</f>
        <v>PM/0131/0112/45030040255</v>
      </c>
      <c r="AB554" s="53" t="s">
        <v>87</v>
      </c>
      <c r="AC554" s="126" t="s">
        <v>204</v>
      </c>
    </row>
    <row r="555" spans="2:29" s="28" customFormat="1" ht="74.25" customHeight="1" x14ac:dyDescent="0.35">
      <c r="B555" s="77">
        <v>20250169</v>
      </c>
      <c r="C555" s="50" t="s">
        <v>209</v>
      </c>
      <c r="D555" s="123" t="s">
        <v>168</v>
      </c>
      <c r="E555" s="51" t="s">
        <v>692</v>
      </c>
      <c r="F555" s="123" t="s">
        <v>541</v>
      </c>
      <c r="G555" s="123" t="s">
        <v>96</v>
      </c>
      <c r="H555" s="97">
        <v>72101509</v>
      </c>
      <c r="I555" s="124">
        <v>2</v>
      </c>
      <c r="J555" s="124">
        <v>12</v>
      </c>
      <c r="K555" s="52">
        <v>0</v>
      </c>
      <c r="L555" s="53">
        <v>150864320</v>
      </c>
      <c r="M555" s="123" t="s">
        <v>484</v>
      </c>
      <c r="N555" s="53" t="s">
        <v>113</v>
      </c>
      <c r="O555" s="51" t="s">
        <v>224</v>
      </c>
      <c r="P555" s="125" t="str">
        <f>IFERROR(VLOOKUP(C555,TD!$B$32:$F$36,2,0)," ")</f>
        <v>O230117</v>
      </c>
      <c r="Q555" s="125" t="str">
        <f>IFERROR(VLOOKUP(C555,TD!$B$32:$F$36,3,0)," ")</f>
        <v>4503</v>
      </c>
      <c r="R555" s="125">
        <f>IFERROR(VLOOKUP(C555,TD!$B$32:$F$36,4,0)," ")</f>
        <v>20240255</v>
      </c>
      <c r="S555" s="51" t="s">
        <v>187</v>
      </c>
      <c r="T555" s="125" t="str">
        <f>IFERROR(VLOOKUP(S555,TD!$J$33:$K$43,2,0)," ")</f>
        <v>Servicio de mantenimiento, dotación (HEA´s y equipo menor) y adquisición de vehiculos   especializados para la atención de emergencias.</v>
      </c>
      <c r="U555" s="127" t="str">
        <f>CONCATENATE(S555,"-",T555)</f>
        <v>09-Servicio de mantenimiento, dotación (HEA´s y equipo menor) y adquisición de vehiculos   especializados para la atención de emergencias.</v>
      </c>
      <c r="V555" s="51" t="s">
        <v>232</v>
      </c>
      <c r="W555" s="125" t="str">
        <f>IFERROR(VLOOKUP(V555,TD!$N$33:$O$45,2,0)," ")</f>
        <v>Servicio de atención a emergencias y desastres</v>
      </c>
      <c r="X555" s="127" t="str">
        <f>CONCATENATE(V555,"_",W555)</f>
        <v>004_Servicio de atención a emergencias y desastres</v>
      </c>
      <c r="Y555" s="127" t="str">
        <f>CONCATENATE(U555," ",X555)</f>
        <v>09-Servicio de mantenimiento, dotación (HEA´s y equipo menor) y adquisición de vehiculos   especializados para la atención de emergencias. 004_Servicio de atención a emergencias y desastres</v>
      </c>
      <c r="Z555" s="125" t="str">
        <f>CONCATENATE(P555,Q555,R555,S555,V555)</f>
        <v>O23011745032024025509004</v>
      </c>
      <c r="AA555" s="125" t="str">
        <f>IFERROR(VLOOKUP(Y555,TD!$K$46:$L$64,2,0)," ")</f>
        <v>PM/0131/0109/45030040255</v>
      </c>
      <c r="AB555" s="53" t="s">
        <v>87</v>
      </c>
      <c r="AC555" s="126" t="s">
        <v>204</v>
      </c>
    </row>
    <row r="556" spans="2:29" s="28" customFormat="1" ht="74.25" customHeight="1" x14ac:dyDescent="0.35">
      <c r="B556" s="77">
        <v>20250170</v>
      </c>
      <c r="C556" s="50" t="s">
        <v>209</v>
      </c>
      <c r="D556" s="123" t="s">
        <v>168</v>
      </c>
      <c r="E556" s="51" t="s">
        <v>692</v>
      </c>
      <c r="F556" s="123" t="s">
        <v>542</v>
      </c>
      <c r="G556" s="123" t="s">
        <v>119</v>
      </c>
      <c r="H556" s="97" t="s">
        <v>543</v>
      </c>
      <c r="I556" s="124">
        <v>3</v>
      </c>
      <c r="J556" s="124">
        <v>12</v>
      </c>
      <c r="K556" s="52">
        <v>0</v>
      </c>
      <c r="L556" s="53">
        <v>100000000</v>
      </c>
      <c r="M556" s="123" t="s">
        <v>484</v>
      </c>
      <c r="N556" s="53" t="s">
        <v>113</v>
      </c>
      <c r="O556" s="51" t="s">
        <v>224</v>
      </c>
      <c r="P556" s="125" t="str">
        <f>IFERROR(VLOOKUP(C556,TD!$B$32:$F$36,2,0)," ")</f>
        <v>O230117</v>
      </c>
      <c r="Q556" s="125" t="str">
        <f>IFERROR(VLOOKUP(C556,TD!$B$32:$F$36,3,0)," ")</f>
        <v>4503</v>
      </c>
      <c r="R556" s="125">
        <f>IFERROR(VLOOKUP(C556,TD!$B$32:$F$36,4,0)," ")</f>
        <v>20240255</v>
      </c>
      <c r="S556" s="51" t="s">
        <v>187</v>
      </c>
      <c r="T556" s="125" t="str">
        <f>IFERROR(VLOOKUP(S556,TD!$J$33:$K$43,2,0)," ")</f>
        <v>Servicio de mantenimiento, dotación (HEA´s y equipo menor) y adquisición de vehiculos   especializados para la atención de emergencias.</v>
      </c>
      <c r="U556" s="127" t="str">
        <f>CONCATENATE(S556,"-",T556)</f>
        <v>09-Servicio de mantenimiento, dotación (HEA´s y equipo menor) y adquisición de vehiculos   especializados para la atención de emergencias.</v>
      </c>
      <c r="V556" s="51" t="s">
        <v>232</v>
      </c>
      <c r="W556" s="125" t="str">
        <f>IFERROR(VLOOKUP(V556,TD!$N$33:$O$45,2,0)," ")</f>
        <v>Servicio de atención a emergencias y desastres</v>
      </c>
      <c r="X556" s="127" t="str">
        <f>CONCATENATE(V556,"_",W556)</f>
        <v>004_Servicio de atención a emergencias y desastres</v>
      </c>
      <c r="Y556" s="127" t="str">
        <f>CONCATENATE(U556," ",X556)</f>
        <v>09-Servicio de mantenimiento, dotación (HEA´s y equipo menor) y adquisición de vehiculos   especializados para la atención de emergencias. 004_Servicio de atención a emergencias y desastres</v>
      </c>
      <c r="Z556" s="125" t="str">
        <f>CONCATENATE(P556,Q556,R556,S556,V556)</f>
        <v>O23011745032024025509004</v>
      </c>
      <c r="AA556" s="125" t="str">
        <f>IFERROR(VLOOKUP(Y556,TD!$K$46:$L$64,2,0)," ")</f>
        <v>PM/0131/0109/45030040255</v>
      </c>
      <c r="AB556" s="53" t="s">
        <v>87</v>
      </c>
      <c r="AC556" s="126" t="s">
        <v>204</v>
      </c>
    </row>
    <row r="557" spans="2:29" s="28" customFormat="1" ht="74.25" customHeight="1" x14ac:dyDescent="0.35">
      <c r="B557" s="77">
        <v>20250171</v>
      </c>
      <c r="C557" s="50" t="s">
        <v>209</v>
      </c>
      <c r="D557" s="123" t="s">
        <v>168</v>
      </c>
      <c r="E557" s="51" t="s">
        <v>692</v>
      </c>
      <c r="F557" s="123" t="s">
        <v>544</v>
      </c>
      <c r="G557" s="123" t="s">
        <v>96</v>
      </c>
      <c r="H557" s="97" t="s">
        <v>545</v>
      </c>
      <c r="I557" s="124">
        <v>3</v>
      </c>
      <c r="J557" s="124">
        <v>12</v>
      </c>
      <c r="K557" s="52">
        <v>0</v>
      </c>
      <c r="L557" s="53">
        <v>100000000</v>
      </c>
      <c r="M557" s="123" t="s">
        <v>484</v>
      </c>
      <c r="N557" s="53" t="s">
        <v>113</v>
      </c>
      <c r="O557" s="51" t="s">
        <v>224</v>
      </c>
      <c r="P557" s="125" t="str">
        <f>IFERROR(VLOOKUP(C557,TD!$B$32:$F$36,2,0)," ")</f>
        <v>O230117</v>
      </c>
      <c r="Q557" s="125" t="str">
        <f>IFERROR(VLOOKUP(C557,TD!$B$32:$F$36,3,0)," ")</f>
        <v>4503</v>
      </c>
      <c r="R557" s="125">
        <f>IFERROR(VLOOKUP(C557,TD!$B$32:$F$36,4,0)," ")</f>
        <v>20240255</v>
      </c>
      <c r="S557" s="51" t="s">
        <v>187</v>
      </c>
      <c r="T557" s="125" t="str">
        <f>IFERROR(VLOOKUP(S557,TD!$J$33:$K$43,2,0)," ")</f>
        <v>Servicio de mantenimiento, dotación (HEA´s y equipo menor) y adquisición de vehiculos   especializados para la atención de emergencias.</v>
      </c>
      <c r="U557" s="127" t="str">
        <f>CONCATENATE(S557,"-",T557)</f>
        <v>09-Servicio de mantenimiento, dotación (HEA´s y equipo menor) y adquisición de vehiculos   especializados para la atención de emergencias.</v>
      </c>
      <c r="V557" s="51" t="s">
        <v>232</v>
      </c>
      <c r="W557" s="125" t="str">
        <f>IFERROR(VLOOKUP(V557,TD!$N$33:$O$45,2,0)," ")</f>
        <v>Servicio de atención a emergencias y desastres</v>
      </c>
      <c r="X557" s="127" t="str">
        <f>CONCATENATE(V557,"_",W557)</f>
        <v>004_Servicio de atención a emergencias y desastres</v>
      </c>
      <c r="Y557" s="127" t="str">
        <f>CONCATENATE(U557," ",X557)</f>
        <v>09-Servicio de mantenimiento, dotación (HEA´s y equipo menor) y adquisición de vehiculos   especializados para la atención de emergencias. 004_Servicio de atención a emergencias y desastres</v>
      </c>
      <c r="Z557" s="125" t="str">
        <f>CONCATENATE(P557,Q557,R557,S557,V557)</f>
        <v>O23011745032024025509004</v>
      </c>
      <c r="AA557" s="125" t="str">
        <f>IFERROR(VLOOKUP(Y557,TD!$K$46:$L$64,2,0)," ")</f>
        <v>PM/0131/0109/45030040255</v>
      </c>
      <c r="AB557" s="53" t="s">
        <v>87</v>
      </c>
      <c r="AC557" s="126" t="s">
        <v>204</v>
      </c>
    </row>
    <row r="558" spans="2:29" s="28" customFormat="1" ht="74.25" customHeight="1" x14ac:dyDescent="0.35">
      <c r="B558" s="77">
        <v>20250172</v>
      </c>
      <c r="C558" s="50" t="s">
        <v>209</v>
      </c>
      <c r="D558" s="123" t="s">
        <v>168</v>
      </c>
      <c r="E558" s="51" t="s">
        <v>692</v>
      </c>
      <c r="F558" s="123" t="s">
        <v>546</v>
      </c>
      <c r="G558" s="123" t="s">
        <v>96</v>
      </c>
      <c r="H558" s="97" t="s">
        <v>545</v>
      </c>
      <c r="I558" s="124">
        <v>2</v>
      </c>
      <c r="J558" s="124">
        <v>12</v>
      </c>
      <c r="K558" s="52">
        <v>0</v>
      </c>
      <c r="L558" s="53">
        <v>100000000</v>
      </c>
      <c r="M558" s="123" t="s">
        <v>484</v>
      </c>
      <c r="N558" s="53" t="s">
        <v>95</v>
      </c>
      <c r="O558" s="51" t="s">
        <v>224</v>
      </c>
      <c r="P558" s="125" t="str">
        <f>IFERROR(VLOOKUP(C558,TD!$B$32:$F$36,2,0)," ")</f>
        <v>O230117</v>
      </c>
      <c r="Q558" s="125" t="str">
        <f>IFERROR(VLOOKUP(C558,TD!$B$32:$F$36,3,0)," ")</f>
        <v>4503</v>
      </c>
      <c r="R558" s="125">
        <f>IFERROR(VLOOKUP(C558,TD!$B$32:$F$36,4,0)," ")</f>
        <v>20240255</v>
      </c>
      <c r="S558" s="51" t="s">
        <v>187</v>
      </c>
      <c r="T558" s="125" t="str">
        <f>IFERROR(VLOOKUP(S558,TD!$J$33:$K$43,2,0)," ")</f>
        <v>Servicio de mantenimiento, dotación (HEA´s y equipo menor) y adquisición de vehiculos   especializados para la atención de emergencias.</v>
      </c>
      <c r="U558" s="127" t="str">
        <f>CONCATENATE(S558,"-",T558)</f>
        <v>09-Servicio de mantenimiento, dotación (HEA´s y equipo menor) y adquisición de vehiculos   especializados para la atención de emergencias.</v>
      </c>
      <c r="V558" s="51" t="s">
        <v>232</v>
      </c>
      <c r="W558" s="125" t="str">
        <f>IFERROR(VLOOKUP(V558,TD!$N$33:$O$45,2,0)," ")</f>
        <v>Servicio de atención a emergencias y desastres</v>
      </c>
      <c r="X558" s="127" t="str">
        <f>CONCATENATE(V558,"_",W558)</f>
        <v>004_Servicio de atención a emergencias y desastres</v>
      </c>
      <c r="Y558" s="127" t="str">
        <f>CONCATENATE(U558," ",X558)</f>
        <v>09-Servicio de mantenimiento, dotación (HEA´s y equipo menor) y adquisición de vehiculos   especializados para la atención de emergencias. 004_Servicio de atención a emergencias y desastres</v>
      </c>
      <c r="Z558" s="125" t="str">
        <f>CONCATENATE(P558,Q558,R558,S558,V558)</f>
        <v>O23011745032024025509004</v>
      </c>
      <c r="AA558" s="125" t="str">
        <f>IFERROR(VLOOKUP(Y558,TD!$K$46:$L$64,2,0)," ")</f>
        <v>PM/0131/0109/45030040255</v>
      </c>
      <c r="AB558" s="53" t="s">
        <v>87</v>
      </c>
      <c r="AC558" s="126" t="s">
        <v>204</v>
      </c>
    </row>
    <row r="559" spans="2:29" s="28" customFormat="1" ht="74.25" customHeight="1" x14ac:dyDescent="0.35">
      <c r="B559" s="77">
        <v>20250173</v>
      </c>
      <c r="C559" s="50" t="s">
        <v>209</v>
      </c>
      <c r="D559" s="123" t="s">
        <v>168</v>
      </c>
      <c r="E559" s="51" t="s">
        <v>692</v>
      </c>
      <c r="F559" s="123" t="s">
        <v>547</v>
      </c>
      <c r="G559" s="123" t="s">
        <v>96</v>
      </c>
      <c r="H559" s="97" t="s">
        <v>545</v>
      </c>
      <c r="I559" s="124">
        <v>2</v>
      </c>
      <c r="J559" s="124">
        <v>12</v>
      </c>
      <c r="K559" s="52">
        <v>0</v>
      </c>
      <c r="L559" s="53">
        <v>50000000</v>
      </c>
      <c r="M559" s="123" t="s">
        <v>484</v>
      </c>
      <c r="N559" s="53" t="s">
        <v>100</v>
      </c>
      <c r="O559" s="51" t="s">
        <v>224</v>
      </c>
      <c r="P559" s="125" t="str">
        <f>IFERROR(VLOOKUP(C559,TD!$B$32:$F$36,2,0)," ")</f>
        <v>O230117</v>
      </c>
      <c r="Q559" s="125" t="str">
        <f>IFERROR(VLOOKUP(C559,TD!$B$32:$F$36,3,0)," ")</f>
        <v>4503</v>
      </c>
      <c r="R559" s="125">
        <f>IFERROR(VLOOKUP(C559,TD!$B$32:$F$36,4,0)," ")</f>
        <v>20240255</v>
      </c>
      <c r="S559" s="51" t="s">
        <v>187</v>
      </c>
      <c r="T559" s="125" t="str">
        <f>IFERROR(VLOOKUP(S559,TD!$J$33:$K$43,2,0)," ")</f>
        <v>Servicio de mantenimiento, dotación (HEA´s y equipo menor) y adquisición de vehiculos   especializados para la atención de emergencias.</v>
      </c>
      <c r="U559" s="127" t="str">
        <f>CONCATENATE(S559,"-",T559)</f>
        <v>09-Servicio de mantenimiento, dotación (HEA´s y equipo menor) y adquisición de vehiculos   especializados para la atención de emergencias.</v>
      </c>
      <c r="V559" s="51" t="s">
        <v>232</v>
      </c>
      <c r="W559" s="125" t="str">
        <f>IFERROR(VLOOKUP(V559,TD!$N$33:$O$45,2,0)," ")</f>
        <v>Servicio de atención a emergencias y desastres</v>
      </c>
      <c r="X559" s="127" t="str">
        <f>CONCATENATE(V559,"_",W559)</f>
        <v>004_Servicio de atención a emergencias y desastres</v>
      </c>
      <c r="Y559" s="127" t="str">
        <f>CONCATENATE(U559," ",X559)</f>
        <v>09-Servicio de mantenimiento, dotación (HEA´s y equipo menor) y adquisición de vehiculos   especializados para la atención de emergencias. 004_Servicio de atención a emergencias y desastres</v>
      </c>
      <c r="Z559" s="125" t="str">
        <f>CONCATENATE(P559,Q559,R559,S559,V559)</f>
        <v>O23011745032024025509004</v>
      </c>
      <c r="AA559" s="125" t="str">
        <f>IFERROR(VLOOKUP(Y559,TD!$K$46:$L$64,2,0)," ")</f>
        <v>PM/0131/0109/45030040255</v>
      </c>
      <c r="AB559" s="53" t="s">
        <v>97</v>
      </c>
      <c r="AC559" s="126" t="s">
        <v>204</v>
      </c>
    </row>
    <row r="560" spans="2:29" s="28" customFormat="1" ht="74.25" customHeight="1" x14ac:dyDescent="0.35">
      <c r="B560" s="77">
        <v>20250224</v>
      </c>
      <c r="C560" s="50" t="s">
        <v>209</v>
      </c>
      <c r="D560" s="123" t="s">
        <v>167</v>
      </c>
      <c r="E560" s="51" t="s">
        <v>552</v>
      </c>
      <c r="F560" s="123" t="s">
        <v>372</v>
      </c>
      <c r="G560" s="123" t="s">
        <v>109</v>
      </c>
      <c r="H560" s="97" t="s">
        <v>460</v>
      </c>
      <c r="I560" s="124">
        <v>1</v>
      </c>
      <c r="J560" s="124">
        <v>3</v>
      </c>
      <c r="K560" s="52">
        <v>0</v>
      </c>
      <c r="L560" s="53">
        <v>30000000</v>
      </c>
      <c r="M560" s="123" t="s">
        <v>484</v>
      </c>
      <c r="N560" s="53" t="s">
        <v>553</v>
      </c>
      <c r="O560" s="51" t="s">
        <v>221</v>
      </c>
      <c r="P560" s="125" t="str">
        <f>IFERROR(VLOOKUP(C560,TD!$B$32:$F$36,2,0)," ")</f>
        <v>O230117</v>
      </c>
      <c r="Q560" s="125" t="str">
        <f>IFERROR(VLOOKUP(C560,TD!$B$32:$F$36,3,0)," ")</f>
        <v>4503</v>
      </c>
      <c r="R560" s="125">
        <f>IFERROR(VLOOKUP(C560,TD!$B$32:$F$36,4,0)," ")</f>
        <v>20240255</v>
      </c>
      <c r="S560" s="51" t="s">
        <v>177</v>
      </c>
      <c r="T560" s="125" t="str">
        <f>IFERROR(VLOOKUP(S560,TD!$J$33:$K$43,2,0)," ")</f>
        <v>Servicio de capacitaciones en gestión del riesgo de incendios  a la ciudadania.</v>
      </c>
      <c r="U560" s="127" t="str">
        <f>CONCATENATE(S560,"-",T560)</f>
        <v>05-Servicio de capacitaciones en gestión del riesgo de incendios  a la ciudadania.</v>
      </c>
      <c r="V560" s="51" t="s">
        <v>234</v>
      </c>
      <c r="W560" s="125" t="str">
        <f>IFERROR(VLOOKUP(V560,TD!$N$33:$O$45,2,0)," ")</f>
        <v>Servicio prevención y control de incendios</v>
      </c>
      <c r="X560" s="127" t="str">
        <f>CONCATENATE(V560,"_",W560)</f>
        <v>035_Servicio prevención y control de incendios</v>
      </c>
      <c r="Y560" s="127" t="str">
        <f>CONCATENATE(U560," ",X560)</f>
        <v>05-Servicio de capacitaciones en gestión del riesgo de incendios  a la ciudadania. 035_Servicio prevención y control de incendios</v>
      </c>
      <c r="Z560" s="125" t="str">
        <f>CONCATENATE(P560,Q560,R560,S560,V560)</f>
        <v>O23011745032024025505035</v>
      </c>
      <c r="AA560" s="125" t="str">
        <f>IFERROR(VLOOKUP(Y560,TD!$K$46:$L$64,2,0)," ")</f>
        <v>PM/0131/0105/45030350255</v>
      </c>
      <c r="AB560" s="53" t="s">
        <v>138</v>
      </c>
      <c r="AC560" s="126" t="s">
        <v>204</v>
      </c>
    </row>
    <row r="561" spans="2:29" s="28" customFormat="1" ht="74.25" customHeight="1" x14ac:dyDescent="0.35">
      <c r="B561" s="77">
        <v>20250225</v>
      </c>
      <c r="C561" s="50" t="s">
        <v>209</v>
      </c>
      <c r="D561" s="123" t="s">
        <v>167</v>
      </c>
      <c r="E561" s="51" t="s">
        <v>552</v>
      </c>
      <c r="F561" s="123" t="s">
        <v>371</v>
      </c>
      <c r="G561" s="123" t="s">
        <v>109</v>
      </c>
      <c r="H561" s="97" t="s">
        <v>459</v>
      </c>
      <c r="I561" s="124">
        <v>1</v>
      </c>
      <c r="J561" s="124">
        <v>3</v>
      </c>
      <c r="K561" s="52">
        <v>0</v>
      </c>
      <c r="L561" s="53">
        <v>35000000</v>
      </c>
      <c r="M561" s="123" t="s">
        <v>484</v>
      </c>
      <c r="N561" s="53" t="s">
        <v>554</v>
      </c>
      <c r="O561" s="51" t="s">
        <v>221</v>
      </c>
      <c r="P561" s="125" t="str">
        <f>IFERROR(VLOOKUP(C561,TD!$B$32:$F$36,2,0)," ")</f>
        <v>O230117</v>
      </c>
      <c r="Q561" s="125" t="str">
        <f>IFERROR(VLOOKUP(C561,TD!$B$32:$F$36,3,0)," ")</f>
        <v>4503</v>
      </c>
      <c r="R561" s="125">
        <f>IFERROR(VLOOKUP(C561,TD!$B$32:$F$36,4,0)," ")</f>
        <v>20240255</v>
      </c>
      <c r="S561" s="51" t="s">
        <v>179</v>
      </c>
      <c r="T561" s="125" t="str">
        <f>IFERROR(VLOOKUP(S561,TD!$J$33:$K$43,2,0)," ")</f>
        <v>Infraestructura Tecnológica   (Sistemas de Información y Tecnologia)</v>
      </c>
      <c r="U561" s="127" t="str">
        <f>CONCATENATE(S561,"-",T561)</f>
        <v>11-Infraestructura Tecnológica   (Sistemas de Información y Tecnologia)</v>
      </c>
      <c r="V561" s="51" t="s">
        <v>235</v>
      </c>
      <c r="W561" s="125" t="str">
        <f>IFERROR(VLOOKUP(V561,TD!$N$33:$O$45,2,0)," ")</f>
        <v>"Servicio de monitoreo y seguimiento para la gestión del riesgo"</v>
      </c>
      <c r="X561" s="127" t="str">
        <f>CONCATENATE(V561,"_",W561)</f>
        <v>018_"Servicio de monitoreo y seguimiento para la gestión del riesgo"</v>
      </c>
      <c r="Y561" s="127" t="str">
        <f>CONCATENATE(U561," ",X561)</f>
        <v>11-Infraestructura Tecnológica   (Sistemas de Información y Tecnologia) 018_"Servicio de monitoreo y seguimiento para la gestión del riesgo"</v>
      </c>
      <c r="Z561" s="125" t="str">
        <f>CONCATENATE(P561,Q561,R561,S561,V561)</f>
        <v>O23011745032024025511018</v>
      </c>
      <c r="AA561" s="125" t="str">
        <f>IFERROR(VLOOKUP(Y561,TD!$K$46:$L$64,2,0)," ")</f>
        <v>PM/0131/0111/45030180255</v>
      </c>
      <c r="AB561" s="53" t="s">
        <v>138</v>
      </c>
      <c r="AC561" s="126" t="s">
        <v>204</v>
      </c>
    </row>
    <row r="562" spans="2:29" s="28" customFormat="1" ht="74.25" customHeight="1" x14ac:dyDescent="0.35">
      <c r="B562" s="77">
        <v>20250236</v>
      </c>
      <c r="C562" s="50" t="s">
        <v>209</v>
      </c>
      <c r="D562" s="123" t="s">
        <v>167</v>
      </c>
      <c r="E562" s="51" t="s">
        <v>552</v>
      </c>
      <c r="F562" s="123" t="s">
        <v>560</v>
      </c>
      <c r="G562" s="123" t="s">
        <v>155</v>
      </c>
      <c r="H562" s="97">
        <v>80111600</v>
      </c>
      <c r="I562" s="124">
        <v>1</v>
      </c>
      <c r="J562" s="124">
        <v>10</v>
      </c>
      <c r="K562" s="52">
        <v>0</v>
      </c>
      <c r="L562" s="53">
        <v>50000000</v>
      </c>
      <c r="M562" s="123" t="s">
        <v>484</v>
      </c>
      <c r="N562" s="53" t="s">
        <v>557</v>
      </c>
      <c r="O562" s="51" t="s">
        <v>221</v>
      </c>
      <c r="P562" s="125" t="str">
        <f>IFERROR(VLOOKUP(C562,TD!$B$32:$F$36,2,0)," ")</f>
        <v>O230117</v>
      </c>
      <c r="Q562" s="125" t="str">
        <f>IFERROR(VLOOKUP(C562,TD!$B$32:$F$36,3,0)," ")</f>
        <v>4503</v>
      </c>
      <c r="R562" s="125">
        <f>IFERROR(VLOOKUP(C562,TD!$B$32:$F$36,4,0)," ")</f>
        <v>20240255</v>
      </c>
      <c r="S562" s="51" t="s">
        <v>177</v>
      </c>
      <c r="T562" s="125" t="str">
        <f>IFERROR(VLOOKUP(S562,TD!$J$33:$K$43,2,0)," ")</f>
        <v>Servicio de capacitaciones en gestión del riesgo de incendios  a la ciudadania.</v>
      </c>
      <c r="U562" s="127" t="str">
        <f>CONCATENATE(S562,"-",T562)</f>
        <v>05-Servicio de capacitaciones en gestión del riesgo de incendios  a la ciudadania.</v>
      </c>
      <c r="V562" s="51" t="s">
        <v>233</v>
      </c>
      <c r="W562" s="125" t="str">
        <f>IFERROR(VLOOKUP(V562,TD!$N$33:$O$45,2,0)," ")</f>
        <v>Servicio de educación informal</v>
      </c>
      <c r="X562" s="127" t="str">
        <f>CONCATENATE(V562,"_",W562)</f>
        <v>002_Servicio de educación informal</v>
      </c>
      <c r="Y562" s="127" t="str">
        <f>CONCATENATE(U562," ",X562)</f>
        <v>05-Servicio de capacitaciones en gestión del riesgo de incendios  a la ciudadania. 002_Servicio de educación informal</v>
      </c>
      <c r="Z562" s="125" t="str">
        <f>CONCATENATE(P562,Q562,R562,S562,V562)</f>
        <v>O23011745032024025505002</v>
      </c>
      <c r="AA562" s="125" t="str">
        <f>IFERROR(VLOOKUP(Y562,TD!$K$46:$L$64,2,0)," ")</f>
        <v>PM/0131/0105/45030020255</v>
      </c>
      <c r="AB562" s="53" t="s">
        <v>138</v>
      </c>
      <c r="AC562" s="126" t="s">
        <v>204</v>
      </c>
    </row>
    <row r="563" spans="2:29" s="28" customFormat="1" ht="74.25" customHeight="1" x14ac:dyDescent="0.35">
      <c r="B563" s="77">
        <v>20250267</v>
      </c>
      <c r="C563" s="50" t="s">
        <v>209</v>
      </c>
      <c r="D563" s="123" t="s">
        <v>167</v>
      </c>
      <c r="E563" s="51" t="s">
        <v>552</v>
      </c>
      <c r="F563" s="123" t="s">
        <v>569</v>
      </c>
      <c r="G563" s="123" t="s">
        <v>133</v>
      </c>
      <c r="H563" s="97" t="s">
        <v>570</v>
      </c>
      <c r="I563" s="124">
        <v>1</v>
      </c>
      <c r="J563" s="124">
        <v>12</v>
      </c>
      <c r="K563" s="52">
        <v>0</v>
      </c>
      <c r="L563" s="53">
        <v>107000000</v>
      </c>
      <c r="M563" s="123" t="s">
        <v>484</v>
      </c>
      <c r="N563" s="53" t="s">
        <v>90</v>
      </c>
      <c r="O563" s="51" t="s">
        <v>221</v>
      </c>
      <c r="P563" s="125" t="str">
        <f>IFERROR(VLOOKUP(C563,TD!$B$32:$F$36,2,0)," ")</f>
        <v>O230117</v>
      </c>
      <c r="Q563" s="125" t="str">
        <f>IFERROR(VLOOKUP(C563,TD!$B$32:$F$36,3,0)," ")</f>
        <v>4503</v>
      </c>
      <c r="R563" s="125">
        <f>IFERROR(VLOOKUP(C563,TD!$B$32:$F$36,4,0)," ")</f>
        <v>20240255</v>
      </c>
      <c r="S563" s="51" t="s">
        <v>179</v>
      </c>
      <c r="T563" s="125" t="str">
        <f>IFERROR(VLOOKUP(S563,TD!$J$33:$K$43,2,0)," ")</f>
        <v>Infraestructura Tecnológica   (Sistemas de Información y Tecnologia)</v>
      </c>
      <c r="U563" s="127" t="str">
        <f>CONCATENATE(S563,"-",T563)</f>
        <v>11-Infraestructura Tecnológica   (Sistemas de Información y Tecnologia)</v>
      </c>
      <c r="V563" s="51" t="s">
        <v>235</v>
      </c>
      <c r="W563" s="125" t="str">
        <f>IFERROR(VLOOKUP(V563,TD!$N$33:$O$45,2,0)," ")</f>
        <v>"Servicio de monitoreo y seguimiento para la gestión del riesgo"</v>
      </c>
      <c r="X563" s="127" t="str">
        <f>CONCATENATE(V563,"_",W563)</f>
        <v>018_"Servicio de monitoreo y seguimiento para la gestión del riesgo"</v>
      </c>
      <c r="Y563" s="127" t="str">
        <f>CONCATENATE(U563," ",X563)</f>
        <v>11-Infraestructura Tecnológica   (Sistemas de Información y Tecnologia) 018_"Servicio de monitoreo y seguimiento para la gestión del riesgo"</v>
      </c>
      <c r="Z563" s="125" t="str">
        <f>CONCATENATE(P563,Q563,R563,S563,V563)</f>
        <v>O23011745032024025511018</v>
      </c>
      <c r="AA563" s="125" t="str">
        <f>IFERROR(VLOOKUP(Y563,TD!$K$46:$L$64,2,0)," ")</f>
        <v>PM/0131/0111/45030180255</v>
      </c>
      <c r="AB563" s="53" t="s">
        <v>138</v>
      </c>
      <c r="AC563" s="126" t="s">
        <v>204</v>
      </c>
    </row>
    <row r="564" spans="2:29" s="28" customFormat="1" ht="74.25" customHeight="1" x14ac:dyDescent="0.35">
      <c r="B564" s="77">
        <v>20250268</v>
      </c>
      <c r="C564" s="50" t="s">
        <v>209</v>
      </c>
      <c r="D564" s="123" t="s">
        <v>167</v>
      </c>
      <c r="E564" s="51" t="s">
        <v>552</v>
      </c>
      <c r="F564" s="123" t="s">
        <v>571</v>
      </c>
      <c r="G564" s="123" t="s">
        <v>119</v>
      </c>
      <c r="H564" s="97" t="s">
        <v>460</v>
      </c>
      <c r="I564" s="124">
        <v>1</v>
      </c>
      <c r="J564" s="124">
        <v>3</v>
      </c>
      <c r="K564" s="52">
        <v>0</v>
      </c>
      <c r="L564" s="53">
        <v>50000000</v>
      </c>
      <c r="M564" s="123" t="s">
        <v>484</v>
      </c>
      <c r="N564" s="53" t="s">
        <v>100</v>
      </c>
      <c r="O564" s="51" t="s">
        <v>226</v>
      </c>
      <c r="P564" s="125" t="str">
        <f>IFERROR(VLOOKUP(C564,TD!$B$32:$F$36,2,0)," ")</f>
        <v>O230117</v>
      </c>
      <c r="Q564" s="125" t="str">
        <f>IFERROR(VLOOKUP(C564,TD!$B$32:$F$36,3,0)," ")</f>
        <v>4503</v>
      </c>
      <c r="R564" s="125">
        <f>IFERROR(VLOOKUP(C564,TD!$B$32:$F$36,4,0)," ")</f>
        <v>20240255</v>
      </c>
      <c r="S564" s="51" t="s">
        <v>179</v>
      </c>
      <c r="T564" s="125" t="str">
        <f>IFERROR(VLOOKUP(S564,TD!$J$33:$K$43,2,0)," ")</f>
        <v>Infraestructura Tecnológica   (Sistemas de Información y Tecnologia)</v>
      </c>
      <c r="U564" s="127" t="str">
        <f>CONCATENATE(S564,"-",T564)</f>
        <v>11-Infraestructura Tecnológica   (Sistemas de Información y Tecnologia)</v>
      </c>
      <c r="V564" s="51" t="s">
        <v>235</v>
      </c>
      <c r="W564" s="125" t="str">
        <f>IFERROR(VLOOKUP(V564,TD!$N$33:$O$45,2,0)," ")</f>
        <v>"Servicio de monitoreo y seguimiento para la gestión del riesgo"</v>
      </c>
      <c r="X564" s="127" t="str">
        <f>CONCATENATE(V564,"_",W564)</f>
        <v>018_"Servicio de monitoreo y seguimiento para la gestión del riesgo"</v>
      </c>
      <c r="Y564" s="127" t="str">
        <f>CONCATENATE(U564," ",X564)</f>
        <v>11-Infraestructura Tecnológica   (Sistemas de Información y Tecnologia) 018_"Servicio de monitoreo y seguimiento para la gestión del riesgo"</v>
      </c>
      <c r="Z564" s="125" t="str">
        <f>CONCATENATE(P564,Q564,R564,S564,V564)</f>
        <v>O23011745032024025511018</v>
      </c>
      <c r="AA564" s="125" t="str">
        <f>IFERROR(VLOOKUP(Y564,TD!$K$46:$L$64,2,0)," ")</f>
        <v>PM/0131/0111/45030180255</v>
      </c>
      <c r="AB564" s="53" t="s">
        <v>138</v>
      </c>
      <c r="AC564" s="126" t="s">
        <v>204</v>
      </c>
    </row>
    <row r="565" spans="2:29" s="28" customFormat="1" ht="74.25" customHeight="1" x14ac:dyDescent="0.35">
      <c r="B565" s="77">
        <v>20250288</v>
      </c>
      <c r="C565" s="50" t="s">
        <v>209</v>
      </c>
      <c r="D565" s="123" t="s">
        <v>167</v>
      </c>
      <c r="E565" s="51" t="s">
        <v>552</v>
      </c>
      <c r="F565" s="123" t="s">
        <v>370</v>
      </c>
      <c r="G565" s="123" t="s">
        <v>155</v>
      </c>
      <c r="H565" s="97">
        <v>80111600</v>
      </c>
      <c r="I565" s="124">
        <v>1</v>
      </c>
      <c r="J565" s="124">
        <v>10</v>
      </c>
      <c r="K565" s="52">
        <v>0</v>
      </c>
      <c r="L565" s="53">
        <v>90000000</v>
      </c>
      <c r="M565" s="123" t="s">
        <v>484</v>
      </c>
      <c r="N565" s="53" t="s">
        <v>557</v>
      </c>
      <c r="O565" s="51" t="s">
        <v>221</v>
      </c>
      <c r="P565" s="125" t="str">
        <f>IFERROR(VLOOKUP(C565,TD!$B$32:$F$36,2,0)," ")</f>
        <v>O230117</v>
      </c>
      <c r="Q565" s="125" t="str">
        <f>IFERROR(VLOOKUP(C565,TD!$B$32:$F$36,3,0)," ")</f>
        <v>4503</v>
      </c>
      <c r="R565" s="125">
        <f>IFERROR(VLOOKUP(C565,TD!$B$32:$F$36,4,0)," ")</f>
        <v>20240255</v>
      </c>
      <c r="S565" s="51" t="s">
        <v>177</v>
      </c>
      <c r="T565" s="125" t="str">
        <f>IFERROR(VLOOKUP(S565,TD!$J$33:$K$43,2,0)," ")</f>
        <v>Servicio de capacitaciones en gestión del riesgo de incendios  a la ciudadania.</v>
      </c>
      <c r="U565" s="127" t="str">
        <f>CONCATENATE(S565,"-",T565)</f>
        <v>05-Servicio de capacitaciones en gestión del riesgo de incendios  a la ciudadania.</v>
      </c>
      <c r="V565" s="51" t="s">
        <v>234</v>
      </c>
      <c r="W565" s="125" t="str">
        <f>IFERROR(VLOOKUP(V565,TD!$N$33:$O$45,2,0)," ")</f>
        <v>Servicio prevención y control de incendios</v>
      </c>
      <c r="X565" s="127" t="str">
        <f>CONCATENATE(V565,"_",W565)</f>
        <v>035_Servicio prevención y control de incendios</v>
      </c>
      <c r="Y565" s="127" t="str">
        <f>CONCATENATE(U565," ",X565)</f>
        <v>05-Servicio de capacitaciones en gestión del riesgo de incendios  a la ciudadania. 035_Servicio prevención y control de incendios</v>
      </c>
      <c r="Z565" s="125" t="str">
        <f>CONCATENATE(P565,Q565,R565,S565,V565)</f>
        <v>O23011745032024025505035</v>
      </c>
      <c r="AA565" s="125" t="str">
        <f>IFERROR(VLOOKUP(Y565,TD!$K$46:$L$64,2,0)," ")</f>
        <v>PM/0131/0105/45030350255</v>
      </c>
      <c r="AB565" s="53" t="s">
        <v>138</v>
      </c>
      <c r="AC565" s="126" t="s">
        <v>204</v>
      </c>
    </row>
    <row r="566" spans="2:29" s="28" customFormat="1" ht="74.25" customHeight="1" x14ac:dyDescent="0.35">
      <c r="B566" s="77">
        <v>20250293</v>
      </c>
      <c r="C566" s="50" t="s">
        <v>209</v>
      </c>
      <c r="D566" s="123" t="s">
        <v>169</v>
      </c>
      <c r="E566" s="51" t="s">
        <v>573</v>
      </c>
      <c r="F566" s="123" t="s">
        <v>574</v>
      </c>
      <c r="G566" s="123" t="s">
        <v>156</v>
      </c>
      <c r="H566" s="97">
        <v>80111600</v>
      </c>
      <c r="I566" s="124">
        <v>2</v>
      </c>
      <c r="J566" s="124">
        <v>10</v>
      </c>
      <c r="K566" s="52">
        <v>15</v>
      </c>
      <c r="L566" s="53">
        <v>29767500</v>
      </c>
      <c r="M566" s="123" t="s">
        <v>484</v>
      </c>
      <c r="N566" s="53" t="s">
        <v>113</v>
      </c>
      <c r="O566" s="51" t="s">
        <v>222</v>
      </c>
      <c r="P566" s="125" t="str">
        <f>IFERROR(VLOOKUP(C566,TD!$B$32:$F$36,2,0)," ")</f>
        <v>O230117</v>
      </c>
      <c r="Q566" s="125" t="str">
        <f>IFERROR(VLOOKUP(C566,TD!$B$32:$F$36,3,0)," ")</f>
        <v>4503</v>
      </c>
      <c r="R566" s="125">
        <f>IFERROR(VLOOKUP(C566,TD!$B$32:$F$36,4,0)," ")</f>
        <v>20240255</v>
      </c>
      <c r="S566" s="51" t="s">
        <v>175</v>
      </c>
      <c r="T566" s="125" t="str">
        <f>IFERROR(VLOOKUP(S566,TD!$J$33:$K$43,2,0)," ")</f>
        <v>Servicio de atención a incidentes y emergencias.</v>
      </c>
      <c r="U566" s="127" t="str">
        <f>CONCATENATE(S566,"-",T566)</f>
        <v>04-Servicio de atención a incidentes y emergencias.</v>
      </c>
      <c r="V566" s="51" t="s">
        <v>232</v>
      </c>
      <c r="W566" s="125" t="str">
        <f>IFERROR(VLOOKUP(V566,TD!$N$33:$O$45,2,0)," ")</f>
        <v>Servicio de atención a emergencias y desastres</v>
      </c>
      <c r="X566" s="127" t="str">
        <f>CONCATENATE(V566,"_",W566)</f>
        <v>004_Servicio de atención a emergencias y desastres</v>
      </c>
      <c r="Y566" s="127" t="str">
        <f>CONCATENATE(U566," ",X566)</f>
        <v>04-Servicio de atención a incidentes y emergencias. 004_Servicio de atención a emergencias y desastres</v>
      </c>
      <c r="Z566" s="125" t="str">
        <f>CONCATENATE(P566,Q566,R566,S566,V566)</f>
        <v>O23011745032024025504004</v>
      </c>
      <c r="AA566" s="125" t="str">
        <f>IFERROR(VLOOKUP(Y566,TD!$K$46:$L$64,2,0)," ")</f>
        <v>PM/0131/0104/45030040255</v>
      </c>
      <c r="AB566" s="53" t="s">
        <v>138</v>
      </c>
      <c r="AC566" s="126" t="s">
        <v>204</v>
      </c>
    </row>
    <row r="567" spans="2:29" s="28" customFormat="1" ht="74.25" customHeight="1" x14ac:dyDescent="0.35">
      <c r="B567" s="77">
        <v>20250294</v>
      </c>
      <c r="C567" s="50" t="s">
        <v>209</v>
      </c>
      <c r="D567" s="123" t="s">
        <v>169</v>
      </c>
      <c r="E567" s="51" t="s">
        <v>573</v>
      </c>
      <c r="F567" s="123" t="s">
        <v>574</v>
      </c>
      <c r="G567" s="123" t="s">
        <v>156</v>
      </c>
      <c r="H567" s="97">
        <v>80111600</v>
      </c>
      <c r="I567" s="124">
        <v>2</v>
      </c>
      <c r="J567" s="124">
        <v>10</v>
      </c>
      <c r="K567" s="52">
        <v>15</v>
      </c>
      <c r="L567" s="53">
        <v>29767500</v>
      </c>
      <c r="M567" s="123" t="s">
        <v>484</v>
      </c>
      <c r="N567" s="53" t="s">
        <v>113</v>
      </c>
      <c r="O567" s="51" t="s">
        <v>222</v>
      </c>
      <c r="P567" s="125" t="str">
        <f>IFERROR(VLOOKUP(C567,TD!$B$32:$F$36,2,0)," ")</f>
        <v>O230117</v>
      </c>
      <c r="Q567" s="125" t="str">
        <f>IFERROR(VLOOKUP(C567,TD!$B$32:$F$36,3,0)," ")</f>
        <v>4503</v>
      </c>
      <c r="R567" s="125">
        <f>IFERROR(VLOOKUP(C567,TD!$B$32:$F$36,4,0)," ")</f>
        <v>20240255</v>
      </c>
      <c r="S567" s="51" t="s">
        <v>175</v>
      </c>
      <c r="T567" s="125" t="str">
        <f>IFERROR(VLOOKUP(S567,TD!$J$33:$K$43,2,0)," ")</f>
        <v>Servicio de atención a incidentes y emergencias.</v>
      </c>
      <c r="U567" s="127" t="str">
        <f>CONCATENATE(S567,"-",T567)</f>
        <v>04-Servicio de atención a incidentes y emergencias.</v>
      </c>
      <c r="V567" s="51" t="s">
        <v>232</v>
      </c>
      <c r="W567" s="125" t="str">
        <f>IFERROR(VLOOKUP(V567,TD!$N$33:$O$45,2,0)," ")</f>
        <v>Servicio de atención a emergencias y desastres</v>
      </c>
      <c r="X567" s="127" t="str">
        <f>CONCATENATE(V567,"_",W567)</f>
        <v>004_Servicio de atención a emergencias y desastres</v>
      </c>
      <c r="Y567" s="127" t="str">
        <f>CONCATENATE(U567," ",X567)</f>
        <v>04-Servicio de atención a incidentes y emergencias. 004_Servicio de atención a emergencias y desastres</v>
      </c>
      <c r="Z567" s="125" t="str">
        <f>CONCATENATE(P567,Q567,R567,S567,V567)</f>
        <v>O23011745032024025504004</v>
      </c>
      <c r="AA567" s="125" t="str">
        <f>IFERROR(VLOOKUP(Y567,TD!$K$46:$L$64,2,0)," ")</f>
        <v>PM/0131/0104/45030040255</v>
      </c>
      <c r="AB567" s="53" t="s">
        <v>138</v>
      </c>
      <c r="AC567" s="126" t="s">
        <v>204</v>
      </c>
    </row>
    <row r="568" spans="2:29" s="28" customFormat="1" ht="74.25" customHeight="1" x14ac:dyDescent="0.35">
      <c r="B568" s="77">
        <v>20250295</v>
      </c>
      <c r="C568" s="50" t="s">
        <v>209</v>
      </c>
      <c r="D568" s="123" t="s">
        <v>169</v>
      </c>
      <c r="E568" s="51" t="s">
        <v>573</v>
      </c>
      <c r="F568" s="135" t="s">
        <v>574</v>
      </c>
      <c r="G568" s="123" t="s">
        <v>156</v>
      </c>
      <c r="H568" s="97">
        <v>80111600</v>
      </c>
      <c r="I568" s="124">
        <v>2</v>
      </c>
      <c r="J568" s="124">
        <v>10</v>
      </c>
      <c r="K568" s="52">
        <v>15</v>
      </c>
      <c r="L568" s="53">
        <v>29767500</v>
      </c>
      <c r="M568" s="123" t="s">
        <v>484</v>
      </c>
      <c r="N568" s="53" t="s">
        <v>113</v>
      </c>
      <c r="O568" s="51" t="s">
        <v>222</v>
      </c>
      <c r="P568" s="125" t="str">
        <f>IFERROR(VLOOKUP(C568,TD!$B$32:$F$36,2,0)," ")</f>
        <v>O230117</v>
      </c>
      <c r="Q568" s="125" t="str">
        <f>IFERROR(VLOOKUP(C568,TD!$B$32:$F$36,3,0)," ")</f>
        <v>4503</v>
      </c>
      <c r="R568" s="125">
        <f>IFERROR(VLOOKUP(C568,TD!$B$32:$F$36,4,0)," ")</f>
        <v>20240255</v>
      </c>
      <c r="S568" s="51" t="s">
        <v>175</v>
      </c>
      <c r="T568" s="125" t="str">
        <f>IFERROR(VLOOKUP(S568,TD!$J$33:$K$43,2,0)," ")</f>
        <v>Servicio de atención a incidentes y emergencias.</v>
      </c>
      <c r="U568" s="127" t="str">
        <f>CONCATENATE(S568,"-",T568)</f>
        <v>04-Servicio de atención a incidentes y emergencias.</v>
      </c>
      <c r="V568" s="51" t="s">
        <v>232</v>
      </c>
      <c r="W568" s="125" t="str">
        <f>IFERROR(VLOOKUP(V568,TD!$N$33:$O$45,2,0)," ")</f>
        <v>Servicio de atención a emergencias y desastres</v>
      </c>
      <c r="X568" s="127" t="str">
        <f>CONCATENATE(V568,"_",W568)</f>
        <v>004_Servicio de atención a emergencias y desastres</v>
      </c>
      <c r="Y568" s="127" t="str">
        <f>CONCATENATE(U568," ",X568)</f>
        <v>04-Servicio de atención a incidentes y emergencias. 004_Servicio de atención a emergencias y desastres</v>
      </c>
      <c r="Z568" s="125" t="str">
        <f>CONCATENATE(P568,Q568,R568,S568,V568)</f>
        <v>O23011745032024025504004</v>
      </c>
      <c r="AA568" s="125" t="str">
        <f>IFERROR(VLOOKUP(Y568,TD!$K$46:$L$64,2,0)," ")</f>
        <v>PM/0131/0104/45030040255</v>
      </c>
      <c r="AB568" s="53" t="s">
        <v>138</v>
      </c>
      <c r="AC568" s="126" t="s">
        <v>204</v>
      </c>
    </row>
    <row r="569" spans="2:29" s="28" customFormat="1" ht="74.25" customHeight="1" x14ac:dyDescent="0.35">
      <c r="B569" s="77">
        <v>20250296</v>
      </c>
      <c r="C569" s="50" t="s">
        <v>209</v>
      </c>
      <c r="D569" s="123" t="s">
        <v>169</v>
      </c>
      <c r="E569" s="51" t="s">
        <v>573</v>
      </c>
      <c r="F569" s="123" t="s">
        <v>574</v>
      </c>
      <c r="G569" s="123" t="s">
        <v>156</v>
      </c>
      <c r="H569" s="97">
        <v>80111600</v>
      </c>
      <c r="I569" s="124">
        <v>2</v>
      </c>
      <c r="J569" s="124">
        <v>10</v>
      </c>
      <c r="K569" s="52">
        <v>15</v>
      </c>
      <c r="L569" s="53">
        <v>29767500</v>
      </c>
      <c r="M569" s="123" t="s">
        <v>484</v>
      </c>
      <c r="N569" s="53" t="s">
        <v>113</v>
      </c>
      <c r="O569" s="51" t="s">
        <v>222</v>
      </c>
      <c r="P569" s="125" t="str">
        <f>IFERROR(VLOOKUP(C569,TD!$B$32:$F$36,2,0)," ")</f>
        <v>O230117</v>
      </c>
      <c r="Q569" s="125" t="str">
        <f>IFERROR(VLOOKUP(C569,TD!$B$32:$F$36,3,0)," ")</f>
        <v>4503</v>
      </c>
      <c r="R569" s="125">
        <f>IFERROR(VLOOKUP(C569,TD!$B$32:$F$36,4,0)," ")</f>
        <v>20240255</v>
      </c>
      <c r="S569" s="51" t="s">
        <v>175</v>
      </c>
      <c r="T569" s="125" t="str">
        <f>IFERROR(VLOOKUP(S569,TD!$J$33:$K$43,2,0)," ")</f>
        <v>Servicio de atención a incidentes y emergencias.</v>
      </c>
      <c r="U569" s="127" t="str">
        <f>CONCATENATE(S569,"-",T569)</f>
        <v>04-Servicio de atención a incidentes y emergencias.</v>
      </c>
      <c r="V569" s="51" t="s">
        <v>232</v>
      </c>
      <c r="W569" s="125" t="str">
        <f>IFERROR(VLOOKUP(V569,TD!$N$33:$O$45,2,0)," ")</f>
        <v>Servicio de atención a emergencias y desastres</v>
      </c>
      <c r="X569" s="127" t="str">
        <f>CONCATENATE(V569,"_",W569)</f>
        <v>004_Servicio de atención a emergencias y desastres</v>
      </c>
      <c r="Y569" s="127" t="str">
        <f>CONCATENATE(U569," ",X569)</f>
        <v>04-Servicio de atención a incidentes y emergencias. 004_Servicio de atención a emergencias y desastres</v>
      </c>
      <c r="Z569" s="125" t="str">
        <f>CONCATENATE(P569,Q569,R569,S569,V569)</f>
        <v>O23011745032024025504004</v>
      </c>
      <c r="AA569" s="125" t="str">
        <f>IFERROR(VLOOKUP(Y569,TD!$K$46:$L$64,2,0)," ")</f>
        <v>PM/0131/0104/45030040255</v>
      </c>
      <c r="AB569" s="53" t="s">
        <v>138</v>
      </c>
      <c r="AC569" s="126" t="s">
        <v>204</v>
      </c>
    </row>
    <row r="570" spans="2:29" s="28" customFormat="1" ht="74.25" customHeight="1" x14ac:dyDescent="0.35">
      <c r="B570" s="77">
        <v>20250297</v>
      </c>
      <c r="C570" s="50" t="s">
        <v>209</v>
      </c>
      <c r="D570" s="123" t="s">
        <v>169</v>
      </c>
      <c r="E570" s="51" t="s">
        <v>573</v>
      </c>
      <c r="F570" s="123" t="s">
        <v>574</v>
      </c>
      <c r="G570" s="123" t="s">
        <v>156</v>
      </c>
      <c r="H570" s="97">
        <v>80111600</v>
      </c>
      <c r="I570" s="124">
        <v>3</v>
      </c>
      <c r="J570" s="124">
        <v>10</v>
      </c>
      <c r="K570" s="52">
        <v>0</v>
      </c>
      <c r="L570" s="53">
        <v>28350000</v>
      </c>
      <c r="M570" s="123" t="s">
        <v>484</v>
      </c>
      <c r="N570" s="53" t="s">
        <v>113</v>
      </c>
      <c r="O570" s="51" t="s">
        <v>222</v>
      </c>
      <c r="P570" s="125" t="str">
        <f>IFERROR(VLOOKUP(C570,TD!$B$32:$F$36,2,0)," ")</f>
        <v>O230117</v>
      </c>
      <c r="Q570" s="125" t="str">
        <f>IFERROR(VLOOKUP(C570,TD!$B$32:$F$36,3,0)," ")</f>
        <v>4503</v>
      </c>
      <c r="R570" s="125">
        <f>IFERROR(VLOOKUP(C570,TD!$B$32:$F$36,4,0)," ")</f>
        <v>20240255</v>
      </c>
      <c r="S570" s="51" t="s">
        <v>175</v>
      </c>
      <c r="T570" s="125" t="str">
        <f>IFERROR(VLOOKUP(S570,TD!$J$33:$K$43,2,0)," ")</f>
        <v>Servicio de atención a incidentes y emergencias.</v>
      </c>
      <c r="U570" s="127" t="str">
        <f>CONCATENATE(S570,"-",T570)</f>
        <v>04-Servicio de atención a incidentes y emergencias.</v>
      </c>
      <c r="V570" s="51" t="s">
        <v>232</v>
      </c>
      <c r="W570" s="125" t="str">
        <f>IFERROR(VLOOKUP(V570,TD!$N$33:$O$45,2,0)," ")</f>
        <v>Servicio de atención a emergencias y desastres</v>
      </c>
      <c r="X570" s="127" t="str">
        <f>CONCATENATE(V570,"_",W570)</f>
        <v>004_Servicio de atención a emergencias y desastres</v>
      </c>
      <c r="Y570" s="127" t="str">
        <f>CONCATENATE(U570," ",X570)</f>
        <v>04-Servicio de atención a incidentes y emergencias. 004_Servicio de atención a emergencias y desastres</v>
      </c>
      <c r="Z570" s="125" t="str">
        <f>CONCATENATE(P570,Q570,R570,S570,V570)</f>
        <v>O23011745032024025504004</v>
      </c>
      <c r="AA570" s="125" t="str">
        <f>IFERROR(VLOOKUP(Y570,TD!$K$46:$L$64,2,0)," ")</f>
        <v>PM/0131/0104/45030040255</v>
      </c>
      <c r="AB570" s="53" t="s">
        <v>138</v>
      </c>
      <c r="AC570" s="126" t="s">
        <v>204</v>
      </c>
    </row>
    <row r="571" spans="2:29" s="28" customFormat="1" ht="74.25" customHeight="1" x14ac:dyDescent="0.35">
      <c r="B571" s="77">
        <v>20250298</v>
      </c>
      <c r="C571" s="50" t="s">
        <v>209</v>
      </c>
      <c r="D571" s="123" t="s">
        <v>169</v>
      </c>
      <c r="E571" s="51" t="s">
        <v>573</v>
      </c>
      <c r="F571" s="123" t="s">
        <v>574</v>
      </c>
      <c r="G571" s="123" t="s">
        <v>156</v>
      </c>
      <c r="H571" s="97">
        <v>80111600</v>
      </c>
      <c r="I571" s="124">
        <v>3</v>
      </c>
      <c r="J571" s="124">
        <v>10</v>
      </c>
      <c r="K571" s="52">
        <v>0</v>
      </c>
      <c r="L571" s="53">
        <v>28350000</v>
      </c>
      <c r="M571" s="123" t="s">
        <v>484</v>
      </c>
      <c r="N571" s="53" t="s">
        <v>113</v>
      </c>
      <c r="O571" s="51" t="s">
        <v>222</v>
      </c>
      <c r="P571" s="125" t="str">
        <f>IFERROR(VLOOKUP(C571,TD!$B$32:$F$36,2,0)," ")</f>
        <v>O230117</v>
      </c>
      <c r="Q571" s="125" t="str">
        <f>IFERROR(VLOOKUP(C571,TD!$B$32:$F$36,3,0)," ")</f>
        <v>4503</v>
      </c>
      <c r="R571" s="125">
        <f>IFERROR(VLOOKUP(C571,TD!$B$32:$F$36,4,0)," ")</f>
        <v>20240255</v>
      </c>
      <c r="S571" s="51" t="s">
        <v>175</v>
      </c>
      <c r="T571" s="125" t="str">
        <f>IFERROR(VLOOKUP(S571,TD!$J$33:$K$43,2,0)," ")</f>
        <v>Servicio de atención a incidentes y emergencias.</v>
      </c>
      <c r="U571" s="127" t="str">
        <f>CONCATENATE(S571,"-",T571)</f>
        <v>04-Servicio de atención a incidentes y emergencias.</v>
      </c>
      <c r="V571" s="51" t="s">
        <v>232</v>
      </c>
      <c r="W571" s="125" t="str">
        <f>IFERROR(VLOOKUP(V571,TD!$N$33:$O$45,2,0)," ")</f>
        <v>Servicio de atención a emergencias y desastres</v>
      </c>
      <c r="X571" s="127" t="str">
        <f>CONCATENATE(V571,"_",W571)</f>
        <v>004_Servicio de atención a emergencias y desastres</v>
      </c>
      <c r="Y571" s="127" t="str">
        <f>CONCATENATE(U571," ",X571)</f>
        <v>04-Servicio de atención a incidentes y emergencias. 004_Servicio de atención a emergencias y desastres</v>
      </c>
      <c r="Z571" s="125" t="str">
        <f>CONCATENATE(P571,Q571,R571,S571,V571)</f>
        <v>O23011745032024025504004</v>
      </c>
      <c r="AA571" s="125" t="str">
        <f>IFERROR(VLOOKUP(Y571,TD!$K$46:$L$64,2,0)," ")</f>
        <v>PM/0131/0104/45030040255</v>
      </c>
      <c r="AB571" s="53" t="s">
        <v>138</v>
      </c>
      <c r="AC571" s="126" t="s">
        <v>204</v>
      </c>
    </row>
    <row r="572" spans="2:29" s="28" customFormat="1" ht="74.25" customHeight="1" x14ac:dyDescent="0.35">
      <c r="B572" s="77">
        <v>20250299</v>
      </c>
      <c r="C572" s="50" t="s">
        <v>209</v>
      </c>
      <c r="D572" s="123" t="s">
        <v>169</v>
      </c>
      <c r="E572" s="51" t="s">
        <v>573</v>
      </c>
      <c r="F572" s="123" t="s">
        <v>574</v>
      </c>
      <c r="G572" s="123" t="s">
        <v>156</v>
      </c>
      <c r="H572" s="97">
        <v>80111600</v>
      </c>
      <c r="I572" s="124">
        <v>3</v>
      </c>
      <c r="J572" s="124">
        <v>10</v>
      </c>
      <c r="K572" s="52">
        <v>0</v>
      </c>
      <c r="L572" s="53">
        <v>28350000</v>
      </c>
      <c r="M572" s="123" t="s">
        <v>484</v>
      </c>
      <c r="N572" s="53" t="s">
        <v>113</v>
      </c>
      <c r="O572" s="51" t="s">
        <v>222</v>
      </c>
      <c r="P572" s="125" t="str">
        <f>IFERROR(VLOOKUP(C572,TD!$B$32:$F$36,2,0)," ")</f>
        <v>O230117</v>
      </c>
      <c r="Q572" s="125" t="str">
        <f>IFERROR(VLOOKUP(C572,TD!$B$32:$F$36,3,0)," ")</f>
        <v>4503</v>
      </c>
      <c r="R572" s="125">
        <f>IFERROR(VLOOKUP(C572,TD!$B$32:$F$36,4,0)," ")</f>
        <v>20240255</v>
      </c>
      <c r="S572" s="51" t="s">
        <v>175</v>
      </c>
      <c r="T572" s="125" t="str">
        <f>IFERROR(VLOOKUP(S572,TD!$J$33:$K$43,2,0)," ")</f>
        <v>Servicio de atención a incidentes y emergencias.</v>
      </c>
      <c r="U572" s="127" t="str">
        <f>CONCATENATE(S572,"-",T572)</f>
        <v>04-Servicio de atención a incidentes y emergencias.</v>
      </c>
      <c r="V572" s="51" t="s">
        <v>232</v>
      </c>
      <c r="W572" s="125" t="str">
        <f>IFERROR(VLOOKUP(V572,TD!$N$33:$O$45,2,0)," ")</f>
        <v>Servicio de atención a emergencias y desastres</v>
      </c>
      <c r="X572" s="127" t="str">
        <f>CONCATENATE(V572,"_",W572)</f>
        <v>004_Servicio de atención a emergencias y desastres</v>
      </c>
      <c r="Y572" s="127" t="str">
        <f>CONCATENATE(U572," ",X572)</f>
        <v>04-Servicio de atención a incidentes y emergencias. 004_Servicio de atención a emergencias y desastres</v>
      </c>
      <c r="Z572" s="125" t="str">
        <f>CONCATENATE(P572,Q572,R572,S572,V572)</f>
        <v>O23011745032024025504004</v>
      </c>
      <c r="AA572" s="125" t="str">
        <f>IFERROR(VLOOKUP(Y572,TD!$K$46:$L$64,2,0)," ")</f>
        <v>PM/0131/0104/45030040255</v>
      </c>
      <c r="AB572" s="53" t="s">
        <v>138</v>
      </c>
      <c r="AC572" s="126" t="s">
        <v>204</v>
      </c>
    </row>
    <row r="573" spans="2:29" s="28" customFormat="1" ht="74.25" customHeight="1" x14ac:dyDescent="0.35">
      <c r="B573" s="77">
        <v>20250308</v>
      </c>
      <c r="C573" s="50" t="s">
        <v>209</v>
      </c>
      <c r="D573" s="123" t="s">
        <v>169</v>
      </c>
      <c r="E573" s="51" t="s">
        <v>573</v>
      </c>
      <c r="F573" s="123" t="s">
        <v>575</v>
      </c>
      <c r="G573" s="123" t="s">
        <v>156</v>
      </c>
      <c r="H573" s="97">
        <v>80111600</v>
      </c>
      <c r="I573" s="124">
        <v>2</v>
      </c>
      <c r="J573" s="124">
        <v>10</v>
      </c>
      <c r="K573" s="52">
        <v>15</v>
      </c>
      <c r="L573" s="53">
        <v>25357500</v>
      </c>
      <c r="M573" s="123" t="s">
        <v>484</v>
      </c>
      <c r="N573" s="53" t="s">
        <v>113</v>
      </c>
      <c r="O573" s="51" t="s">
        <v>222</v>
      </c>
      <c r="P573" s="125" t="str">
        <f>IFERROR(VLOOKUP(C573,TD!$B$32:$F$36,2,0)," ")</f>
        <v>O230117</v>
      </c>
      <c r="Q573" s="125" t="str">
        <f>IFERROR(VLOOKUP(C573,TD!$B$32:$F$36,3,0)," ")</f>
        <v>4503</v>
      </c>
      <c r="R573" s="125">
        <f>IFERROR(VLOOKUP(C573,TD!$B$32:$F$36,4,0)," ")</f>
        <v>20240255</v>
      </c>
      <c r="S573" s="51" t="s">
        <v>175</v>
      </c>
      <c r="T573" s="125" t="str">
        <f>IFERROR(VLOOKUP(S573,TD!$J$33:$K$43,2,0)," ")</f>
        <v>Servicio de atención a incidentes y emergencias.</v>
      </c>
      <c r="U573" s="127" t="str">
        <f>CONCATENATE(S573,"-",T573)</f>
        <v>04-Servicio de atención a incidentes y emergencias.</v>
      </c>
      <c r="V573" s="51" t="s">
        <v>232</v>
      </c>
      <c r="W573" s="125" t="str">
        <f>IFERROR(VLOOKUP(V573,TD!$N$33:$O$45,2,0)," ")</f>
        <v>Servicio de atención a emergencias y desastres</v>
      </c>
      <c r="X573" s="127" t="str">
        <f>CONCATENATE(V573,"_",W573)</f>
        <v>004_Servicio de atención a emergencias y desastres</v>
      </c>
      <c r="Y573" s="127" t="str">
        <f>CONCATENATE(U573," ",X573)</f>
        <v>04-Servicio de atención a incidentes y emergencias. 004_Servicio de atención a emergencias y desastres</v>
      </c>
      <c r="Z573" s="125" t="str">
        <f>CONCATENATE(P573,Q573,R573,S573,V573)</f>
        <v>O23011745032024025504004</v>
      </c>
      <c r="AA573" s="125" t="str">
        <f>IFERROR(VLOOKUP(Y573,TD!$K$46:$L$64,2,0)," ")</f>
        <v>PM/0131/0104/45030040255</v>
      </c>
      <c r="AB573" s="53" t="s">
        <v>138</v>
      </c>
      <c r="AC573" s="126" t="s">
        <v>204</v>
      </c>
    </row>
    <row r="574" spans="2:29" s="28" customFormat="1" ht="74.25" customHeight="1" x14ac:dyDescent="0.35">
      <c r="B574" s="77">
        <v>20250309</v>
      </c>
      <c r="C574" s="50" t="s">
        <v>209</v>
      </c>
      <c r="D574" s="123" t="s">
        <v>169</v>
      </c>
      <c r="E574" s="51" t="s">
        <v>573</v>
      </c>
      <c r="F574" s="123" t="s">
        <v>575</v>
      </c>
      <c r="G574" s="123" t="s">
        <v>156</v>
      </c>
      <c r="H574" s="97">
        <v>80111600</v>
      </c>
      <c r="I574" s="124">
        <v>3</v>
      </c>
      <c r="J574" s="124">
        <v>10</v>
      </c>
      <c r="K574" s="52">
        <v>0</v>
      </c>
      <c r="L574" s="53">
        <v>24150000</v>
      </c>
      <c r="M574" s="123" t="s">
        <v>484</v>
      </c>
      <c r="N574" s="53" t="s">
        <v>113</v>
      </c>
      <c r="O574" s="51" t="s">
        <v>222</v>
      </c>
      <c r="P574" s="125" t="str">
        <f>IFERROR(VLOOKUP(C574,TD!$B$32:$F$36,2,0)," ")</f>
        <v>O230117</v>
      </c>
      <c r="Q574" s="125" t="str">
        <f>IFERROR(VLOOKUP(C574,TD!$B$32:$F$36,3,0)," ")</f>
        <v>4503</v>
      </c>
      <c r="R574" s="125">
        <f>IFERROR(VLOOKUP(C574,TD!$B$32:$F$36,4,0)," ")</f>
        <v>20240255</v>
      </c>
      <c r="S574" s="51" t="s">
        <v>175</v>
      </c>
      <c r="T574" s="125" t="str">
        <f>IFERROR(VLOOKUP(S574,TD!$J$33:$K$43,2,0)," ")</f>
        <v>Servicio de atención a incidentes y emergencias.</v>
      </c>
      <c r="U574" s="127" t="str">
        <f>CONCATENATE(S574,"-",T574)</f>
        <v>04-Servicio de atención a incidentes y emergencias.</v>
      </c>
      <c r="V574" s="51" t="s">
        <v>232</v>
      </c>
      <c r="W574" s="125" t="str">
        <f>IFERROR(VLOOKUP(V574,TD!$N$33:$O$45,2,0)," ")</f>
        <v>Servicio de atención a emergencias y desastres</v>
      </c>
      <c r="X574" s="127" t="str">
        <f>CONCATENATE(V574,"_",W574)</f>
        <v>004_Servicio de atención a emergencias y desastres</v>
      </c>
      <c r="Y574" s="127" t="str">
        <f>CONCATENATE(U574," ",X574)</f>
        <v>04-Servicio de atención a incidentes y emergencias. 004_Servicio de atención a emergencias y desastres</v>
      </c>
      <c r="Z574" s="125" t="str">
        <f>CONCATENATE(P574,Q574,R574,S574,V574)</f>
        <v>O23011745032024025504004</v>
      </c>
      <c r="AA574" s="125" t="str">
        <f>IFERROR(VLOOKUP(Y574,TD!$K$46:$L$64,2,0)," ")</f>
        <v>PM/0131/0104/45030040255</v>
      </c>
      <c r="AB574" s="53" t="s">
        <v>138</v>
      </c>
      <c r="AC574" s="126" t="s">
        <v>204</v>
      </c>
    </row>
    <row r="575" spans="2:29" s="28" customFormat="1" ht="74.25" customHeight="1" x14ac:dyDescent="0.35">
      <c r="B575" s="77">
        <v>20250311</v>
      </c>
      <c r="C575" s="50" t="s">
        <v>209</v>
      </c>
      <c r="D575" s="123" t="s">
        <v>169</v>
      </c>
      <c r="E575" s="51" t="s">
        <v>573</v>
      </c>
      <c r="F575" s="123" t="s">
        <v>575</v>
      </c>
      <c r="G575" s="123" t="s">
        <v>156</v>
      </c>
      <c r="H575" s="97">
        <v>80111600</v>
      </c>
      <c r="I575" s="124">
        <v>3</v>
      </c>
      <c r="J575" s="124">
        <v>10</v>
      </c>
      <c r="K575" s="52">
        <v>0</v>
      </c>
      <c r="L575" s="53">
        <v>24150000</v>
      </c>
      <c r="M575" s="123" t="s">
        <v>484</v>
      </c>
      <c r="N575" s="53" t="s">
        <v>113</v>
      </c>
      <c r="O575" s="51" t="s">
        <v>222</v>
      </c>
      <c r="P575" s="125" t="str">
        <f>IFERROR(VLOOKUP(C575,TD!$B$32:$F$36,2,0)," ")</f>
        <v>O230117</v>
      </c>
      <c r="Q575" s="125" t="str">
        <f>IFERROR(VLOOKUP(C575,TD!$B$32:$F$36,3,0)," ")</f>
        <v>4503</v>
      </c>
      <c r="R575" s="125">
        <f>IFERROR(VLOOKUP(C575,TD!$B$32:$F$36,4,0)," ")</f>
        <v>20240255</v>
      </c>
      <c r="S575" s="51" t="s">
        <v>175</v>
      </c>
      <c r="T575" s="125" t="str">
        <f>IFERROR(VLOOKUP(S575,TD!$J$33:$K$43,2,0)," ")</f>
        <v>Servicio de atención a incidentes y emergencias.</v>
      </c>
      <c r="U575" s="127" t="str">
        <f>CONCATENATE(S575,"-",T575)</f>
        <v>04-Servicio de atención a incidentes y emergencias.</v>
      </c>
      <c r="V575" s="51" t="s">
        <v>232</v>
      </c>
      <c r="W575" s="125" t="str">
        <f>IFERROR(VLOOKUP(V575,TD!$N$33:$O$45,2,0)," ")</f>
        <v>Servicio de atención a emergencias y desastres</v>
      </c>
      <c r="X575" s="127" t="str">
        <f>CONCATENATE(V575,"_",W575)</f>
        <v>004_Servicio de atención a emergencias y desastres</v>
      </c>
      <c r="Y575" s="127" t="str">
        <f>CONCATENATE(U575," ",X575)</f>
        <v>04-Servicio de atención a incidentes y emergencias. 004_Servicio de atención a emergencias y desastres</v>
      </c>
      <c r="Z575" s="125" t="str">
        <f>CONCATENATE(P575,Q575,R575,S575,V575)</f>
        <v>O23011745032024025504004</v>
      </c>
      <c r="AA575" s="125" t="str">
        <f>IFERROR(VLOOKUP(Y575,TD!$K$46:$L$64,2,0)," ")</f>
        <v>PM/0131/0104/45030040255</v>
      </c>
      <c r="AB575" s="53" t="s">
        <v>138</v>
      </c>
      <c r="AC575" s="126" t="s">
        <v>204</v>
      </c>
    </row>
    <row r="576" spans="2:29" s="28" customFormat="1" ht="74.25" customHeight="1" x14ac:dyDescent="0.35">
      <c r="B576" s="77">
        <v>20250312</v>
      </c>
      <c r="C576" s="50" t="s">
        <v>209</v>
      </c>
      <c r="D576" s="123" t="s">
        <v>169</v>
      </c>
      <c r="E576" s="51" t="s">
        <v>573</v>
      </c>
      <c r="F576" s="123" t="s">
        <v>575</v>
      </c>
      <c r="G576" s="123" t="s">
        <v>156</v>
      </c>
      <c r="H576" s="97">
        <v>80111600</v>
      </c>
      <c r="I576" s="124">
        <v>3</v>
      </c>
      <c r="J576" s="124">
        <v>10</v>
      </c>
      <c r="K576" s="52">
        <v>0</v>
      </c>
      <c r="L576" s="53">
        <v>24150000</v>
      </c>
      <c r="M576" s="123" t="s">
        <v>484</v>
      </c>
      <c r="N576" s="53" t="s">
        <v>113</v>
      </c>
      <c r="O576" s="51" t="s">
        <v>222</v>
      </c>
      <c r="P576" s="125" t="str">
        <f>IFERROR(VLOOKUP(C576,TD!$B$32:$F$36,2,0)," ")</f>
        <v>O230117</v>
      </c>
      <c r="Q576" s="125" t="str">
        <f>IFERROR(VLOOKUP(C576,TD!$B$32:$F$36,3,0)," ")</f>
        <v>4503</v>
      </c>
      <c r="R576" s="125">
        <f>IFERROR(VLOOKUP(C576,TD!$B$32:$F$36,4,0)," ")</f>
        <v>20240255</v>
      </c>
      <c r="S576" s="51" t="s">
        <v>175</v>
      </c>
      <c r="T576" s="125" t="str">
        <f>IFERROR(VLOOKUP(S576,TD!$J$33:$K$43,2,0)," ")</f>
        <v>Servicio de atención a incidentes y emergencias.</v>
      </c>
      <c r="U576" s="127" t="str">
        <f>CONCATENATE(S576,"-",T576)</f>
        <v>04-Servicio de atención a incidentes y emergencias.</v>
      </c>
      <c r="V576" s="51" t="s">
        <v>232</v>
      </c>
      <c r="W576" s="125" t="str">
        <f>IFERROR(VLOOKUP(V576,TD!$N$33:$O$45,2,0)," ")</f>
        <v>Servicio de atención a emergencias y desastres</v>
      </c>
      <c r="X576" s="127" t="str">
        <f>CONCATENATE(V576,"_",W576)</f>
        <v>004_Servicio de atención a emergencias y desastres</v>
      </c>
      <c r="Y576" s="127" t="str">
        <f>CONCATENATE(U576," ",X576)</f>
        <v>04-Servicio de atención a incidentes y emergencias. 004_Servicio de atención a emergencias y desastres</v>
      </c>
      <c r="Z576" s="125" t="str">
        <f>CONCATENATE(P576,Q576,R576,S576,V576)</f>
        <v>O23011745032024025504004</v>
      </c>
      <c r="AA576" s="125" t="str">
        <f>IFERROR(VLOOKUP(Y576,TD!$K$46:$L$64,2,0)," ")</f>
        <v>PM/0131/0104/45030040255</v>
      </c>
      <c r="AB576" s="53" t="s">
        <v>138</v>
      </c>
      <c r="AC576" s="126" t="s">
        <v>204</v>
      </c>
    </row>
    <row r="577" spans="2:29" s="28" customFormat="1" ht="74.25" customHeight="1" x14ac:dyDescent="0.35">
      <c r="B577" s="77">
        <v>20250313</v>
      </c>
      <c r="C577" s="50" t="s">
        <v>209</v>
      </c>
      <c r="D577" s="123" t="s">
        <v>169</v>
      </c>
      <c r="E577" s="51" t="s">
        <v>573</v>
      </c>
      <c r="F577" s="123" t="s">
        <v>575</v>
      </c>
      <c r="G577" s="123" t="s">
        <v>156</v>
      </c>
      <c r="H577" s="97">
        <v>80111600</v>
      </c>
      <c r="I577" s="124">
        <v>3</v>
      </c>
      <c r="J577" s="124">
        <v>10</v>
      </c>
      <c r="K577" s="52">
        <v>0</v>
      </c>
      <c r="L577" s="53">
        <v>24150000</v>
      </c>
      <c r="M577" s="123" t="s">
        <v>484</v>
      </c>
      <c r="N577" s="53" t="s">
        <v>113</v>
      </c>
      <c r="O577" s="51" t="s">
        <v>222</v>
      </c>
      <c r="P577" s="125" t="str">
        <f>IFERROR(VLOOKUP(C577,TD!$B$32:$F$36,2,0)," ")</f>
        <v>O230117</v>
      </c>
      <c r="Q577" s="125" t="str">
        <f>IFERROR(VLOOKUP(C577,TD!$B$32:$F$36,3,0)," ")</f>
        <v>4503</v>
      </c>
      <c r="R577" s="125">
        <f>IFERROR(VLOOKUP(C577,TD!$B$32:$F$36,4,0)," ")</f>
        <v>20240255</v>
      </c>
      <c r="S577" s="51" t="s">
        <v>175</v>
      </c>
      <c r="T577" s="125" t="str">
        <f>IFERROR(VLOOKUP(S577,TD!$J$33:$K$43,2,0)," ")</f>
        <v>Servicio de atención a incidentes y emergencias.</v>
      </c>
      <c r="U577" s="127" t="str">
        <f>CONCATENATE(S577,"-",T577)</f>
        <v>04-Servicio de atención a incidentes y emergencias.</v>
      </c>
      <c r="V577" s="51" t="s">
        <v>232</v>
      </c>
      <c r="W577" s="125" t="str">
        <f>IFERROR(VLOOKUP(V577,TD!$N$33:$O$45,2,0)," ")</f>
        <v>Servicio de atención a emergencias y desastres</v>
      </c>
      <c r="X577" s="127" t="str">
        <f>CONCATENATE(V577,"_",W577)</f>
        <v>004_Servicio de atención a emergencias y desastres</v>
      </c>
      <c r="Y577" s="127" t="str">
        <f>CONCATENATE(U577," ",X577)</f>
        <v>04-Servicio de atención a incidentes y emergencias. 004_Servicio de atención a emergencias y desastres</v>
      </c>
      <c r="Z577" s="125" t="str">
        <f>CONCATENATE(P577,Q577,R577,S577,V577)</f>
        <v>O23011745032024025504004</v>
      </c>
      <c r="AA577" s="125" t="str">
        <f>IFERROR(VLOOKUP(Y577,TD!$K$46:$L$64,2,0)," ")</f>
        <v>PM/0131/0104/45030040255</v>
      </c>
      <c r="AB577" s="53" t="s">
        <v>138</v>
      </c>
      <c r="AC577" s="126" t="s">
        <v>204</v>
      </c>
    </row>
    <row r="578" spans="2:29" s="28" customFormat="1" ht="74.25" customHeight="1" x14ac:dyDescent="0.35">
      <c r="B578" s="77">
        <v>20250314</v>
      </c>
      <c r="C578" s="50" t="s">
        <v>209</v>
      </c>
      <c r="D578" s="123" t="s">
        <v>169</v>
      </c>
      <c r="E578" s="51" t="s">
        <v>573</v>
      </c>
      <c r="F578" s="123" t="s">
        <v>575</v>
      </c>
      <c r="G578" s="123" t="s">
        <v>156</v>
      </c>
      <c r="H578" s="97">
        <v>80111600</v>
      </c>
      <c r="I578" s="124">
        <v>3</v>
      </c>
      <c r="J578" s="124">
        <v>10</v>
      </c>
      <c r="K578" s="52">
        <v>0</v>
      </c>
      <c r="L578" s="53">
        <v>24150000</v>
      </c>
      <c r="M578" s="123" t="s">
        <v>484</v>
      </c>
      <c r="N578" s="53" t="s">
        <v>113</v>
      </c>
      <c r="O578" s="51" t="s">
        <v>222</v>
      </c>
      <c r="P578" s="125" t="str">
        <f>IFERROR(VLOOKUP(C578,TD!$B$32:$F$36,2,0)," ")</f>
        <v>O230117</v>
      </c>
      <c r="Q578" s="125" t="str">
        <f>IFERROR(VLOOKUP(C578,TD!$B$32:$F$36,3,0)," ")</f>
        <v>4503</v>
      </c>
      <c r="R578" s="125">
        <f>IFERROR(VLOOKUP(C578,TD!$B$32:$F$36,4,0)," ")</f>
        <v>20240255</v>
      </c>
      <c r="S578" s="51" t="s">
        <v>175</v>
      </c>
      <c r="T578" s="125" t="str">
        <f>IFERROR(VLOOKUP(S578,TD!$J$33:$K$43,2,0)," ")</f>
        <v>Servicio de atención a incidentes y emergencias.</v>
      </c>
      <c r="U578" s="127" t="str">
        <f>CONCATENATE(S578,"-",T578)</f>
        <v>04-Servicio de atención a incidentes y emergencias.</v>
      </c>
      <c r="V578" s="51" t="s">
        <v>232</v>
      </c>
      <c r="W578" s="125" t="str">
        <f>IFERROR(VLOOKUP(V578,TD!$N$33:$O$45,2,0)," ")</f>
        <v>Servicio de atención a emergencias y desastres</v>
      </c>
      <c r="X578" s="127" t="str">
        <f>CONCATENATE(V578,"_",W578)</f>
        <v>004_Servicio de atención a emergencias y desastres</v>
      </c>
      <c r="Y578" s="127" t="str">
        <f>CONCATENATE(U578," ",X578)</f>
        <v>04-Servicio de atención a incidentes y emergencias. 004_Servicio de atención a emergencias y desastres</v>
      </c>
      <c r="Z578" s="125" t="str">
        <f>CONCATENATE(P578,Q578,R578,S578,V578)</f>
        <v>O23011745032024025504004</v>
      </c>
      <c r="AA578" s="125" t="str">
        <f>IFERROR(VLOOKUP(Y578,TD!$K$46:$L$64,2,0)," ")</f>
        <v>PM/0131/0104/45030040255</v>
      </c>
      <c r="AB578" s="53" t="s">
        <v>138</v>
      </c>
      <c r="AC578" s="126" t="s">
        <v>204</v>
      </c>
    </row>
    <row r="579" spans="2:29" s="28" customFormat="1" ht="74.25" customHeight="1" x14ac:dyDescent="0.35">
      <c r="B579" s="77">
        <v>20250315</v>
      </c>
      <c r="C579" s="50" t="s">
        <v>209</v>
      </c>
      <c r="D579" s="123" t="s">
        <v>169</v>
      </c>
      <c r="E579" s="51" t="s">
        <v>573</v>
      </c>
      <c r="F579" s="123" t="s">
        <v>575</v>
      </c>
      <c r="G579" s="123" t="s">
        <v>156</v>
      </c>
      <c r="H579" s="97">
        <v>80111600</v>
      </c>
      <c r="I579" s="124">
        <v>3</v>
      </c>
      <c r="J579" s="124">
        <v>10</v>
      </c>
      <c r="K579" s="52">
        <v>0</v>
      </c>
      <c r="L579" s="53">
        <v>24150000</v>
      </c>
      <c r="M579" s="123" t="s">
        <v>484</v>
      </c>
      <c r="N579" s="53" t="s">
        <v>113</v>
      </c>
      <c r="O579" s="51" t="s">
        <v>222</v>
      </c>
      <c r="P579" s="125" t="str">
        <f>IFERROR(VLOOKUP(C579,TD!$B$32:$F$36,2,0)," ")</f>
        <v>O230117</v>
      </c>
      <c r="Q579" s="125" t="str">
        <f>IFERROR(VLOOKUP(C579,TD!$B$32:$F$36,3,0)," ")</f>
        <v>4503</v>
      </c>
      <c r="R579" s="125">
        <f>IFERROR(VLOOKUP(C579,TD!$B$32:$F$36,4,0)," ")</f>
        <v>20240255</v>
      </c>
      <c r="S579" s="51" t="s">
        <v>175</v>
      </c>
      <c r="T579" s="125" t="str">
        <f>IFERROR(VLOOKUP(S579,TD!$J$33:$K$43,2,0)," ")</f>
        <v>Servicio de atención a incidentes y emergencias.</v>
      </c>
      <c r="U579" s="127" t="str">
        <f>CONCATENATE(S579,"-",T579)</f>
        <v>04-Servicio de atención a incidentes y emergencias.</v>
      </c>
      <c r="V579" s="51" t="s">
        <v>232</v>
      </c>
      <c r="W579" s="125" t="str">
        <f>IFERROR(VLOOKUP(V579,TD!$N$33:$O$45,2,0)," ")</f>
        <v>Servicio de atención a emergencias y desastres</v>
      </c>
      <c r="X579" s="127" t="str">
        <f>CONCATENATE(V579,"_",W579)</f>
        <v>004_Servicio de atención a emergencias y desastres</v>
      </c>
      <c r="Y579" s="127" t="str">
        <f>CONCATENATE(U579," ",X579)</f>
        <v>04-Servicio de atención a incidentes y emergencias. 004_Servicio de atención a emergencias y desastres</v>
      </c>
      <c r="Z579" s="125" t="str">
        <f>CONCATENATE(P579,Q579,R579,S579,V579)</f>
        <v>O23011745032024025504004</v>
      </c>
      <c r="AA579" s="125" t="str">
        <f>IFERROR(VLOOKUP(Y579,TD!$K$46:$L$64,2,0)," ")</f>
        <v>PM/0131/0104/45030040255</v>
      </c>
      <c r="AB579" s="53" t="s">
        <v>138</v>
      </c>
      <c r="AC579" s="126" t="s">
        <v>204</v>
      </c>
    </row>
    <row r="580" spans="2:29" s="28" customFormat="1" ht="74.25" customHeight="1" x14ac:dyDescent="0.35">
      <c r="B580" s="77">
        <v>20250316</v>
      </c>
      <c r="C580" s="50" t="s">
        <v>209</v>
      </c>
      <c r="D580" s="123" t="s">
        <v>169</v>
      </c>
      <c r="E580" s="51" t="s">
        <v>573</v>
      </c>
      <c r="F580" s="123" t="s">
        <v>575</v>
      </c>
      <c r="G580" s="123" t="s">
        <v>156</v>
      </c>
      <c r="H580" s="97">
        <v>80111600</v>
      </c>
      <c r="I580" s="124">
        <v>3</v>
      </c>
      <c r="J580" s="124">
        <v>10</v>
      </c>
      <c r="K580" s="52"/>
      <c r="L580" s="53">
        <v>24150000</v>
      </c>
      <c r="M580" s="123" t="s">
        <v>484</v>
      </c>
      <c r="N580" s="53" t="s">
        <v>113</v>
      </c>
      <c r="O580" s="51" t="s">
        <v>222</v>
      </c>
      <c r="P580" s="125" t="str">
        <f>IFERROR(VLOOKUP(C580,TD!$B$32:$F$36,2,0)," ")</f>
        <v>O230117</v>
      </c>
      <c r="Q580" s="125" t="str">
        <f>IFERROR(VLOOKUP(C580,TD!$B$32:$F$36,3,0)," ")</f>
        <v>4503</v>
      </c>
      <c r="R580" s="125">
        <f>IFERROR(VLOOKUP(C580,TD!$B$32:$F$36,4,0)," ")</f>
        <v>20240255</v>
      </c>
      <c r="S580" s="51" t="s">
        <v>175</v>
      </c>
      <c r="T580" s="125" t="str">
        <f>IFERROR(VLOOKUP(S580,TD!$J$33:$K$43,2,0)," ")</f>
        <v>Servicio de atención a incidentes y emergencias.</v>
      </c>
      <c r="U580" s="127" t="str">
        <f>CONCATENATE(S580,"-",T580)</f>
        <v>04-Servicio de atención a incidentes y emergencias.</v>
      </c>
      <c r="V580" s="51" t="s">
        <v>232</v>
      </c>
      <c r="W580" s="125" t="str">
        <f>IFERROR(VLOOKUP(V580,TD!$N$33:$O$45,2,0)," ")</f>
        <v>Servicio de atención a emergencias y desastres</v>
      </c>
      <c r="X580" s="127" t="str">
        <f>CONCATENATE(V580,"_",W580)</f>
        <v>004_Servicio de atención a emergencias y desastres</v>
      </c>
      <c r="Y580" s="127" t="str">
        <f>CONCATENATE(U580," ",X580)</f>
        <v>04-Servicio de atención a incidentes y emergencias. 004_Servicio de atención a emergencias y desastres</v>
      </c>
      <c r="Z580" s="125" t="str">
        <f>CONCATENATE(P580,Q580,R580,S580,V580)</f>
        <v>O23011745032024025504004</v>
      </c>
      <c r="AA580" s="125" t="str">
        <f>IFERROR(VLOOKUP(Y580,TD!$K$46:$L$64,2,0)," ")</f>
        <v>PM/0131/0104/45030040255</v>
      </c>
      <c r="AB580" s="53" t="s">
        <v>138</v>
      </c>
      <c r="AC580" s="126" t="s">
        <v>204</v>
      </c>
    </row>
    <row r="581" spans="2:29" s="28" customFormat="1" ht="74.25" customHeight="1" x14ac:dyDescent="0.35">
      <c r="B581" s="77">
        <v>20250317</v>
      </c>
      <c r="C581" s="50" t="s">
        <v>209</v>
      </c>
      <c r="D581" s="123" t="s">
        <v>169</v>
      </c>
      <c r="E581" s="51" t="s">
        <v>573</v>
      </c>
      <c r="F581" s="123" t="s">
        <v>576</v>
      </c>
      <c r="G581" s="123" t="s">
        <v>155</v>
      </c>
      <c r="H581" s="97">
        <v>80111600</v>
      </c>
      <c r="I581" s="124">
        <v>2</v>
      </c>
      <c r="J581" s="124">
        <v>11</v>
      </c>
      <c r="K581" s="52">
        <v>0</v>
      </c>
      <c r="L581" s="53">
        <v>58905000</v>
      </c>
      <c r="M581" s="123" t="s">
        <v>484</v>
      </c>
      <c r="N581" s="53" t="s">
        <v>113</v>
      </c>
      <c r="O581" s="51" t="s">
        <v>222</v>
      </c>
      <c r="P581" s="125" t="str">
        <f>IFERROR(VLOOKUP(C581,TD!$B$32:$F$36,2,0)," ")</f>
        <v>O230117</v>
      </c>
      <c r="Q581" s="125" t="str">
        <f>IFERROR(VLOOKUP(C581,TD!$B$32:$F$36,3,0)," ")</f>
        <v>4503</v>
      </c>
      <c r="R581" s="125">
        <f>IFERROR(VLOOKUP(C581,TD!$B$32:$F$36,4,0)," ")</f>
        <v>20240255</v>
      </c>
      <c r="S581" s="51" t="s">
        <v>175</v>
      </c>
      <c r="T581" s="125" t="str">
        <f>IFERROR(VLOOKUP(S581,TD!$J$33:$K$43,2,0)," ")</f>
        <v>Servicio de atención a incidentes y emergencias.</v>
      </c>
      <c r="U581" s="127" t="str">
        <f>CONCATENATE(S581,"-",T581)</f>
        <v>04-Servicio de atención a incidentes y emergencias.</v>
      </c>
      <c r="V581" s="51" t="s">
        <v>232</v>
      </c>
      <c r="W581" s="125" t="str">
        <f>IFERROR(VLOOKUP(V581,TD!$N$33:$O$45,2,0)," ")</f>
        <v>Servicio de atención a emergencias y desastres</v>
      </c>
      <c r="X581" s="127" t="str">
        <f>CONCATENATE(V581,"_",W581)</f>
        <v>004_Servicio de atención a emergencias y desastres</v>
      </c>
      <c r="Y581" s="127" t="str">
        <f>CONCATENATE(U581," ",X581)</f>
        <v>04-Servicio de atención a incidentes y emergencias. 004_Servicio de atención a emergencias y desastres</v>
      </c>
      <c r="Z581" s="125" t="str">
        <f>CONCATENATE(P581,Q581,R581,S581,V581)</f>
        <v>O23011745032024025504004</v>
      </c>
      <c r="AA581" s="125" t="str">
        <f>IFERROR(VLOOKUP(Y581,TD!$K$46:$L$64,2,0)," ")</f>
        <v>PM/0131/0104/45030040255</v>
      </c>
      <c r="AB581" s="53" t="s">
        <v>138</v>
      </c>
      <c r="AC581" s="126" t="s">
        <v>204</v>
      </c>
    </row>
    <row r="582" spans="2:29" s="28" customFormat="1" ht="74.25" customHeight="1" x14ac:dyDescent="0.35">
      <c r="B582" s="77">
        <v>20250319</v>
      </c>
      <c r="C582" s="50" t="s">
        <v>209</v>
      </c>
      <c r="D582" s="123" t="s">
        <v>169</v>
      </c>
      <c r="E582" s="51" t="s">
        <v>573</v>
      </c>
      <c r="F582" s="123" t="s">
        <v>576</v>
      </c>
      <c r="G582" s="123" t="s">
        <v>155</v>
      </c>
      <c r="H582" s="97">
        <v>80111600</v>
      </c>
      <c r="I582" s="124">
        <v>2</v>
      </c>
      <c r="J582" s="124">
        <v>10</v>
      </c>
      <c r="K582" s="52">
        <v>15</v>
      </c>
      <c r="L582" s="53">
        <v>56227500</v>
      </c>
      <c r="M582" s="123" t="s">
        <v>484</v>
      </c>
      <c r="N582" s="53" t="s">
        <v>113</v>
      </c>
      <c r="O582" s="51" t="s">
        <v>222</v>
      </c>
      <c r="P582" s="125" t="str">
        <f>IFERROR(VLOOKUP(C582,TD!$B$32:$F$36,2,0)," ")</f>
        <v>O230117</v>
      </c>
      <c r="Q582" s="125" t="str">
        <f>IFERROR(VLOOKUP(C582,TD!$B$32:$F$36,3,0)," ")</f>
        <v>4503</v>
      </c>
      <c r="R582" s="125">
        <f>IFERROR(VLOOKUP(C582,TD!$B$32:$F$36,4,0)," ")</f>
        <v>20240255</v>
      </c>
      <c r="S582" s="51" t="s">
        <v>175</v>
      </c>
      <c r="T582" s="125" t="str">
        <f>IFERROR(VLOOKUP(S582,TD!$J$33:$K$43,2,0)," ")</f>
        <v>Servicio de atención a incidentes y emergencias.</v>
      </c>
      <c r="U582" s="127" t="str">
        <f>CONCATENATE(S582,"-",T582)</f>
        <v>04-Servicio de atención a incidentes y emergencias.</v>
      </c>
      <c r="V582" s="51" t="s">
        <v>232</v>
      </c>
      <c r="W582" s="125" t="str">
        <f>IFERROR(VLOOKUP(V582,TD!$N$33:$O$45,2,0)," ")</f>
        <v>Servicio de atención a emergencias y desastres</v>
      </c>
      <c r="X582" s="127" t="str">
        <f>CONCATENATE(V582,"_",W582)</f>
        <v>004_Servicio de atención a emergencias y desastres</v>
      </c>
      <c r="Y582" s="127" t="str">
        <f>CONCATENATE(U582," ",X582)</f>
        <v>04-Servicio de atención a incidentes y emergencias. 004_Servicio de atención a emergencias y desastres</v>
      </c>
      <c r="Z582" s="125" t="str">
        <f>CONCATENATE(P582,Q582,R582,S582,V582)</f>
        <v>O23011745032024025504004</v>
      </c>
      <c r="AA582" s="125" t="str">
        <f>IFERROR(VLOOKUP(Y582,TD!$K$46:$L$64,2,0)," ")</f>
        <v>PM/0131/0104/45030040255</v>
      </c>
      <c r="AB582" s="53" t="s">
        <v>138</v>
      </c>
      <c r="AC582" s="126" t="s">
        <v>204</v>
      </c>
    </row>
    <row r="583" spans="2:29" s="28" customFormat="1" ht="74.25" customHeight="1" x14ac:dyDescent="0.35">
      <c r="B583" s="77">
        <v>20250320</v>
      </c>
      <c r="C583" s="50" t="s">
        <v>209</v>
      </c>
      <c r="D583" s="123" t="s">
        <v>169</v>
      </c>
      <c r="E583" s="51" t="s">
        <v>573</v>
      </c>
      <c r="F583" s="123" t="s">
        <v>578</v>
      </c>
      <c r="G583" s="123" t="s">
        <v>156</v>
      </c>
      <c r="H583" s="97">
        <v>80111600</v>
      </c>
      <c r="I583" s="124">
        <v>2</v>
      </c>
      <c r="J583" s="124">
        <v>11</v>
      </c>
      <c r="K583" s="52">
        <v>0</v>
      </c>
      <c r="L583" s="53">
        <v>31185000</v>
      </c>
      <c r="M583" s="123" t="s">
        <v>484</v>
      </c>
      <c r="N583" s="53" t="s">
        <v>113</v>
      </c>
      <c r="O583" s="51" t="s">
        <v>222</v>
      </c>
      <c r="P583" s="125" t="str">
        <f>IFERROR(VLOOKUP(C583,TD!$B$32:$F$36,2,0)," ")</f>
        <v>O230117</v>
      </c>
      <c r="Q583" s="125" t="str">
        <f>IFERROR(VLOOKUP(C583,TD!$B$32:$F$36,3,0)," ")</f>
        <v>4503</v>
      </c>
      <c r="R583" s="125">
        <f>IFERROR(VLOOKUP(C583,TD!$B$32:$F$36,4,0)," ")</f>
        <v>20240255</v>
      </c>
      <c r="S583" s="51" t="s">
        <v>175</v>
      </c>
      <c r="T583" s="125" t="str">
        <f>IFERROR(VLOOKUP(S583,TD!$J$33:$K$43,2,0)," ")</f>
        <v>Servicio de atención a incidentes y emergencias.</v>
      </c>
      <c r="U583" s="127" t="str">
        <f>CONCATENATE(S583,"-",T583)</f>
        <v>04-Servicio de atención a incidentes y emergencias.</v>
      </c>
      <c r="V583" s="51" t="s">
        <v>232</v>
      </c>
      <c r="W583" s="125" t="str">
        <f>IFERROR(VLOOKUP(V583,TD!$N$33:$O$45,2,0)," ")</f>
        <v>Servicio de atención a emergencias y desastres</v>
      </c>
      <c r="X583" s="127" t="str">
        <f>CONCATENATE(V583,"_",W583)</f>
        <v>004_Servicio de atención a emergencias y desastres</v>
      </c>
      <c r="Y583" s="127" t="str">
        <f>CONCATENATE(U583," ",X583)</f>
        <v>04-Servicio de atención a incidentes y emergencias. 004_Servicio de atención a emergencias y desastres</v>
      </c>
      <c r="Z583" s="125" t="str">
        <f>CONCATENATE(P583,Q583,R583,S583,V583)</f>
        <v>O23011745032024025504004</v>
      </c>
      <c r="AA583" s="125" t="str">
        <f>IFERROR(VLOOKUP(Y583,TD!$K$46:$L$64,2,0)," ")</f>
        <v>PM/0131/0104/45030040255</v>
      </c>
      <c r="AB583" s="53" t="s">
        <v>138</v>
      </c>
      <c r="AC583" s="126" t="s">
        <v>204</v>
      </c>
    </row>
    <row r="584" spans="2:29" s="28" customFormat="1" ht="74.25" customHeight="1" x14ac:dyDescent="0.35">
      <c r="B584" s="77">
        <v>20250321</v>
      </c>
      <c r="C584" s="50" t="s">
        <v>209</v>
      </c>
      <c r="D584" s="123" t="s">
        <v>169</v>
      </c>
      <c r="E584" s="51" t="s">
        <v>573</v>
      </c>
      <c r="F584" s="123" t="s">
        <v>579</v>
      </c>
      <c r="G584" s="123" t="s">
        <v>156</v>
      </c>
      <c r="H584" s="97">
        <v>80111600</v>
      </c>
      <c r="I584" s="124">
        <v>2</v>
      </c>
      <c r="J584" s="124">
        <v>11</v>
      </c>
      <c r="K584" s="52">
        <v>0</v>
      </c>
      <c r="L584" s="53">
        <v>36590400</v>
      </c>
      <c r="M584" s="123" t="s">
        <v>484</v>
      </c>
      <c r="N584" s="53" t="s">
        <v>113</v>
      </c>
      <c r="O584" s="51" t="s">
        <v>222</v>
      </c>
      <c r="P584" s="125" t="str">
        <f>IFERROR(VLOOKUP(C584,TD!$B$32:$F$36,2,0)," ")</f>
        <v>O230117</v>
      </c>
      <c r="Q584" s="125" t="str">
        <f>IFERROR(VLOOKUP(C584,TD!$B$32:$F$36,3,0)," ")</f>
        <v>4503</v>
      </c>
      <c r="R584" s="125">
        <f>IFERROR(VLOOKUP(C584,TD!$B$32:$F$36,4,0)," ")</f>
        <v>20240255</v>
      </c>
      <c r="S584" s="51" t="s">
        <v>175</v>
      </c>
      <c r="T584" s="125" t="str">
        <f>IFERROR(VLOOKUP(S584,TD!$J$33:$K$43,2,0)," ")</f>
        <v>Servicio de atención a incidentes y emergencias.</v>
      </c>
      <c r="U584" s="127" t="str">
        <f>CONCATENATE(S584,"-",T584)</f>
        <v>04-Servicio de atención a incidentes y emergencias.</v>
      </c>
      <c r="V584" s="51" t="s">
        <v>232</v>
      </c>
      <c r="W584" s="125" t="str">
        <f>IFERROR(VLOOKUP(V584,TD!$N$33:$O$45,2,0)," ")</f>
        <v>Servicio de atención a emergencias y desastres</v>
      </c>
      <c r="X584" s="127" t="str">
        <f>CONCATENATE(V584,"_",W584)</f>
        <v>004_Servicio de atención a emergencias y desastres</v>
      </c>
      <c r="Y584" s="127" t="str">
        <f>CONCATENATE(U584," ",X584)</f>
        <v>04-Servicio de atención a incidentes y emergencias. 004_Servicio de atención a emergencias y desastres</v>
      </c>
      <c r="Z584" s="125" t="str">
        <f>CONCATENATE(P584,Q584,R584,S584,V584)</f>
        <v>O23011745032024025504004</v>
      </c>
      <c r="AA584" s="125" t="str">
        <f>IFERROR(VLOOKUP(Y584,TD!$K$46:$L$64,2,0)," ")</f>
        <v>PM/0131/0104/45030040255</v>
      </c>
      <c r="AB584" s="53" t="s">
        <v>138</v>
      </c>
      <c r="AC584" s="126" t="s">
        <v>204</v>
      </c>
    </row>
    <row r="585" spans="2:29" s="28" customFormat="1" ht="74.25" customHeight="1" x14ac:dyDescent="0.35">
      <c r="B585" s="77">
        <v>20250323</v>
      </c>
      <c r="C585" s="50" t="s">
        <v>209</v>
      </c>
      <c r="D585" s="123" t="s">
        <v>169</v>
      </c>
      <c r="E585" s="51" t="s">
        <v>573</v>
      </c>
      <c r="F585" s="123" t="s">
        <v>581</v>
      </c>
      <c r="G585" s="123" t="s">
        <v>155</v>
      </c>
      <c r="H585" s="97">
        <v>80111600</v>
      </c>
      <c r="I585" s="124">
        <v>2</v>
      </c>
      <c r="J585" s="124">
        <v>11</v>
      </c>
      <c r="K585" s="52">
        <v>0</v>
      </c>
      <c r="L585" s="53">
        <v>92400000</v>
      </c>
      <c r="M585" s="123" t="s">
        <v>484</v>
      </c>
      <c r="N585" s="53" t="s">
        <v>113</v>
      </c>
      <c r="O585" s="51" t="s">
        <v>222</v>
      </c>
      <c r="P585" s="125" t="str">
        <f>IFERROR(VLOOKUP(C585,TD!$B$32:$F$36,2,0)," ")</f>
        <v>O230117</v>
      </c>
      <c r="Q585" s="125" t="str">
        <f>IFERROR(VLOOKUP(C585,TD!$B$32:$F$36,3,0)," ")</f>
        <v>4503</v>
      </c>
      <c r="R585" s="125">
        <f>IFERROR(VLOOKUP(C585,TD!$B$32:$F$36,4,0)," ")</f>
        <v>20240255</v>
      </c>
      <c r="S585" s="51" t="s">
        <v>175</v>
      </c>
      <c r="T585" s="125" t="str">
        <f>IFERROR(VLOOKUP(S585,TD!$J$33:$K$43,2,0)," ")</f>
        <v>Servicio de atención a incidentes y emergencias.</v>
      </c>
      <c r="U585" s="127" t="str">
        <f>CONCATENATE(S585,"-",T585)</f>
        <v>04-Servicio de atención a incidentes y emergencias.</v>
      </c>
      <c r="V585" s="51" t="s">
        <v>232</v>
      </c>
      <c r="W585" s="125" t="str">
        <f>IFERROR(VLOOKUP(V585,TD!$N$33:$O$45,2,0)," ")</f>
        <v>Servicio de atención a emergencias y desastres</v>
      </c>
      <c r="X585" s="127" t="str">
        <f>CONCATENATE(V585,"_",W585)</f>
        <v>004_Servicio de atención a emergencias y desastres</v>
      </c>
      <c r="Y585" s="127" t="str">
        <f>CONCATENATE(U585," ",X585)</f>
        <v>04-Servicio de atención a incidentes y emergencias. 004_Servicio de atención a emergencias y desastres</v>
      </c>
      <c r="Z585" s="125" t="str">
        <f>CONCATENATE(P585,Q585,R585,S585,V585)</f>
        <v>O23011745032024025504004</v>
      </c>
      <c r="AA585" s="125" t="str">
        <f>IFERROR(VLOOKUP(Y585,TD!$K$46:$L$64,2,0)," ")</f>
        <v>PM/0131/0104/45030040255</v>
      </c>
      <c r="AB585" s="53" t="s">
        <v>138</v>
      </c>
      <c r="AC585" s="126" t="s">
        <v>204</v>
      </c>
    </row>
    <row r="586" spans="2:29" s="28" customFormat="1" ht="94.5" customHeight="1" x14ac:dyDescent="0.35">
      <c r="B586" s="77">
        <v>20250325</v>
      </c>
      <c r="C586" s="50" t="s">
        <v>209</v>
      </c>
      <c r="D586" s="123" t="s">
        <v>169</v>
      </c>
      <c r="E586" s="51" t="s">
        <v>573</v>
      </c>
      <c r="F586" s="123" t="s">
        <v>583</v>
      </c>
      <c r="G586" s="123" t="s">
        <v>155</v>
      </c>
      <c r="H586" s="97">
        <v>80111600</v>
      </c>
      <c r="I586" s="124">
        <v>2</v>
      </c>
      <c r="J586" s="124">
        <v>11</v>
      </c>
      <c r="K586" s="52">
        <v>0</v>
      </c>
      <c r="L586" s="53">
        <v>77385001</v>
      </c>
      <c r="M586" s="123" t="s">
        <v>484</v>
      </c>
      <c r="N586" s="53" t="s">
        <v>113</v>
      </c>
      <c r="O586" s="51" t="s">
        <v>222</v>
      </c>
      <c r="P586" s="125" t="str">
        <f>IFERROR(VLOOKUP(C586,TD!$B$32:$F$36,2,0)," ")</f>
        <v>O230117</v>
      </c>
      <c r="Q586" s="125" t="str">
        <f>IFERROR(VLOOKUP(C586,TD!$B$32:$F$36,3,0)," ")</f>
        <v>4503</v>
      </c>
      <c r="R586" s="125">
        <f>IFERROR(VLOOKUP(C586,TD!$B$32:$F$36,4,0)," ")</f>
        <v>20240255</v>
      </c>
      <c r="S586" s="51" t="s">
        <v>175</v>
      </c>
      <c r="T586" s="125" t="str">
        <f>IFERROR(VLOOKUP(S586,TD!$J$33:$K$43,2,0)," ")</f>
        <v>Servicio de atención a incidentes y emergencias.</v>
      </c>
      <c r="U586" s="127" t="str">
        <f>CONCATENATE(S586,"-",T586)</f>
        <v>04-Servicio de atención a incidentes y emergencias.</v>
      </c>
      <c r="V586" s="51" t="s">
        <v>232</v>
      </c>
      <c r="W586" s="125" t="str">
        <f>IFERROR(VLOOKUP(V586,TD!$N$33:$O$45,2,0)," ")</f>
        <v>Servicio de atención a emergencias y desastres</v>
      </c>
      <c r="X586" s="127" t="str">
        <f>CONCATENATE(V586,"_",W586)</f>
        <v>004_Servicio de atención a emergencias y desastres</v>
      </c>
      <c r="Y586" s="127" t="str">
        <f>CONCATENATE(U586," ",X586)</f>
        <v>04-Servicio de atención a incidentes y emergencias. 004_Servicio de atención a emergencias y desastres</v>
      </c>
      <c r="Z586" s="125" t="str">
        <f>CONCATENATE(P586,Q586,R586,S586,V586)</f>
        <v>O23011745032024025504004</v>
      </c>
      <c r="AA586" s="125" t="str">
        <f>IFERROR(VLOOKUP(Y586,TD!$K$46:$L$64,2,0)," ")</f>
        <v>PM/0131/0104/45030040255</v>
      </c>
      <c r="AB586" s="53" t="s">
        <v>138</v>
      </c>
      <c r="AC586" s="126" t="s">
        <v>204</v>
      </c>
    </row>
    <row r="587" spans="2:29" s="28" customFormat="1" ht="74.25" customHeight="1" x14ac:dyDescent="0.35">
      <c r="B587" s="77">
        <v>20250328</v>
      </c>
      <c r="C587" s="50" t="s">
        <v>209</v>
      </c>
      <c r="D587" s="123" t="s">
        <v>169</v>
      </c>
      <c r="E587" s="51" t="s">
        <v>573</v>
      </c>
      <c r="F587" s="123" t="s">
        <v>586</v>
      </c>
      <c r="G587" s="123" t="s">
        <v>155</v>
      </c>
      <c r="H587" s="97">
        <v>80111600</v>
      </c>
      <c r="I587" s="124">
        <v>2</v>
      </c>
      <c r="J587" s="124">
        <v>10</v>
      </c>
      <c r="K587" s="52">
        <v>15</v>
      </c>
      <c r="L587" s="53">
        <v>77175000</v>
      </c>
      <c r="M587" s="123" t="s">
        <v>484</v>
      </c>
      <c r="N587" s="53" t="s">
        <v>113</v>
      </c>
      <c r="O587" s="51" t="s">
        <v>222</v>
      </c>
      <c r="P587" s="125" t="str">
        <f>IFERROR(VLOOKUP(C587,TD!$B$32:$F$36,2,0)," ")</f>
        <v>O230117</v>
      </c>
      <c r="Q587" s="125" t="str">
        <f>IFERROR(VLOOKUP(C587,TD!$B$32:$F$36,3,0)," ")</f>
        <v>4503</v>
      </c>
      <c r="R587" s="125">
        <f>IFERROR(VLOOKUP(C587,TD!$B$32:$F$36,4,0)," ")</f>
        <v>20240255</v>
      </c>
      <c r="S587" s="51" t="s">
        <v>175</v>
      </c>
      <c r="T587" s="125" t="str">
        <f>IFERROR(VLOOKUP(S587,TD!$J$33:$K$43,2,0)," ")</f>
        <v>Servicio de atención a incidentes y emergencias.</v>
      </c>
      <c r="U587" s="127" t="str">
        <f>CONCATENATE(S587,"-",T587)</f>
        <v>04-Servicio de atención a incidentes y emergencias.</v>
      </c>
      <c r="V587" s="51" t="s">
        <v>232</v>
      </c>
      <c r="W587" s="125" t="str">
        <f>IFERROR(VLOOKUP(V587,TD!$N$33:$O$45,2,0)," ")</f>
        <v>Servicio de atención a emergencias y desastres</v>
      </c>
      <c r="X587" s="127" t="str">
        <f>CONCATENATE(V587,"_",W587)</f>
        <v>004_Servicio de atención a emergencias y desastres</v>
      </c>
      <c r="Y587" s="127" t="str">
        <f>CONCATENATE(U587," ",X587)</f>
        <v>04-Servicio de atención a incidentes y emergencias. 004_Servicio de atención a emergencias y desastres</v>
      </c>
      <c r="Z587" s="125" t="str">
        <f>CONCATENATE(P587,Q587,R587,S587,V587)</f>
        <v>O23011745032024025504004</v>
      </c>
      <c r="AA587" s="125" t="str">
        <f>IFERROR(VLOOKUP(Y587,TD!$K$46:$L$64,2,0)," ")</f>
        <v>PM/0131/0104/45030040255</v>
      </c>
      <c r="AB587" s="53" t="s">
        <v>138</v>
      </c>
      <c r="AC587" s="126" t="s">
        <v>204</v>
      </c>
    </row>
    <row r="588" spans="2:29" s="28" customFormat="1" ht="74.25" customHeight="1" x14ac:dyDescent="0.35">
      <c r="B588" s="77">
        <v>20250334</v>
      </c>
      <c r="C588" s="50" t="s">
        <v>209</v>
      </c>
      <c r="D588" s="123" t="s">
        <v>169</v>
      </c>
      <c r="E588" s="51" t="s">
        <v>573</v>
      </c>
      <c r="F588" s="123" t="s">
        <v>592</v>
      </c>
      <c r="G588" s="123" t="s">
        <v>155</v>
      </c>
      <c r="H588" s="97">
        <v>80111600</v>
      </c>
      <c r="I588" s="124">
        <v>3</v>
      </c>
      <c r="J588" s="124">
        <v>10</v>
      </c>
      <c r="K588" s="52">
        <v>0</v>
      </c>
      <c r="L588" s="53">
        <v>68250000</v>
      </c>
      <c r="M588" s="123" t="s">
        <v>484</v>
      </c>
      <c r="N588" s="53" t="s">
        <v>113</v>
      </c>
      <c r="O588" s="51" t="s">
        <v>222</v>
      </c>
      <c r="P588" s="125" t="str">
        <f>IFERROR(VLOOKUP(C588,TD!$B$32:$F$36,2,0)," ")</f>
        <v>O230117</v>
      </c>
      <c r="Q588" s="125" t="str">
        <f>IFERROR(VLOOKUP(C588,TD!$B$32:$F$36,3,0)," ")</f>
        <v>4503</v>
      </c>
      <c r="R588" s="125">
        <f>IFERROR(VLOOKUP(C588,TD!$B$32:$F$36,4,0)," ")</f>
        <v>20240255</v>
      </c>
      <c r="S588" s="51" t="s">
        <v>175</v>
      </c>
      <c r="T588" s="125" t="str">
        <f>IFERROR(VLOOKUP(S588,TD!$J$33:$K$43,2,0)," ")</f>
        <v>Servicio de atención a incidentes y emergencias.</v>
      </c>
      <c r="U588" s="127" t="str">
        <f>CONCATENATE(S588,"-",T588)</f>
        <v>04-Servicio de atención a incidentes y emergencias.</v>
      </c>
      <c r="V588" s="51" t="s">
        <v>232</v>
      </c>
      <c r="W588" s="125" t="str">
        <f>IFERROR(VLOOKUP(V588,TD!$N$33:$O$45,2,0)," ")</f>
        <v>Servicio de atención a emergencias y desastres</v>
      </c>
      <c r="X588" s="127" t="str">
        <f>CONCATENATE(V588,"_",W588)</f>
        <v>004_Servicio de atención a emergencias y desastres</v>
      </c>
      <c r="Y588" s="127" t="str">
        <f>CONCATENATE(U588," ",X588)</f>
        <v>04-Servicio de atención a incidentes y emergencias. 004_Servicio de atención a emergencias y desastres</v>
      </c>
      <c r="Z588" s="125" t="str">
        <f>CONCATENATE(P588,Q588,R588,S588,V588)</f>
        <v>O23011745032024025504004</v>
      </c>
      <c r="AA588" s="125" t="str">
        <f>IFERROR(VLOOKUP(Y588,TD!$K$46:$L$64,2,0)," ")</f>
        <v>PM/0131/0104/45030040255</v>
      </c>
      <c r="AB588" s="53" t="s">
        <v>138</v>
      </c>
      <c r="AC588" s="126" t="s">
        <v>204</v>
      </c>
    </row>
    <row r="589" spans="2:29" s="28" customFormat="1" ht="74.25" customHeight="1" x14ac:dyDescent="0.35">
      <c r="B589" s="77">
        <v>20250336</v>
      </c>
      <c r="C589" s="50" t="s">
        <v>209</v>
      </c>
      <c r="D589" s="123" t="s">
        <v>169</v>
      </c>
      <c r="E589" s="51" t="s">
        <v>573</v>
      </c>
      <c r="F589" s="123" t="s">
        <v>594</v>
      </c>
      <c r="G589" s="123" t="s">
        <v>155</v>
      </c>
      <c r="H589" s="97">
        <v>80111600</v>
      </c>
      <c r="I589" s="124">
        <v>2</v>
      </c>
      <c r="J589" s="124">
        <v>10</v>
      </c>
      <c r="K589" s="52">
        <v>15</v>
      </c>
      <c r="L589" s="53">
        <v>66150000</v>
      </c>
      <c r="M589" s="123" t="s">
        <v>484</v>
      </c>
      <c r="N589" s="53" t="s">
        <v>113</v>
      </c>
      <c r="O589" s="51" t="s">
        <v>222</v>
      </c>
      <c r="P589" s="125" t="str">
        <f>IFERROR(VLOOKUP(C589,TD!$B$32:$F$36,2,0)," ")</f>
        <v>O230117</v>
      </c>
      <c r="Q589" s="125" t="str">
        <f>IFERROR(VLOOKUP(C589,TD!$B$32:$F$36,3,0)," ")</f>
        <v>4503</v>
      </c>
      <c r="R589" s="125">
        <f>IFERROR(VLOOKUP(C589,TD!$B$32:$F$36,4,0)," ")</f>
        <v>20240255</v>
      </c>
      <c r="S589" s="51" t="s">
        <v>175</v>
      </c>
      <c r="T589" s="125" t="str">
        <f>IFERROR(VLOOKUP(S589,TD!$J$33:$K$43,2,0)," ")</f>
        <v>Servicio de atención a incidentes y emergencias.</v>
      </c>
      <c r="U589" s="127" t="str">
        <f>CONCATENATE(S589,"-",T589)</f>
        <v>04-Servicio de atención a incidentes y emergencias.</v>
      </c>
      <c r="V589" s="51" t="s">
        <v>232</v>
      </c>
      <c r="W589" s="125" t="str">
        <f>IFERROR(VLOOKUP(V589,TD!$N$33:$O$45,2,0)," ")</f>
        <v>Servicio de atención a emergencias y desastres</v>
      </c>
      <c r="X589" s="127" t="str">
        <f>CONCATENATE(V589,"_",W589)</f>
        <v>004_Servicio de atención a emergencias y desastres</v>
      </c>
      <c r="Y589" s="127" t="str">
        <f>CONCATENATE(U589," ",X589)</f>
        <v>04-Servicio de atención a incidentes y emergencias. 004_Servicio de atención a emergencias y desastres</v>
      </c>
      <c r="Z589" s="125" t="str">
        <f>CONCATENATE(P589,Q589,R589,S589,V589)</f>
        <v>O23011745032024025504004</v>
      </c>
      <c r="AA589" s="125" t="str">
        <f>IFERROR(VLOOKUP(Y589,TD!$K$46:$L$64,2,0)," ")</f>
        <v>PM/0131/0104/45030040255</v>
      </c>
      <c r="AB589" s="53" t="s">
        <v>138</v>
      </c>
      <c r="AC589" s="126" t="s">
        <v>204</v>
      </c>
    </row>
    <row r="590" spans="2:29" s="28" customFormat="1" ht="74.25" customHeight="1" x14ac:dyDescent="0.35">
      <c r="B590" s="77">
        <v>20250337</v>
      </c>
      <c r="C590" s="50" t="s">
        <v>209</v>
      </c>
      <c r="D590" s="123" t="s">
        <v>169</v>
      </c>
      <c r="E590" s="51" t="s">
        <v>573</v>
      </c>
      <c r="F590" s="123" t="s">
        <v>595</v>
      </c>
      <c r="G590" s="123" t="s">
        <v>155</v>
      </c>
      <c r="H590" s="97">
        <v>80111600</v>
      </c>
      <c r="I590" s="124">
        <v>2</v>
      </c>
      <c r="J590" s="124">
        <v>10</v>
      </c>
      <c r="K590" s="52">
        <v>15</v>
      </c>
      <c r="L590" s="53">
        <v>60637496</v>
      </c>
      <c r="M590" s="123" t="s">
        <v>484</v>
      </c>
      <c r="N590" s="53" t="s">
        <v>113</v>
      </c>
      <c r="O590" s="51" t="s">
        <v>222</v>
      </c>
      <c r="P590" s="125" t="str">
        <f>IFERROR(VLOOKUP(C590,TD!$B$32:$F$36,2,0)," ")</f>
        <v>O230117</v>
      </c>
      <c r="Q590" s="125" t="str">
        <f>IFERROR(VLOOKUP(C590,TD!$B$32:$F$36,3,0)," ")</f>
        <v>4503</v>
      </c>
      <c r="R590" s="125">
        <f>IFERROR(VLOOKUP(C590,TD!$B$32:$F$36,4,0)," ")</f>
        <v>20240255</v>
      </c>
      <c r="S590" s="51" t="s">
        <v>175</v>
      </c>
      <c r="T590" s="125" t="str">
        <f>IFERROR(VLOOKUP(S590,TD!$J$33:$K$43,2,0)," ")</f>
        <v>Servicio de atención a incidentes y emergencias.</v>
      </c>
      <c r="U590" s="127" t="str">
        <f>CONCATENATE(S590,"-",T590)</f>
        <v>04-Servicio de atención a incidentes y emergencias.</v>
      </c>
      <c r="V590" s="51" t="s">
        <v>232</v>
      </c>
      <c r="W590" s="125" t="str">
        <f>IFERROR(VLOOKUP(V590,TD!$N$33:$O$45,2,0)," ")</f>
        <v>Servicio de atención a emergencias y desastres</v>
      </c>
      <c r="X590" s="127" t="str">
        <f>CONCATENATE(V590,"_",W590)</f>
        <v>004_Servicio de atención a emergencias y desastres</v>
      </c>
      <c r="Y590" s="127" t="str">
        <f>CONCATENATE(U590," ",X590)</f>
        <v>04-Servicio de atención a incidentes y emergencias. 004_Servicio de atención a emergencias y desastres</v>
      </c>
      <c r="Z590" s="125" t="str">
        <f>CONCATENATE(P590,Q590,R590,S590,V590)</f>
        <v>O23011745032024025504004</v>
      </c>
      <c r="AA590" s="125" t="str">
        <f>IFERROR(VLOOKUP(Y590,TD!$K$46:$L$64,2,0)," ")</f>
        <v>PM/0131/0104/45030040255</v>
      </c>
      <c r="AB590" s="53" t="s">
        <v>138</v>
      </c>
      <c r="AC590" s="126" t="s">
        <v>204</v>
      </c>
    </row>
    <row r="591" spans="2:29" s="28" customFormat="1" ht="74.25" customHeight="1" x14ac:dyDescent="0.35">
      <c r="B591" s="77">
        <v>20250338</v>
      </c>
      <c r="C591" s="50" t="s">
        <v>209</v>
      </c>
      <c r="D591" s="123" t="s">
        <v>169</v>
      </c>
      <c r="E591" s="51" t="s">
        <v>573</v>
      </c>
      <c r="F591" s="123" t="s">
        <v>596</v>
      </c>
      <c r="G591" s="123" t="s">
        <v>155</v>
      </c>
      <c r="H591" s="97">
        <v>80111600</v>
      </c>
      <c r="I591" s="124">
        <v>3</v>
      </c>
      <c r="J591" s="124">
        <v>10</v>
      </c>
      <c r="K591" s="52">
        <v>0</v>
      </c>
      <c r="L591" s="53">
        <v>50400000</v>
      </c>
      <c r="M591" s="123" t="s">
        <v>484</v>
      </c>
      <c r="N591" s="53" t="s">
        <v>113</v>
      </c>
      <c r="O591" s="51" t="s">
        <v>222</v>
      </c>
      <c r="P591" s="125" t="str">
        <f>IFERROR(VLOOKUP(C591,TD!$B$32:$F$36,2,0)," ")</f>
        <v>O230117</v>
      </c>
      <c r="Q591" s="125" t="str">
        <f>IFERROR(VLOOKUP(C591,TD!$B$32:$F$36,3,0)," ")</f>
        <v>4503</v>
      </c>
      <c r="R591" s="125">
        <f>IFERROR(VLOOKUP(C591,TD!$B$32:$F$36,4,0)," ")</f>
        <v>20240255</v>
      </c>
      <c r="S591" s="51" t="s">
        <v>175</v>
      </c>
      <c r="T591" s="125" t="str">
        <f>IFERROR(VLOOKUP(S591,TD!$J$33:$K$43,2,0)," ")</f>
        <v>Servicio de atención a incidentes y emergencias.</v>
      </c>
      <c r="U591" s="127" t="str">
        <f>CONCATENATE(S591,"-",T591)</f>
        <v>04-Servicio de atención a incidentes y emergencias.</v>
      </c>
      <c r="V591" s="51" t="s">
        <v>232</v>
      </c>
      <c r="W591" s="125" t="str">
        <f>IFERROR(VLOOKUP(V591,TD!$N$33:$O$45,2,0)," ")</f>
        <v>Servicio de atención a emergencias y desastres</v>
      </c>
      <c r="X591" s="127" t="str">
        <f>CONCATENATE(V591,"_",W591)</f>
        <v>004_Servicio de atención a emergencias y desastres</v>
      </c>
      <c r="Y591" s="127" t="str">
        <f>CONCATENATE(U591," ",X591)</f>
        <v>04-Servicio de atención a incidentes y emergencias. 004_Servicio de atención a emergencias y desastres</v>
      </c>
      <c r="Z591" s="125" t="str">
        <f>CONCATENATE(P591,Q591,R591,S591,V591)</f>
        <v>O23011745032024025504004</v>
      </c>
      <c r="AA591" s="125" t="str">
        <f>IFERROR(VLOOKUP(Y591,TD!$K$46:$L$64,2,0)," ")</f>
        <v>PM/0131/0104/45030040255</v>
      </c>
      <c r="AB591" s="53" t="s">
        <v>138</v>
      </c>
      <c r="AC591" s="126" t="s">
        <v>204</v>
      </c>
    </row>
    <row r="592" spans="2:29" s="28" customFormat="1" ht="139" customHeight="1" x14ac:dyDescent="0.35">
      <c r="B592" s="77">
        <v>20250339</v>
      </c>
      <c r="C592" s="50" t="s">
        <v>209</v>
      </c>
      <c r="D592" s="123" t="s">
        <v>169</v>
      </c>
      <c r="E592" s="51" t="s">
        <v>573</v>
      </c>
      <c r="F592" s="123" t="s">
        <v>597</v>
      </c>
      <c r="G592" s="123" t="s">
        <v>155</v>
      </c>
      <c r="H592" s="97">
        <v>80111600</v>
      </c>
      <c r="I592" s="124">
        <v>3</v>
      </c>
      <c r="J592" s="124">
        <v>10</v>
      </c>
      <c r="K592" s="52">
        <v>0</v>
      </c>
      <c r="L592" s="53">
        <v>57750000</v>
      </c>
      <c r="M592" s="123" t="s">
        <v>484</v>
      </c>
      <c r="N592" s="53" t="s">
        <v>113</v>
      </c>
      <c r="O592" s="51" t="s">
        <v>222</v>
      </c>
      <c r="P592" s="125" t="str">
        <f>IFERROR(VLOOKUP(C592,TD!$B$32:$F$36,2,0)," ")</f>
        <v>O230117</v>
      </c>
      <c r="Q592" s="125" t="str">
        <f>IFERROR(VLOOKUP(C592,TD!$B$32:$F$36,3,0)," ")</f>
        <v>4503</v>
      </c>
      <c r="R592" s="125">
        <f>IFERROR(VLOOKUP(C592,TD!$B$32:$F$36,4,0)," ")</f>
        <v>20240255</v>
      </c>
      <c r="S592" s="51" t="s">
        <v>175</v>
      </c>
      <c r="T592" s="125" t="str">
        <f>IFERROR(VLOOKUP(S592,TD!$J$33:$K$43,2,0)," ")</f>
        <v>Servicio de atención a incidentes y emergencias.</v>
      </c>
      <c r="U592" s="127" t="str">
        <f>CONCATENATE(S592,"-",T592)</f>
        <v>04-Servicio de atención a incidentes y emergencias.</v>
      </c>
      <c r="V592" s="51" t="s">
        <v>232</v>
      </c>
      <c r="W592" s="125" t="str">
        <f>IFERROR(VLOOKUP(V592,TD!$N$33:$O$45,2,0)," ")</f>
        <v>Servicio de atención a emergencias y desastres</v>
      </c>
      <c r="X592" s="127" t="str">
        <f>CONCATENATE(V592,"_",W592)</f>
        <v>004_Servicio de atención a emergencias y desastres</v>
      </c>
      <c r="Y592" s="127" t="str">
        <f>CONCATENATE(U592," ",X592)</f>
        <v>04-Servicio de atención a incidentes y emergencias. 004_Servicio de atención a emergencias y desastres</v>
      </c>
      <c r="Z592" s="125" t="str">
        <f>CONCATENATE(P592,Q592,R592,S592,V592)</f>
        <v>O23011745032024025504004</v>
      </c>
      <c r="AA592" s="125" t="str">
        <f>IFERROR(VLOOKUP(Y592,TD!$K$46:$L$64,2,0)," ")</f>
        <v>PM/0131/0104/45030040255</v>
      </c>
      <c r="AB592" s="53" t="s">
        <v>138</v>
      </c>
      <c r="AC592" s="126" t="s">
        <v>204</v>
      </c>
    </row>
    <row r="593" spans="2:29" s="28" customFormat="1" ht="74.25" customHeight="1" x14ac:dyDescent="0.35">
      <c r="B593" s="77">
        <v>20250341</v>
      </c>
      <c r="C593" s="50" t="s">
        <v>209</v>
      </c>
      <c r="D593" s="123" t="s">
        <v>169</v>
      </c>
      <c r="E593" s="51" t="s">
        <v>573</v>
      </c>
      <c r="F593" s="123" t="s">
        <v>599</v>
      </c>
      <c r="G593" s="123" t="s">
        <v>155</v>
      </c>
      <c r="H593" s="97">
        <v>80111600</v>
      </c>
      <c r="I593" s="124">
        <v>2</v>
      </c>
      <c r="J593" s="124">
        <v>10</v>
      </c>
      <c r="K593" s="52">
        <v>15</v>
      </c>
      <c r="L593" s="53">
        <v>77175000</v>
      </c>
      <c r="M593" s="123" t="s">
        <v>484</v>
      </c>
      <c r="N593" s="53" t="s">
        <v>113</v>
      </c>
      <c r="O593" s="51" t="s">
        <v>222</v>
      </c>
      <c r="P593" s="125" t="str">
        <f>IFERROR(VLOOKUP(C593,TD!$B$32:$F$36,2,0)," ")</f>
        <v>O230117</v>
      </c>
      <c r="Q593" s="125" t="str">
        <f>IFERROR(VLOOKUP(C593,TD!$B$32:$F$36,3,0)," ")</f>
        <v>4503</v>
      </c>
      <c r="R593" s="125">
        <f>IFERROR(VLOOKUP(C593,TD!$B$32:$F$36,4,0)," ")</f>
        <v>20240255</v>
      </c>
      <c r="S593" s="51" t="s">
        <v>175</v>
      </c>
      <c r="T593" s="125" t="str">
        <f>IFERROR(VLOOKUP(S593,TD!$J$33:$K$43,2,0)," ")</f>
        <v>Servicio de atención a incidentes y emergencias.</v>
      </c>
      <c r="U593" s="127" t="str">
        <f>CONCATENATE(S593,"-",T593)</f>
        <v>04-Servicio de atención a incidentes y emergencias.</v>
      </c>
      <c r="V593" s="51" t="s">
        <v>232</v>
      </c>
      <c r="W593" s="125" t="str">
        <f>IFERROR(VLOOKUP(V593,TD!$N$33:$O$45,2,0)," ")</f>
        <v>Servicio de atención a emergencias y desastres</v>
      </c>
      <c r="X593" s="127" t="str">
        <f>CONCATENATE(V593,"_",W593)</f>
        <v>004_Servicio de atención a emergencias y desastres</v>
      </c>
      <c r="Y593" s="127" t="str">
        <f>CONCATENATE(U593," ",X593)</f>
        <v>04-Servicio de atención a incidentes y emergencias. 004_Servicio de atención a emergencias y desastres</v>
      </c>
      <c r="Z593" s="125" t="str">
        <f>CONCATENATE(P593,Q593,R593,S593,V593)</f>
        <v>O23011745032024025504004</v>
      </c>
      <c r="AA593" s="125" t="str">
        <f>IFERROR(VLOOKUP(Y593,TD!$K$46:$L$64,2,0)," ")</f>
        <v>PM/0131/0104/45030040255</v>
      </c>
      <c r="AB593" s="53" t="s">
        <v>138</v>
      </c>
      <c r="AC593" s="126" t="s">
        <v>204</v>
      </c>
    </row>
    <row r="594" spans="2:29" s="28" customFormat="1" ht="74.25" customHeight="1" x14ac:dyDescent="0.35">
      <c r="B594" s="77">
        <v>20250342</v>
      </c>
      <c r="C594" s="50" t="s">
        <v>209</v>
      </c>
      <c r="D594" s="123" t="s">
        <v>169</v>
      </c>
      <c r="E594" s="51" t="s">
        <v>573</v>
      </c>
      <c r="F594" s="123" t="s">
        <v>600</v>
      </c>
      <c r="G594" s="123" t="s">
        <v>155</v>
      </c>
      <c r="H594" s="97">
        <v>80111600</v>
      </c>
      <c r="I594" s="124">
        <v>2</v>
      </c>
      <c r="J594" s="124">
        <v>10</v>
      </c>
      <c r="K594" s="52">
        <v>15</v>
      </c>
      <c r="L594" s="53">
        <v>77175000</v>
      </c>
      <c r="M594" s="123" t="s">
        <v>484</v>
      </c>
      <c r="N594" s="53" t="s">
        <v>113</v>
      </c>
      <c r="O594" s="51" t="s">
        <v>222</v>
      </c>
      <c r="P594" s="125" t="str">
        <f>IFERROR(VLOOKUP(C594,TD!$B$32:$F$36,2,0)," ")</f>
        <v>O230117</v>
      </c>
      <c r="Q594" s="125" t="str">
        <f>IFERROR(VLOOKUP(C594,TD!$B$32:$F$36,3,0)," ")</f>
        <v>4503</v>
      </c>
      <c r="R594" s="125">
        <f>IFERROR(VLOOKUP(C594,TD!$B$32:$F$36,4,0)," ")</f>
        <v>20240255</v>
      </c>
      <c r="S594" s="51" t="s">
        <v>175</v>
      </c>
      <c r="T594" s="125" t="str">
        <f>IFERROR(VLOOKUP(S594,TD!$J$33:$K$43,2,0)," ")</f>
        <v>Servicio de atención a incidentes y emergencias.</v>
      </c>
      <c r="U594" s="127" t="str">
        <f>CONCATENATE(S594,"-",T594)</f>
        <v>04-Servicio de atención a incidentes y emergencias.</v>
      </c>
      <c r="V594" s="51" t="s">
        <v>232</v>
      </c>
      <c r="W594" s="125" t="str">
        <f>IFERROR(VLOOKUP(V594,TD!$N$33:$O$45,2,0)," ")</f>
        <v>Servicio de atención a emergencias y desastres</v>
      </c>
      <c r="X594" s="127" t="str">
        <f>CONCATENATE(V594,"_",W594)</f>
        <v>004_Servicio de atención a emergencias y desastres</v>
      </c>
      <c r="Y594" s="127" t="str">
        <f>CONCATENATE(U594," ",X594)</f>
        <v>04-Servicio de atención a incidentes y emergencias. 004_Servicio de atención a emergencias y desastres</v>
      </c>
      <c r="Z594" s="125" t="str">
        <f>CONCATENATE(P594,Q594,R594,S594,V594)</f>
        <v>O23011745032024025504004</v>
      </c>
      <c r="AA594" s="125" t="str">
        <f>IFERROR(VLOOKUP(Y594,TD!$K$46:$L$64,2,0)," ")</f>
        <v>PM/0131/0104/45030040255</v>
      </c>
      <c r="AB594" s="53" t="s">
        <v>138</v>
      </c>
      <c r="AC594" s="126" t="s">
        <v>204</v>
      </c>
    </row>
    <row r="595" spans="2:29" s="28" customFormat="1" ht="74.25" customHeight="1" x14ac:dyDescent="0.35">
      <c r="B595" s="77">
        <v>20250343</v>
      </c>
      <c r="C595" s="50" t="s">
        <v>209</v>
      </c>
      <c r="D595" s="123" t="s">
        <v>169</v>
      </c>
      <c r="E595" s="51" t="s">
        <v>573</v>
      </c>
      <c r="F595" s="123" t="s">
        <v>601</v>
      </c>
      <c r="G595" s="123" t="s">
        <v>155</v>
      </c>
      <c r="H595" s="97">
        <v>80111600</v>
      </c>
      <c r="I595" s="124">
        <v>2</v>
      </c>
      <c r="J595" s="124">
        <v>10</v>
      </c>
      <c r="K595" s="52">
        <v>15</v>
      </c>
      <c r="L595" s="53">
        <v>93712500</v>
      </c>
      <c r="M595" s="123" t="s">
        <v>484</v>
      </c>
      <c r="N595" s="53" t="s">
        <v>113</v>
      </c>
      <c r="O595" s="51" t="s">
        <v>222</v>
      </c>
      <c r="P595" s="125" t="str">
        <f>IFERROR(VLOOKUP(C595,TD!$B$32:$F$36,2,0)," ")</f>
        <v>O230117</v>
      </c>
      <c r="Q595" s="125" t="str">
        <f>IFERROR(VLOOKUP(C595,TD!$B$32:$F$36,3,0)," ")</f>
        <v>4503</v>
      </c>
      <c r="R595" s="125">
        <f>IFERROR(VLOOKUP(C595,TD!$B$32:$F$36,4,0)," ")</f>
        <v>20240255</v>
      </c>
      <c r="S595" s="51" t="s">
        <v>175</v>
      </c>
      <c r="T595" s="125" t="str">
        <f>IFERROR(VLOOKUP(S595,TD!$J$33:$K$43,2,0)," ")</f>
        <v>Servicio de atención a incidentes y emergencias.</v>
      </c>
      <c r="U595" s="127" t="str">
        <f>CONCATENATE(S595,"-",T595)</f>
        <v>04-Servicio de atención a incidentes y emergencias.</v>
      </c>
      <c r="V595" s="51" t="s">
        <v>232</v>
      </c>
      <c r="W595" s="125" t="str">
        <f>IFERROR(VLOOKUP(V595,TD!$N$33:$O$45,2,0)," ")</f>
        <v>Servicio de atención a emergencias y desastres</v>
      </c>
      <c r="X595" s="127" t="str">
        <f>CONCATENATE(V595,"_",W595)</f>
        <v>004_Servicio de atención a emergencias y desastres</v>
      </c>
      <c r="Y595" s="127" t="str">
        <f>CONCATENATE(U595," ",X595)</f>
        <v>04-Servicio de atención a incidentes y emergencias. 004_Servicio de atención a emergencias y desastres</v>
      </c>
      <c r="Z595" s="125" t="str">
        <f>CONCATENATE(P595,Q595,R595,S595,V595)</f>
        <v>O23011745032024025504004</v>
      </c>
      <c r="AA595" s="125" t="str">
        <f>IFERROR(VLOOKUP(Y595,TD!$K$46:$L$64,2,0)," ")</f>
        <v>PM/0131/0104/45030040255</v>
      </c>
      <c r="AB595" s="53" t="s">
        <v>138</v>
      </c>
      <c r="AC595" s="126" t="s">
        <v>204</v>
      </c>
    </row>
    <row r="596" spans="2:29" s="28" customFormat="1" ht="74.25" customHeight="1" x14ac:dyDescent="0.35">
      <c r="B596" s="77">
        <v>20250344</v>
      </c>
      <c r="C596" s="50" t="s">
        <v>209</v>
      </c>
      <c r="D596" s="123" t="s">
        <v>169</v>
      </c>
      <c r="E596" s="51" t="s">
        <v>573</v>
      </c>
      <c r="F596" s="123" t="s">
        <v>602</v>
      </c>
      <c r="G596" s="123" t="s">
        <v>155</v>
      </c>
      <c r="H596" s="97">
        <v>80111600</v>
      </c>
      <c r="I596" s="124">
        <v>2</v>
      </c>
      <c r="J596" s="124">
        <v>10</v>
      </c>
      <c r="K596" s="52">
        <v>15</v>
      </c>
      <c r="L596" s="53">
        <v>65653875</v>
      </c>
      <c r="M596" s="123" t="s">
        <v>484</v>
      </c>
      <c r="N596" s="53" t="s">
        <v>113</v>
      </c>
      <c r="O596" s="51" t="s">
        <v>222</v>
      </c>
      <c r="P596" s="125" t="str">
        <f>IFERROR(VLOOKUP(C596,TD!$B$32:$F$36,2,0)," ")</f>
        <v>O230117</v>
      </c>
      <c r="Q596" s="125" t="str">
        <f>IFERROR(VLOOKUP(C596,TD!$B$32:$F$36,3,0)," ")</f>
        <v>4503</v>
      </c>
      <c r="R596" s="125">
        <f>IFERROR(VLOOKUP(C596,TD!$B$32:$F$36,4,0)," ")</f>
        <v>20240255</v>
      </c>
      <c r="S596" s="51" t="s">
        <v>175</v>
      </c>
      <c r="T596" s="125" t="str">
        <f>IFERROR(VLOOKUP(S596,TD!$J$33:$K$43,2,0)," ")</f>
        <v>Servicio de atención a incidentes y emergencias.</v>
      </c>
      <c r="U596" s="127" t="str">
        <f>CONCATENATE(S596,"-",T596)</f>
        <v>04-Servicio de atención a incidentes y emergencias.</v>
      </c>
      <c r="V596" s="51" t="s">
        <v>232</v>
      </c>
      <c r="W596" s="125" t="str">
        <f>IFERROR(VLOOKUP(V596,TD!$N$33:$O$45,2,0)," ")</f>
        <v>Servicio de atención a emergencias y desastres</v>
      </c>
      <c r="X596" s="127" t="str">
        <f>CONCATENATE(V596,"_",W596)</f>
        <v>004_Servicio de atención a emergencias y desastres</v>
      </c>
      <c r="Y596" s="127" t="str">
        <f>CONCATENATE(U596," ",X596)</f>
        <v>04-Servicio de atención a incidentes y emergencias. 004_Servicio de atención a emergencias y desastres</v>
      </c>
      <c r="Z596" s="125" t="str">
        <f>CONCATENATE(P596,Q596,R596,S596,V596)</f>
        <v>O23011745032024025504004</v>
      </c>
      <c r="AA596" s="125" t="str">
        <f>IFERROR(VLOOKUP(Y596,TD!$K$46:$L$64,2,0)," ")</f>
        <v>PM/0131/0104/45030040255</v>
      </c>
      <c r="AB596" s="53" t="s">
        <v>138</v>
      </c>
      <c r="AC596" s="126" t="s">
        <v>204</v>
      </c>
    </row>
    <row r="597" spans="2:29" s="28" customFormat="1" ht="74.25" customHeight="1" x14ac:dyDescent="0.35">
      <c r="B597" s="77">
        <v>20250345</v>
      </c>
      <c r="C597" s="50" t="s">
        <v>209</v>
      </c>
      <c r="D597" s="123" t="s">
        <v>169</v>
      </c>
      <c r="E597" s="51" t="s">
        <v>573</v>
      </c>
      <c r="F597" s="123" t="s">
        <v>602</v>
      </c>
      <c r="G597" s="123" t="s">
        <v>155</v>
      </c>
      <c r="H597" s="97">
        <v>80111600</v>
      </c>
      <c r="I597" s="124">
        <v>2</v>
      </c>
      <c r="J597" s="124">
        <v>10</v>
      </c>
      <c r="K597" s="52">
        <v>15</v>
      </c>
      <c r="L597" s="53">
        <v>65653875</v>
      </c>
      <c r="M597" s="123" t="s">
        <v>484</v>
      </c>
      <c r="N597" s="53" t="s">
        <v>113</v>
      </c>
      <c r="O597" s="51" t="s">
        <v>222</v>
      </c>
      <c r="P597" s="125" t="str">
        <f>IFERROR(VLOOKUP(C597,TD!$B$32:$F$36,2,0)," ")</f>
        <v>O230117</v>
      </c>
      <c r="Q597" s="125" t="str">
        <f>IFERROR(VLOOKUP(C597,TD!$B$32:$F$36,3,0)," ")</f>
        <v>4503</v>
      </c>
      <c r="R597" s="125">
        <f>IFERROR(VLOOKUP(C597,TD!$B$32:$F$36,4,0)," ")</f>
        <v>20240255</v>
      </c>
      <c r="S597" s="51" t="s">
        <v>175</v>
      </c>
      <c r="T597" s="125" t="str">
        <f>IFERROR(VLOOKUP(S597,TD!$J$33:$K$43,2,0)," ")</f>
        <v>Servicio de atención a incidentes y emergencias.</v>
      </c>
      <c r="U597" s="127" t="str">
        <f>CONCATENATE(S597,"-",T597)</f>
        <v>04-Servicio de atención a incidentes y emergencias.</v>
      </c>
      <c r="V597" s="51" t="s">
        <v>232</v>
      </c>
      <c r="W597" s="125" t="str">
        <f>IFERROR(VLOOKUP(V597,TD!$N$33:$O$45,2,0)," ")</f>
        <v>Servicio de atención a emergencias y desastres</v>
      </c>
      <c r="X597" s="127" t="str">
        <f>CONCATENATE(V597,"_",W597)</f>
        <v>004_Servicio de atención a emergencias y desastres</v>
      </c>
      <c r="Y597" s="127" t="str">
        <f>CONCATENATE(U597," ",X597)</f>
        <v>04-Servicio de atención a incidentes y emergencias. 004_Servicio de atención a emergencias y desastres</v>
      </c>
      <c r="Z597" s="125" t="str">
        <f>CONCATENATE(P597,Q597,R597,S597,V597)</f>
        <v>O23011745032024025504004</v>
      </c>
      <c r="AA597" s="125" t="str">
        <f>IFERROR(VLOOKUP(Y597,TD!$K$46:$L$64,2,0)," ")</f>
        <v>PM/0131/0104/45030040255</v>
      </c>
      <c r="AB597" s="53" t="s">
        <v>138</v>
      </c>
      <c r="AC597" s="126" t="s">
        <v>204</v>
      </c>
    </row>
    <row r="598" spans="2:29" s="28" customFormat="1" ht="74.25" customHeight="1" x14ac:dyDescent="0.35">
      <c r="B598" s="77">
        <v>20250346</v>
      </c>
      <c r="C598" s="50" t="s">
        <v>209</v>
      </c>
      <c r="D598" s="123" t="s">
        <v>169</v>
      </c>
      <c r="E598" s="51" t="s">
        <v>573</v>
      </c>
      <c r="F598" s="123" t="s">
        <v>390</v>
      </c>
      <c r="G598" s="123" t="s">
        <v>119</v>
      </c>
      <c r="H598" s="97">
        <v>80111600</v>
      </c>
      <c r="I598" s="124">
        <v>2</v>
      </c>
      <c r="J598" s="124">
        <v>6</v>
      </c>
      <c r="K598" s="52">
        <v>0</v>
      </c>
      <c r="L598" s="53">
        <v>3000000000</v>
      </c>
      <c r="M598" s="123" t="s">
        <v>484</v>
      </c>
      <c r="N598" s="53" t="s">
        <v>95</v>
      </c>
      <c r="O598" s="51" t="s">
        <v>222</v>
      </c>
      <c r="P598" s="125" t="str">
        <f>IFERROR(VLOOKUP(C598,TD!$B$32:$F$36,2,0)," ")</f>
        <v>O230117</v>
      </c>
      <c r="Q598" s="125" t="str">
        <f>IFERROR(VLOOKUP(C598,TD!$B$32:$F$36,3,0)," ")</f>
        <v>4503</v>
      </c>
      <c r="R598" s="125">
        <f>IFERROR(VLOOKUP(C598,TD!$B$32:$F$36,4,0)," ")</f>
        <v>20240255</v>
      </c>
      <c r="S598" s="51" t="s">
        <v>189</v>
      </c>
      <c r="T598" s="125" t="str">
        <f>IFERROR(VLOOKUP(S598,TD!$J$33:$K$43,2,0)," ")</f>
        <v>Servicio de dotación y equipamento para el personal operativo</v>
      </c>
      <c r="U598" s="127" t="str">
        <f>CONCATENATE(S598,"-",T598)</f>
        <v>10-Servicio de dotación y equipamento para el personal operativo</v>
      </c>
      <c r="V598" s="51" t="s">
        <v>232</v>
      </c>
      <c r="W598" s="125" t="str">
        <f>IFERROR(VLOOKUP(V598,TD!$N$33:$O$45,2,0)," ")</f>
        <v>Servicio de atención a emergencias y desastres</v>
      </c>
      <c r="X598" s="127" t="str">
        <f>CONCATENATE(V598,"_",W598)</f>
        <v>004_Servicio de atención a emergencias y desastres</v>
      </c>
      <c r="Y598" s="127" t="str">
        <f>CONCATENATE(U598," ",X598)</f>
        <v>10-Servicio de dotación y equipamento para el personal operativo 004_Servicio de atención a emergencias y desastres</v>
      </c>
      <c r="Z598" s="125" t="str">
        <f>CONCATENATE(P598,Q598,R598,S598,V598)</f>
        <v>O23011745032024025510004</v>
      </c>
      <c r="AA598" s="125" t="str">
        <f>IFERROR(VLOOKUP(Y598,TD!$K$46:$L$64,2,0)," ")</f>
        <v>PM/0131/0110/45030040255</v>
      </c>
      <c r="AB598" s="53" t="s">
        <v>138</v>
      </c>
      <c r="AC598" s="126" t="s">
        <v>204</v>
      </c>
    </row>
    <row r="599" spans="2:29" s="28" customFormat="1" ht="74.25" customHeight="1" x14ac:dyDescent="0.35">
      <c r="B599" s="77">
        <v>20250347</v>
      </c>
      <c r="C599" s="50" t="s">
        <v>209</v>
      </c>
      <c r="D599" s="123" t="s">
        <v>169</v>
      </c>
      <c r="E599" s="51" t="s">
        <v>573</v>
      </c>
      <c r="F599" s="123" t="s">
        <v>603</v>
      </c>
      <c r="G599" s="123" t="s">
        <v>119</v>
      </c>
      <c r="H599" s="97">
        <v>80111600</v>
      </c>
      <c r="I599" s="124">
        <v>2</v>
      </c>
      <c r="J599" s="124">
        <v>3</v>
      </c>
      <c r="K599" s="52">
        <v>0</v>
      </c>
      <c r="L599" s="53">
        <v>1436467353</v>
      </c>
      <c r="M599" s="123" t="s">
        <v>484</v>
      </c>
      <c r="N599" s="53" t="s">
        <v>95</v>
      </c>
      <c r="O599" s="51" t="s">
        <v>222</v>
      </c>
      <c r="P599" s="125" t="str">
        <f>IFERROR(VLOOKUP(C599,TD!$B$32:$F$36,2,0)," ")</f>
        <v>O230117</v>
      </c>
      <c r="Q599" s="125" t="str">
        <f>IFERROR(VLOOKUP(C599,TD!$B$32:$F$36,3,0)," ")</f>
        <v>4503</v>
      </c>
      <c r="R599" s="125">
        <f>IFERROR(VLOOKUP(C599,TD!$B$32:$F$36,4,0)," ")</f>
        <v>20240255</v>
      </c>
      <c r="S599" s="51" t="s">
        <v>189</v>
      </c>
      <c r="T599" s="125" t="str">
        <f>IFERROR(VLOOKUP(S599,TD!$J$33:$K$43,2,0)," ")</f>
        <v>Servicio de dotación y equipamento para el personal operativo</v>
      </c>
      <c r="U599" s="127" t="str">
        <f>CONCATENATE(S599,"-",T599)</f>
        <v>10-Servicio de dotación y equipamento para el personal operativo</v>
      </c>
      <c r="V599" s="51" t="s">
        <v>232</v>
      </c>
      <c r="W599" s="125" t="str">
        <f>IFERROR(VLOOKUP(V599,TD!$N$33:$O$45,2,0)," ")</f>
        <v>Servicio de atención a emergencias y desastres</v>
      </c>
      <c r="X599" s="127" t="str">
        <f>CONCATENATE(V599,"_",W599)</f>
        <v>004_Servicio de atención a emergencias y desastres</v>
      </c>
      <c r="Y599" s="127" t="str">
        <f>CONCATENATE(U599," ",X599)</f>
        <v>10-Servicio de dotación y equipamento para el personal operativo 004_Servicio de atención a emergencias y desastres</v>
      </c>
      <c r="Z599" s="125" t="str">
        <f>CONCATENATE(P599,Q599,R599,S599,V599)</f>
        <v>O23011745032024025510004</v>
      </c>
      <c r="AA599" s="125" t="str">
        <f>IFERROR(VLOOKUP(Y599,TD!$K$46:$L$64,2,0)," ")</f>
        <v>PM/0131/0110/45030040255</v>
      </c>
      <c r="AB599" s="53" t="s">
        <v>138</v>
      </c>
      <c r="AC599" s="126" t="s">
        <v>204</v>
      </c>
    </row>
    <row r="600" spans="2:29" s="28" customFormat="1" ht="74.25" customHeight="1" x14ac:dyDescent="0.35">
      <c r="B600" s="77">
        <v>20250348</v>
      </c>
      <c r="C600" s="50" t="s">
        <v>209</v>
      </c>
      <c r="D600" s="123" t="s">
        <v>169</v>
      </c>
      <c r="E600" s="51" t="s">
        <v>573</v>
      </c>
      <c r="F600" s="123" t="s">
        <v>604</v>
      </c>
      <c r="G600" s="123" t="s">
        <v>109</v>
      </c>
      <c r="H600" s="97">
        <v>80111600</v>
      </c>
      <c r="I600" s="124">
        <v>2</v>
      </c>
      <c r="J600" s="124">
        <v>12</v>
      </c>
      <c r="K600" s="52">
        <v>0</v>
      </c>
      <c r="L600" s="53">
        <v>8054000000</v>
      </c>
      <c r="M600" s="123" t="s">
        <v>484</v>
      </c>
      <c r="N600" s="53" t="s">
        <v>85</v>
      </c>
      <c r="O600" s="51" t="s">
        <v>223</v>
      </c>
      <c r="P600" s="125" t="str">
        <f>IFERROR(VLOOKUP(C600,TD!$B$32:$F$36,2,0)," ")</f>
        <v>O230117</v>
      </c>
      <c r="Q600" s="125" t="str">
        <f>IFERROR(VLOOKUP(C600,TD!$B$32:$F$36,3,0)," ")</f>
        <v>4503</v>
      </c>
      <c r="R600" s="125">
        <f>IFERROR(VLOOKUP(C600,TD!$B$32:$F$36,4,0)," ")</f>
        <v>20240255</v>
      </c>
      <c r="S600" s="51" t="s">
        <v>175</v>
      </c>
      <c r="T600" s="125" t="str">
        <f>IFERROR(VLOOKUP(S600,TD!$J$33:$K$43,2,0)," ")</f>
        <v>Servicio de atención a incidentes y emergencias.</v>
      </c>
      <c r="U600" s="127" t="str">
        <f>CONCATENATE(S600,"-",T600)</f>
        <v>04-Servicio de atención a incidentes y emergencias.</v>
      </c>
      <c r="V600" s="51" t="s">
        <v>232</v>
      </c>
      <c r="W600" s="125" t="str">
        <f>IFERROR(VLOOKUP(V600,TD!$N$33:$O$45,2,0)," ")</f>
        <v>Servicio de atención a emergencias y desastres</v>
      </c>
      <c r="X600" s="127" t="str">
        <f>CONCATENATE(V600,"_",W600)</f>
        <v>004_Servicio de atención a emergencias y desastres</v>
      </c>
      <c r="Y600" s="127" t="str">
        <f>CONCATENATE(U600," ",X600)</f>
        <v>04-Servicio de atención a incidentes y emergencias. 004_Servicio de atención a emergencias y desastres</v>
      </c>
      <c r="Z600" s="125" t="str">
        <f>CONCATENATE(P600,Q600,R600,S600,V600)</f>
        <v>O23011745032024025504004</v>
      </c>
      <c r="AA600" s="125" t="str">
        <f>IFERROR(VLOOKUP(Y600,TD!$K$46:$L$64,2,0)," ")</f>
        <v>PM/0131/0104/45030040255</v>
      </c>
      <c r="AB600" s="53" t="s">
        <v>138</v>
      </c>
      <c r="AC600" s="126" t="s">
        <v>204</v>
      </c>
    </row>
    <row r="601" spans="2:29" s="28" customFormat="1" ht="74.25" customHeight="1" x14ac:dyDescent="0.35">
      <c r="B601" s="77">
        <v>20250350</v>
      </c>
      <c r="C601" s="142" t="s">
        <v>346</v>
      </c>
      <c r="D601" s="143" t="s">
        <v>169</v>
      </c>
      <c r="E601" s="144" t="s">
        <v>694</v>
      </c>
      <c r="F601" s="143" t="s">
        <v>695</v>
      </c>
      <c r="G601" s="143" t="s">
        <v>109</v>
      </c>
      <c r="H601" s="97">
        <v>53102710</v>
      </c>
      <c r="I601" s="124">
        <v>2</v>
      </c>
      <c r="J601" s="145">
        <v>6</v>
      </c>
      <c r="K601" s="146">
        <v>0</v>
      </c>
      <c r="L601" s="147">
        <v>300050000</v>
      </c>
      <c r="M601" s="143" t="s">
        <v>172</v>
      </c>
      <c r="N601" s="147" t="s">
        <v>95</v>
      </c>
      <c r="O601" s="144" t="s">
        <v>347</v>
      </c>
      <c r="P601" s="148" t="str">
        <f>IFERROR(VLOOKUP(C601,TD!$B$32:$F$36,2,0)," ")</f>
        <v>NA</v>
      </c>
      <c r="Q601" s="148" t="str">
        <f>IFERROR(VLOOKUP(C601,TD!$B$32:$F$36,3,0)," ")</f>
        <v>NA</v>
      </c>
      <c r="R601" s="148" t="str">
        <f>IFERROR(VLOOKUP(C601,TD!$B$32:$F$36,4,0)," ")</f>
        <v>NA</v>
      </c>
      <c r="S601" s="144" t="s">
        <v>409</v>
      </c>
      <c r="T601" s="125" t="str">
        <f>IFERROR(VLOOKUP(S601,TD!$J$33:$K$43,2,0)," ")</f>
        <v>N/A</v>
      </c>
      <c r="U601" s="127" t="str">
        <f>CONCATENATE(S601,"-",T601)</f>
        <v>N/A-N/A</v>
      </c>
      <c r="V601" s="51" t="s">
        <v>409</v>
      </c>
      <c r="W601" s="125" t="str">
        <f>IFERROR(VLOOKUP(V601,TD!$N$33:$O$45,2,0)," ")</f>
        <v>N/A</v>
      </c>
      <c r="X601" s="127" t="str">
        <f>CONCATENATE(V601,"_",W601)</f>
        <v>N/A_N/A</v>
      </c>
      <c r="Y601" s="127" t="str">
        <f>CONCATENATE(U601," ",X601)</f>
        <v>N/A-N/A N/A_N/A</v>
      </c>
      <c r="Z601" s="148" t="str">
        <f>CONCATENATE(P601,Q601,R601,S601,V601)</f>
        <v>NANANAN/AN/A</v>
      </c>
      <c r="AA601" s="125" t="str">
        <f>IFERROR(VLOOKUP(Y601,TD!$K$46:$L$64,2,0)," ")</f>
        <v>N/A</v>
      </c>
      <c r="AB601" s="147" t="s">
        <v>696</v>
      </c>
      <c r="AC601" s="149" t="s">
        <v>204</v>
      </c>
    </row>
    <row r="602" spans="2:29" s="28" customFormat="1" ht="74.25" customHeight="1" x14ac:dyDescent="0.35">
      <c r="B602" s="77">
        <v>20250354</v>
      </c>
      <c r="C602" s="50" t="s">
        <v>208</v>
      </c>
      <c r="D602" s="123" t="s">
        <v>162</v>
      </c>
      <c r="E602" s="51" t="s">
        <v>355</v>
      </c>
      <c r="F602" s="123" t="s">
        <v>413</v>
      </c>
      <c r="G602" s="123" t="s">
        <v>155</v>
      </c>
      <c r="H602" s="97">
        <v>80111600</v>
      </c>
      <c r="I602" s="124">
        <v>2</v>
      </c>
      <c r="J602" s="124">
        <v>11</v>
      </c>
      <c r="K602" s="52">
        <v>0</v>
      </c>
      <c r="L602" s="53">
        <v>81972000</v>
      </c>
      <c r="M602" s="123" t="s">
        <v>484</v>
      </c>
      <c r="N602" s="53" t="s">
        <v>113</v>
      </c>
      <c r="O602" s="51" t="s">
        <v>214</v>
      </c>
      <c r="P602" s="125" t="str">
        <f>IFERROR(VLOOKUP(C602,TD!$B$32:$F$36,2,0)," ")</f>
        <v>O230117</v>
      </c>
      <c r="Q602" s="125" t="str">
        <f>IFERROR(VLOOKUP(C602,TD!$B$32:$F$36,3,0)," ")</f>
        <v>4599</v>
      </c>
      <c r="R602" s="125">
        <f>IFERROR(VLOOKUP(C602,TD!$B$32:$F$36,4,0)," ")</f>
        <v>20240207</v>
      </c>
      <c r="S602" s="51" t="s">
        <v>179</v>
      </c>
      <c r="T602" s="125" t="str">
        <f>IFERROR(VLOOKUP(S602,TD!$J$33:$K$43,2,0)," ")</f>
        <v>Infraestructura Tecnológica   (Sistemas de Información y Tecnologia)</v>
      </c>
      <c r="U602" s="127" t="str">
        <f>CONCATENATE(S602,"-",T602)</f>
        <v>11-Infraestructura Tecnológica   (Sistemas de Información y Tecnologia)</v>
      </c>
      <c r="V602" s="51" t="s">
        <v>239</v>
      </c>
      <c r="W602" s="125" t="str">
        <f>IFERROR(VLOOKUP(V602,TD!$N$33:$O$45,2,0)," ")</f>
        <v>Servicios tecnológicos</v>
      </c>
      <c r="X602" s="127" t="str">
        <f>CONCATENATE(V602,"_",W602)</f>
        <v>007_Servicios tecnológicos</v>
      </c>
      <c r="Y602" s="127" t="str">
        <f>CONCATENATE(U602," ",X602)</f>
        <v>11-Infraestructura Tecnológica   (Sistemas de Información y Tecnologia) 007_Servicios tecnológicos</v>
      </c>
      <c r="Z602" s="125" t="str">
        <f>CONCATENATE(P602,Q602,R602,S602,V602)</f>
        <v>O23011745992024020711007</v>
      </c>
      <c r="AA602" s="125" t="str">
        <f>IFERROR(VLOOKUP(Y602,TD!$K$46:$L$64,2,0)," ")</f>
        <v>PM/0131/0111/45990070207</v>
      </c>
      <c r="AB602" s="53" t="s">
        <v>138</v>
      </c>
      <c r="AC602" s="126" t="s">
        <v>204</v>
      </c>
    </row>
    <row r="603" spans="2:29" s="28" customFormat="1" ht="74.25" customHeight="1" x14ac:dyDescent="0.35">
      <c r="B603" s="77">
        <v>20250355</v>
      </c>
      <c r="C603" s="50" t="s">
        <v>208</v>
      </c>
      <c r="D603" s="123" t="s">
        <v>162</v>
      </c>
      <c r="E603" s="51" t="s">
        <v>355</v>
      </c>
      <c r="F603" s="123" t="s">
        <v>414</v>
      </c>
      <c r="G603" s="123" t="s">
        <v>155</v>
      </c>
      <c r="H603" s="97">
        <v>80111600</v>
      </c>
      <c r="I603" s="124">
        <v>2</v>
      </c>
      <c r="J603" s="124">
        <v>11</v>
      </c>
      <c r="K603" s="52">
        <v>0</v>
      </c>
      <c r="L603" s="53">
        <v>91080000</v>
      </c>
      <c r="M603" s="123" t="s">
        <v>484</v>
      </c>
      <c r="N603" s="53" t="s">
        <v>113</v>
      </c>
      <c r="O603" s="51" t="s">
        <v>215</v>
      </c>
      <c r="P603" s="125" t="str">
        <f>IFERROR(VLOOKUP(C603,TD!$B$32:$F$36,2,0)," ")</f>
        <v>O230117</v>
      </c>
      <c r="Q603" s="125" t="str">
        <f>IFERROR(VLOOKUP(C603,TD!$B$32:$F$36,3,0)," ")</f>
        <v>4599</v>
      </c>
      <c r="R603" s="125">
        <f>IFERROR(VLOOKUP(C603,TD!$B$32:$F$36,4,0)," ")</f>
        <v>20240207</v>
      </c>
      <c r="S603" s="51" t="s">
        <v>179</v>
      </c>
      <c r="T603" s="125" t="str">
        <f>IFERROR(VLOOKUP(S603,TD!$J$33:$K$43,2,0)," ")</f>
        <v>Infraestructura Tecnológica   (Sistemas de Información y Tecnologia)</v>
      </c>
      <c r="U603" s="127" t="str">
        <f>CONCATENATE(S603,"-",T603)</f>
        <v>11-Infraestructura Tecnológica   (Sistemas de Información y Tecnologia)</v>
      </c>
      <c r="V603" s="51" t="s">
        <v>239</v>
      </c>
      <c r="W603" s="125" t="str">
        <f>IFERROR(VLOOKUP(V603,TD!$N$33:$O$45,2,0)," ")</f>
        <v>Servicios tecnológicos</v>
      </c>
      <c r="X603" s="127" t="str">
        <f>CONCATENATE(V603,"_",W603)</f>
        <v>007_Servicios tecnológicos</v>
      </c>
      <c r="Y603" s="127" t="str">
        <f>CONCATENATE(U603," ",X603)</f>
        <v>11-Infraestructura Tecnológica   (Sistemas de Información y Tecnologia) 007_Servicios tecnológicos</v>
      </c>
      <c r="Z603" s="125" t="str">
        <f>CONCATENATE(P603,Q603,R603,S603,V603)</f>
        <v>O23011745992024020711007</v>
      </c>
      <c r="AA603" s="125" t="str">
        <f>IFERROR(VLOOKUP(Y603,TD!$K$46:$L$64,2,0)," ")</f>
        <v>PM/0131/0111/45990070207</v>
      </c>
      <c r="AB603" s="53" t="s">
        <v>138</v>
      </c>
      <c r="AC603" s="126" t="s">
        <v>204</v>
      </c>
    </row>
    <row r="604" spans="2:29" s="28" customFormat="1" ht="74.25" customHeight="1" x14ac:dyDescent="0.35">
      <c r="B604" s="77">
        <v>20250360</v>
      </c>
      <c r="C604" s="50" t="s">
        <v>208</v>
      </c>
      <c r="D604" s="123" t="s">
        <v>162</v>
      </c>
      <c r="E604" s="51" t="s">
        <v>355</v>
      </c>
      <c r="F604" s="123" t="s">
        <v>415</v>
      </c>
      <c r="G604" s="123" t="s">
        <v>155</v>
      </c>
      <c r="H604" s="97">
        <v>80111600</v>
      </c>
      <c r="I604" s="124">
        <v>2</v>
      </c>
      <c r="J604" s="52">
        <v>11</v>
      </c>
      <c r="K604" s="52">
        <v>0</v>
      </c>
      <c r="L604" s="53">
        <v>79695000</v>
      </c>
      <c r="M604" s="123" t="s">
        <v>484</v>
      </c>
      <c r="N604" s="53" t="s">
        <v>113</v>
      </c>
      <c r="O604" s="51" t="s">
        <v>215</v>
      </c>
      <c r="P604" s="125" t="str">
        <f>IFERROR(VLOOKUP(C604,TD!$B$32:$F$36,2,0)," ")</f>
        <v>O230117</v>
      </c>
      <c r="Q604" s="125" t="str">
        <f>IFERROR(VLOOKUP(C604,TD!$B$32:$F$36,3,0)," ")</f>
        <v>4599</v>
      </c>
      <c r="R604" s="125">
        <f>IFERROR(VLOOKUP(C604,TD!$B$32:$F$36,4,0)," ")</f>
        <v>20240207</v>
      </c>
      <c r="S604" s="51" t="s">
        <v>179</v>
      </c>
      <c r="T604" s="125" t="str">
        <f>IFERROR(VLOOKUP(S604,TD!$J$33:$K$43,2,0)," ")</f>
        <v>Infraestructura Tecnológica   (Sistemas de Información y Tecnologia)</v>
      </c>
      <c r="U604" s="127" t="str">
        <f>CONCATENATE(S604,"-",T604)</f>
        <v>11-Infraestructura Tecnológica   (Sistemas de Información y Tecnologia)</v>
      </c>
      <c r="V604" s="51" t="s">
        <v>239</v>
      </c>
      <c r="W604" s="125" t="str">
        <f>IFERROR(VLOOKUP(V604,TD!$N$33:$O$45,2,0)," ")</f>
        <v>Servicios tecnológicos</v>
      </c>
      <c r="X604" s="127" t="str">
        <f>CONCATENATE(V604,"_",W604)</f>
        <v>007_Servicios tecnológicos</v>
      </c>
      <c r="Y604" s="127" t="str">
        <f>CONCATENATE(U604," ",X604)</f>
        <v>11-Infraestructura Tecnológica   (Sistemas de Información y Tecnologia) 007_Servicios tecnológicos</v>
      </c>
      <c r="Z604" s="125" t="str">
        <f>CONCATENATE(P604,Q604,R604,S604,V604)</f>
        <v>O23011745992024020711007</v>
      </c>
      <c r="AA604" s="125" t="str">
        <f>IFERROR(VLOOKUP(Y604,TD!$K$46:$L$64,2,0)," ")</f>
        <v>PM/0131/0111/45990070207</v>
      </c>
      <c r="AB604" s="53" t="s">
        <v>120</v>
      </c>
      <c r="AC604" s="126" t="s">
        <v>204</v>
      </c>
    </row>
    <row r="605" spans="2:29" s="28" customFormat="1" ht="74.25" customHeight="1" x14ac:dyDescent="0.35">
      <c r="B605" s="77">
        <v>20250365</v>
      </c>
      <c r="C605" s="50" t="s">
        <v>208</v>
      </c>
      <c r="D605" s="123" t="s">
        <v>162</v>
      </c>
      <c r="E605" s="51" t="s">
        <v>355</v>
      </c>
      <c r="F605" s="123" t="s">
        <v>417</v>
      </c>
      <c r="G605" s="123" t="s">
        <v>155</v>
      </c>
      <c r="H605" s="97">
        <v>80111600</v>
      </c>
      <c r="I605" s="124">
        <v>2</v>
      </c>
      <c r="J605" s="52">
        <v>11</v>
      </c>
      <c r="K605" s="52">
        <v>0</v>
      </c>
      <c r="L605" s="53">
        <v>74800000</v>
      </c>
      <c r="M605" s="123" t="s">
        <v>484</v>
      </c>
      <c r="N605" s="53" t="s">
        <v>113</v>
      </c>
      <c r="O605" s="51" t="s">
        <v>215</v>
      </c>
      <c r="P605" s="125" t="str">
        <f>IFERROR(VLOOKUP(C605,TD!$B$32:$F$36,2,0)," ")</f>
        <v>O230117</v>
      </c>
      <c r="Q605" s="125" t="str">
        <f>IFERROR(VLOOKUP(C605,TD!$B$32:$F$36,3,0)," ")</f>
        <v>4599</v>
      </c>
      <c r="R605" s="125">
        <f>IFERROR(VLOOKUP(C605,TD!$B$32:$F$36,4,0)," ")</f>
        <v>20240207</v>
      </c>
      <c r="S605" s="51" t="s">
        <v>179</v>
      </c>
      <c r="T605" s="125" t="str">
        <f>IFERROR(VLOOKUP(S605,TD!$J$33:$K$43,2,0)," ")</f>
        <v>Infraestructura Tecnológica   (Sistemas de Información y Tecnologia)</v>
      </c>
      <c r="U605" s="127" t="str">
        <f>CONCATENATE(S605,"-",T605)</f>
        <v>11-Infraestructura Tecnológica   (Sistemas de Información y Tecnologia)</v>
      </c>
      <c r="V605" s="51" t="s">
        <v>239</v>
      </c>
      <c r="W605" s="125" t="str">
        <f>IFERROR(VLOOKUP(V605,TD!$N$33:$O$45,2,0)," ")</f>
        <v>Servicios tecnológicos</v>
      </c>
      <c r="X605" s="127" t="str">
        <f>CONCATENATE(V605,"_",W605)</f>
        <v>007_Servicios tecnológicos</v>
      </c>
      <c r="Y605" s="127" t="str">
        <f>CONCATENATE(U605," ",X605)</f>
        <v>11-Infraestructura Tecnológica   (Sistemas de Información y Tecnologia) 007_Servicios tecnológicos</v>
      </c>
      <c r="Z605" s="125" t="str">
        <f>CONCATENATE(P605,Q605,R605,S605,V605)</f>
        <v>O23011745992024020711007</v>
      </c>
      <c r="AA605" s="125" t="str">
        <f>IFERROR(VLOOKUP(Y605,TD!$K$46:$L$64,2,0)," ")</f>
        <v>PM/0131/0111/45990070207</v>
      </c>
      <c r="AB605" s="53" t="s">
        <v>138</v>
      </c>
      <c r="AC605" s="126" t="s">
        <v>204</v>
      </c>
    </row>
    <row r="606" spans="2:29" s="28" customFormat="1" ht="74.25" customHeight="1" x14ac:dyDescent="0.35">
      <c r="B606" s="77">
        <v>20250384</v>
      </c>
      <c r="C606" s="50" t="s">
        <v>208</v>
      </c>
      <c r="D606" s="123" t="s">
        <v>162</v>
      </c>
      <c r="E606" s="51" t="s">
        <v>355</v>
      </c>
      <c r="F606" s="123" t="s">
        <v>411</v>
      </c>
      <c r="G606" s="123" t="s">
        <v>154</v>
      </c>
      <c r="H606" s="97">
        <v>81112200</v>
      </c>
      <c r="I606" s="124">
        <v>3</v>
      </c>
      <c r="J606" s="124">
        <v>9</v>
      </c>
      <c r="K606" s="52">
        <v>0</v>
      </c>
      <c r="L606" s="53">
        <v>75000000</v>
      </c>
      <c r="M606" s="123" t="s">
        <v>484</v>
      </c>
      <c r="N606" s="53" t="s">
        <v>95</v>
      </c>
      <c r="O606" s="51" t="s">
        <v>214</v>
      </c>
      <c r="P606" s="125" t="str">
        <f>IFERROR(VLOOKUP(C606,TD!$B$32:$F$36,2,0)," ")</f>
        <v>O230117</v>
      </c>
      <c r="Q606" s="125" t="str">
        <f>IFERROR(VLOOKUP(C606,TD!$B$32:$F$36,3,0)," ")</f>
        <v>4599</v>
      </c>
      <c r="R606" s="125">
        <f>IFERROR(VLOOKUP(C606,TD!$B$32:$F$36,4,0)," ")</f>
        <v>20240207</v>
      </c>
      <c r="S606" s="51" t="s">
        <v>179</v>
      </c>
      <c r="T606" s="125" t="str">
        <f>IFERROR(VLOOKUP(S606,TD!$J$33:$K$43,2,0)," ")</f>
        <v>Infraestructura Tecnológica   (Sistemas de Información y Tecnologia)</v>
      </c>
      <c r="U606" s="127" t="str">
        <f>CONCATENATE(S606,"-",T606)</f>
        <v>11-Infraestructura Tecnológica   (Sistemas de Información y Tecnologia)</v>
      </c>
      <c r="V606" s="51" t="s">
        <v>239</v>
      </c>
      <c r="W606" s="125" t="str">
        <f>IFERROR(VLOOKUP(V606,TD!$N$33:$O$45,2,0)," ")</f>
        <v>Servicios tecnológicos</v>
      </c>
      <c r="X606" s="127" t="str">
        <f>CONCATENATE(V606,"_",W606)</f>
        <v>007_Servicios tecnológicos</v>
      </c>
      <c r="Y606" s="127" t="str">
        <f>CONCATENATE(U606," ",X606)</f>
        <v>11-Infraestructura Tecnológica   (Sistemas de Información y Tecnologia) 007_Servicios tecnológicos</v>
      </c>
      <c r="Z606" s="125" t="str">
        <f>CONCATENATE(P606,Q606,R606,S606,V606)</f>
        <v>O23011745992024020711007</v>
      </c>
      <c r="AA606" s="125" t="str">
        <f>IFERROR(VLOOKUP(Y606,TD!$K$46:$L$64,2,0)," ")</f>
        <v>PM/0131/0111/45990070207</v>
      </c>
      <c r="AB606" s="53" t="s">
        <v>125</v>
      </c>
      <c r="AC606" s="126" t="s">
        <v>204</v>
      </c>
    </row>
    <row r="607" spans="2:29" s="28" customFormat="1" ht="74.25" customHeight="1" x14ac:dyDescent="0.35">
      <c r="B607" s="77">
        <v>20250385</v>
      </c>
      <c r="C607" s="50" t="s">
        <v>208</v>
      </c>
      <c r="D607" s="123" t="s">
        <v>162</v>
      </c>
      <c r="E607" s="51" t="s">
        <v>355</v>
      </c>
      <c r="F607" s="123" t="s">
        <v>612</v>
      </c>
      <c r="G607" s="123" t="s">
        <v>154</v>
      </c>
      <c r="H607" s="97" t="s">
        <v>613</v>
      </c>
      <c r="I607" s="124">
        <v>3</v>
      </c>
      <c r="J607" s="124">
        <v>9</v>
      </c>
      <c r="K607" s="52">
        <v>0</v>
      </c>
      <c r="L607" s="53">
        <v>170000000</v>
      </c>
      <c r="M607" s="123" t="s">
        <v>484</v>
      </c>
      <c r="N607" s="53" t="s">
        <v>113</v>
      </c>
      <c r="O607" s="51" t="s">
        <v>214</v>
      </c>
      <c r="P607" s="125" t="str">
        <f>IFERROR(VLOOKUP(C607,TD!$B$32:$F$36,2,0)," ")</f>
        <v>O230117</v>
      </c>
      <c r="Q607" s="125" t="str">
        <f>IFERROR(VLOOKUP(C607,TD!$B$32:$F$36,3,0)," ")</f>
        <v>4599</v>
      </c>
      <c r="R607" s="125">
        <f>IFERROR(VLOOKUP(C607,TD!$B$32:$F$36,4,0)," ")</f>
        <v>20240207</v>
      </c>
      <c r="S607" s="51" t="s">
        <v>179</v>
      </c>
      <c r="T607" s="125" t="str">
        <f>IFERROR(VLOOKUP(S607,TD!$J$33:$K$43,2,0)," ")</f>
        <v>Infraestructura Tecnológica   (Sistemas de Información y Tecnologia)</v>
      </c>
      <c r="U607" s="127" t="str">
        <f>CONCATENATE(S607,"-",T607)</f>
        <v>11-Infraestructura Tecnológica   (Sistemas de Información y Tecnologia)</v>
      </c>
      <c r="V607" s="51" t="s">
        <v>239</v>
      </c>
      <c r="W607" s="125" t="str">
        <f>IFERROR(VLOOKUP(V607,TD!$N$33:$O$45,2,0)," ")</f>
        <v>Servicios tecnológicos</v>
      </c>
      <c r="X607" s="127" t="str">
        <f>CONCATENATE(V607,"_",W607)</f>
        <v>007_Servicios tecnológicos</v>
      </c>
      <c r="Y607" s="127" t="str">
        <f>CONCATENATE(U607," ",X607)</f>
        <v>11-Infraestructura Tecnológica   (Sistemas de Información y Tecnologia) 007_Servicios tecnológicos</v>
      </c>
      <c r="Z607" s="125" t="str">
        <f>CONCATENATE(P607,Q607,R607,S607,V607)</f>
        <v>O23011745992024020711007</v>
      </c>
      <c r="AA607" s="125" t="str">
        <f>IFERROR(VLOOKUP(Y607,TD!$K$46:$L$64,2,0)," ")</f>
        <v>PM/0131/0111/45990070207</v>
      </c>
      <c r="AB607" s="53" t="s">
        <v>125</v>
      </c>
      <c r="AC607" s="126" t="s">
        <v>204</v>
      </c>
    </row>
    <row r="608" spans="2:29" s="28" customFormat="1" ht="108.5" customHeight="1" x14ac:dyDescent="0.35">
      <c r="B608" s="77">
        <v>20250386</v>
      </c>
      <c r="C608" s="50" t="s">
        <v>208</v>
      </c>
      <c r="D608" s="123" t="s">
        <v>162</v>
      </c>
      <c r="E608" s="51" t="s">
        <v>355</v>
      </c>
      <c r="F608" s="123" t="s">
        <v>614</v>
      </c>
      <c r="G608" s="123" t="s">
        <v>152</v>
      </c>
      <c r="H608" s="97" t="s">
        <v>615</v>
      </c>
      <c r="I608" s="124">
        <v>3</v>
      </c>
      <c r="J608" s="124">
        <v>9</v>
      </c>
      <c r="K608" s="52">
        <v>0</v>
      </c>
      <c r="L608" s="53">
        <v>300000000</v>
      </c>
      <c r="M608" s="123" t="s">
        <v>484</v>
      </c>
      <c r="N608" s="53" t="s">
        <v>95</v>
      </c>
      <c r="O608" s="51" t="s">
        <v>217</v>
      </c>
      <c r="P608" s="125" t="str">
        <f>IFERROR(VLOOKUP(C608,TD!$B$32:$F$36,2,0)," ")</f>
        <v>O230117</v>
      </c>
      <c r="Q608" s="125" t="str">
        <f>IFERROR(VLOOKUP(C608,TD!$B$32:$F$36,3,0)," ")</f>
        <v>4599</v>
      </c>
      <c r="R608" s="125">
        <f>IFERROR(VLOOKUP(C608,TD!$B$32:$F$36,4,0)," ")</f>
        <v>20240207</v>
      </c>
      <c r="S608" s="51" t="s">
        <v>179</v>
      </c>
      <c r="T608" s="125" t="str">
        <f>IFERROR(VLOOKUP(S608,TD!$J$33:$K$43,2,0)," ")</f>
        <v>Infraestructura Tecnológica   (Sistemas de Información y Tecnologia)</v>
      </c>
      <c r="U608" s="127" t="str">
        <f>CONCATENATE(S608,"-",T608)</f>
        <v>11-Infraestructura Tecnológica   (Sistemas de Información y Tecnologia)</v>
      </c>
      <c r="V608" s="51" t="s">
        <v>239</v>
      </c>
      <c r="W608" s="125" t="str">
        <f>IFERROR(VLOOKUP(V608,TD!$N$33:$O$45,2,0)," ")</f>
        <v>Servicios tecnológicos</v>
      </c>
      <c r="X608" s="127" t="str">
        <f>CONCATENATE(V608,"_",W608)</f>
        <v>007_Servicios tecnológicos</v>
      </c>
      <c r="Y608" s="127" t="str">
        <f>CONCATENATE(U608," ",X608)</f>
        <v>11-Infraestructura Tecnológica   (Sistemas de Información y Tecnologia) 007_Servicios tecnológicos</v>
      </c>
      <c r="Z608" s="125" t="str">
        <f>CONCATENATE(P608,Q608,R608,S608,V608)</f>
        <v>O23011745992024020711007</v>
      </c>
      <c r="AA608" s="125" t="str">
        <f>IFERROR(VLOOKUP(Y608,TD!$K$46:$L$64,2,0)," ")</f>
        <v>PM/0131/0111/45990070207</v>
      </c>
      <c r="AB608" s="53" t="s">
        <v>125</v>
      </c>
      <c r="AC608" s="126" t="s">
        <v>204</v>
      </c>
    </row>
    <row r="609" spans="2:29" s="28" customFormat="1" ht="74.25" customHeight="1" x14ac:dyDescent="0.35">
      <c r="B609" s="77">
        <v>20250387</v>
      </c>
      <c r="C609" s="50" t="s">
        <v>208</v>
      </c>
      <c r="D609" s="123" t="s">
        <v>162</v>
      </c>
      <c r="E609" s="51" t="s">
        <v>355</v>
      </c>
      <c r="F609" s="123" t="s">
        <v>616</v>
      </c>
      <c r="G609" s="123" t="s">
        <v>154</v>
      </c>
      <c r="H609" s="97">
        <v>43233205</v>
      </c>
      <c r="I609" s="124">
        <v>3</v>
      </c>
      <c r="J609" s="124">
        <v>9</v>
      </c>
      <c r="K609" s="52">
        <v>0</v>
      </c>
      <c r="L609" s="53">
        <v>20000000</v>
      </c>
      <c r="M609" s="123" t="s">
        <v>484</v>
      </c>
      <c r="N609" s="53" t="s">
        <v>100</v>
      </c>
      <c r="O609" s="51" t="s">
        <v>214</v>
      </c>
      <c r="P609" s="125" t="str">
        <f>IFERROR(VLOOKUP(C609,TD!$B$32:$F$36,2,0)," ")</f>
        <v>O230117</v>
      </c>
      <c r="Q609" s="125" t="str">
        <f>IFERROR(VLOOKUP(C609,TD!$B$32:$F$36,3,0)," ")</f>
        <v>4599</v>
      </c>
      <c r="R609" s="125">
        <f>IFERROR(VLOOKUP(C609,TD!$B$32:$F$36,4,0)," ")</f>
        <v>20240207</v>
      </c>
      <c r="S609" s="51" t="s">
        <v>179</v>
      </c>
      <c r="T609" s="125" t="str">
        <f>IFERROR(VLOOKUP(S609,TD!$J$33:$K$43,2,0)," ")</f>
        <v>Infraestructura Tecnológica   (Sistemas de Información y Tecnologia)</v>
      </c>
      <c r="U609" s="127" t="str">
        <f>CONCATENATE(S609,"-",T609)</f>
        <v>11-Infraestructura Tecnológica   (Sistemas de Información y Tecnologia)</v>
      </c>
      <c r="V609" s="51" t="s">
        <v>239</v>
      </c>
      <c r="W609" s="125" t="str">
        <f>IFERROR(VLOOKUP(V609,TD!$N$33:$O$45,2,0)," ")</f>
        <v>Servicios tecnológicos</v>
      </c>
      <c r="X609" s="127" t="str">
        <f>CONCATENATE(V609,"_",W609)</f>
        <v>007_Servicios tecnológicos</v>
      </c>
      <c r="Y609" s="127" t="str">
        <f>CONCATENATE(U609," ",X609)</f>
        <v>11-Infraestructura Tecnológica   (Sistemas de Información y Tecnologia) 007_Servicios tecnológicos</v>
      </c>
      <c r="Z609" s="125" t="str">
        <f>CONCATENATE(P609,Q609,R609,S609,V609)</f>
        <v>O23011745992024020711007</v>
      </c>
      <c r="AA609" s="125" t="str">
        <f>IFERROR(VLOOKUP(Y609,TD!$K$46:$L$64,2,0)," ")</f>
        <v>PM/0131/0111/45990070207</v>
      </c>
      <c r="AB609" s="53" t="s">
        <v>130</v>
      </c>
      <c r="AC609" s="126" t="s">
        <v>204</v>
      </c>
    </row>
    <row r="610" spans="2:29" s="28" customFormat="1" ht="74.25" customHeight="1" x14ac:dyDescent="0.35">
      <c r="B610" s="77">
        <v>20250388</v>
      </c>
      <c r="C610" s="50" t="s">
        <v>208</v>
      </c>
      <c r="D610" s="123" t="s">
        <v>162</v>
      </c>
      <c r="E610" s="51" t="s">
        <v>355</v>
      </c>
      <c r="F610" s="123" t="s">
        <v>617</v>
      </c>
      <c r="G610" s="123" t="s">
        <v>96</v>
      </c>
      <c r="H610" s="97" t="s">
        <v>618</v>
      </c>
      <c r="I610" s="124">
        <v>3</v>
      </c>
      <c r="J610" s="124">
        <v>9</v>
      </c>
      <c r="K610" s="52">
        <v>0</v>
      </c>
      <c r="L610" s="53">
        <v>700000000</v>
      </c>
      <c r="M610" s="123" t="s">
        <v>484</v>
      </c>
      <c r="N610" s="53" t="s">
        <v>123</v>
      </c>
      <c r="O610" s="51" t="s">
        <v>214</v>
      </c>
      <c r="P610" s="125" t="str">
        <f>IFERROR(VLOOKUP(C610,TD!$B$32:$F$36,2,0)," ")</f>
        <v>O230117</v>
      </c>
      <c r="Q610" s="125" t="str">
        <f>IFERROR(VLOOKUP(C610,TD!$B$32:$F$36,3,0)," ")</f>
        <v>4599</v>
      </c>
      <c r="R610" s="125">
        <f>IFERROR(VLOOKUP(C610,TD!$B$32:$F$36,4,0)," ")</f>
        <v>20240207</v>
      </c>
      <c r="S610" s="51" t="s">
        <v>179</v>
      </c>
      <c r="T610" s="125" t="str">
        <f>IFERROR(VLOOKUP(S610,TD!$J$33:$K$43,2,0)," ")</f>
        <v>Infraestructura Tecnológica   (Sistemas de Información y Tecnologia)</v>
      </c>
      <c r="U610" s="127" t="str">
        <f>CONCATENATE(S610,"-",T610)</f>
        <v>11-Infraestructura Tecnológica   (Sistemas de Información y Tecnologia)</v>
      </c>
      <c r="V610" s="51" t="s">
        <v>239</v>
      </c>
      <c r="W610" s="125" t="str">
        <f>IFERROR(VLOOKUP(V610,TD!$N$33:$O$45,2,0)," ")</f>
        <v>Servicios tecnológicos</v>
      </c>
      <c r="X610" s="127" t="str">
        <f>CONCATENATE(V610,"_",W610)</f>
        <v>007_Servicios tecnológicos</v>
      </c>
      <c r="Y610" s="127" t="str">
        <f>CONCATENATE(U610," ",X610)</f>
        <v>11-Infraestructura Tecnológica   (Sistemas de Información y Tecnologia) 007_Servicios tecnológicos</v>
      </c>
      <c r="Z610" s="125" t="str">
        <f>CONCATENATE(P610,Q610,R610,S610,V610)</f>
        <v>O23011745992024020711007</v>
      </c>
      <c r="AA610" s="125" t="str">
        <f>IFERROR(VLOOKUP(Y610,TD!$K$46:$L$64,2,0)," ")</f>
        <v>PM/0131/0111/45990070207</v>
      </c>
      <c r="AB610" s="53" t="s">
        <v>130</v>
      </c>
      <c r="AC610" s="126" t="s">
        <v>204</v>
      </c>
    </row>
    <row r="611" spans="2:29" s="28" customFormat="1" ht="74.25" customHeight="1" x14ac:dyDescent="0.35">
      <c r="B611" s="77">
        <v>20250390</v>
      </c>
      <c r="C611" s="50" t="s">
        <v>208</v>
      </c>
      <c r="D611" s="123" t="s">
        <v>162</v>
      </c>
      <c r="E611" s="51" t="s">
        <v>355</v>
      </c>
      <c r="F611" s="123" t="s">
        <v>620</v>
      </c>
      <c r="G611" s="123" t="s">
        <v>139</v>
      </c>
      <c r="H611" s="97" t="s">
        <v>418</v>
      </c>
      <c r="I611" s="124">
        <v>3</v>
      </c>
      <c r="J611" s="124">
        <v>9</v>
      </c>
      <c r="K611" s="52">
        <v>0</v>
      </c>
      <c r="L611" s="53">
        <v>210000000</v>
      </c>
      <c r="M611" s="123" t="s">
        <v>484</v>
      </c>
      <c r="N611" s="53" t="s">
        <v>113</v>
      </c>
      <c r="O611" s="51" t="s">
        <v>214</v>
      </c>
      <c r="P611" s="125" t="str">
        <f>IFERROR(VLOOKUP(C611,TD!$B$32:$F$36,2,0)," ")</f>
        <v>O230117</v>
      </c>
      <c r="Q611" s="125" t="str">
        <f>IFERROR(VLOOKUP(C611,TD!$B$32:$F$36,3,0)," ")</f>
        <v>4599</v>
      </c>
      <c r="R611" s="125">
        <f>IFERROR(VLOOKUP(C611,TD!$B$32:$F$36,4,0)," ")</f>
        <v>20240207</v>
      </c>
      <c r="S611" s="51" t="s">
        <v>179</v>
      </c>
      <c r="T611" s="125" t="str">
        <f>IFERROR(VLOOKUP(S611,TD!$J$33:$K$43,2,0)," ")</f>
        <v>Infraestructura Tecnológica   (Sistemas de Información y Tecnologia)</v>
      </c>
      <c r="U611" s="127" t="str">
        <f>CONCATENATE(S611,"-",T611)</f>
        <v>11-Infraestructura Tecnológica   (Sistemas de Información y Tecnologia)</v>
      </c>
      <c r="V611" s="51" t="s">
        <v>239</v>
      </c>
      <c r="W611" s="125" t="str">
        <f>IFERROR(VLOOKUP(V611,TD!$N$33:$O$45,2,0)," ")</f>
        <v>Servicios tecnológicos</v>
      </c>
      <c r="X611" s="127" t="str">
        <f>CONCATENATE(V611,"_",W611)</f>
        <v>007_Servicios tecnológicos</v>
      </c>
      <c r="Y611" s="127" t="str">
        <f>CONCATENATE(U611," ",X611)</f>
        <v>11-Infraestructura Tecnológica   (Sistemas de Información y Tecnologia) 007_Servicios tecnológicos</v>
      </c>
      <c r="Z611" s="125" t="str">
        <f>CONCATENATE(P611,Q611,R611,S611,V611)</f>
        <v>O23011745992024020711007</v>
      </c>
      <c r="AA611" s="125" t="str">
        <f>IFERROR(VLOOKUP(Y611,TD!$K$46:$L$64,2,0)," ")</f>
        <v>PM/0131/0111/45990070207</v>
      </c>
      <c r="AB611" s="53" t="s">
        <v>125</v>
      </c>
      <c r="AC611" s="126" t="s">
        <v>204</v>
      </c>
    </row>
    <row r="612" spans="2:29" s="28" customFormat="1" ht="74.25" customHeight="1" x14ac:dyDescent="0.35">
      <c r="B612" s="77">
        <v>20250391</v>
      </c>
      <c r="C612" s="50" t="s">
        <v>208</v>
      </c>
      <c r="D612" s="123" t="s">
        <v>162</v>
      </c>
      <c r="E612" s="51" t="s">
        <v>355</v>
      </c>
      <c r="F612" s="123" t="s">
        <v>621</v>
      </c>
      <c r="G612" s="123" t="s">
        <v>154</v>
      </c>
      <c r="H612" s="97">
        <v>81112006</v>
      </c>
      <c r="I612" s="124">
        <v>3</v>
      </c>
      <c r="J612" s="124">
        <v>9</v>
      </c>
      <c r="K612" s="52">
        <v>0</v>
      </c>
      <c r="L612" s="53">
        <v>100000000</v>
      </c>
      <c r="M612" s="123" t="s">
        <v>484</v>
      </c>
      <c r="N612" s="53" t="s">
        <v>123</v>
      </c>
      <c r="O612" s="51" t="s">
        <v>214</v>
      </c>
      <c r="P612" s="125" t="str">
        <f>IFERROR(VLOOKUP(C612,TD!$B$32:$F$36,2,0)," ")</f>
        <v>O230117</v>
      </c>
      <c r="Q612" s="125" t="str">
        <f>IFERROR(VLOOKUP(C612,TD!$B$32:$F$36,3,0)," ")</f>
        <v>4599</v>
      </c>
      <c r="R612" s="125">
        <f>IFERROR(VLOOKUP(C612,TD!$B$32:$F$36,4,0)," ")</f>
        <v>20240207</v>
      </c>
      <c r="S612" s="51" t="s">
        <v>179</v>
      </c>
      <c r="T612" s="125" t="str">
        <f>IFERROR(VLOOKUP(S612,TD!$J$33:$K$43,2,0)," ")</f>
        <v>Infraestructura Tecnológica   (Sistemas de Información y Tecnologia)</v>
      </c>
      <c r="U612" s="127" t="str">
        <f>CONCATENATE(S612,"-",T612)</f>
        <v>11-Infraestructura Tecnológica   (Sistemas de Información y Tecnologia)</v>
      </c>
      <c r="V612" s="51" t="s">
        <v>239</v>
      </c>
      <c r="W612" s="125" t="str">
        <f>IFERROR(VLOOKUP(V612,TD!$N$33:$O$45,2,0)," ")</f>
        <v>Servicios tecnológicos</v>
      </c>
      <c r="X612" s="127" t="str">
        <f>CONCATENATE(V612,"_",W612)</f>
        <v>007_Servicios tecnológicos</v>
      </c>
      <c r="Y612" s="127" t="str">
        <f>CONCATENATE(U612," ",X612)</f>
        <v>11-Infraestructura Tecnológica   (Sistemas de Información y Tecnologia) 007_Servicios tecnológicos</v>
      </c>
      <c r="Z612" s="125" t="str">
        <f>CONCATENATE(P612,Q612,R612,S612,V612)</f>
        <v>O23011745992024020711007</v>
      </c>
      <c r="AA612" s="125" t="str">
        <f>IFERROR(VLOOKUP(Y612,TD!$K$46:$L$64,2,0)," ")</f>
        <v>PM/0131/0111/45990070207</v>
      </c>
      <c r="AB612" s="53" t="s">
        <v>125</v>
      </c>
      <c r="AC612" s="126" t="s">
        <v>204</v>
      </c>
    </row>
    <row r="613" spans="2:29" s="28" customFormat="1" ht="74.25" customHeight="1" x14ac:dyDescent="0.35">
      <c r="B613" s="77">
        <v>20250393</v>
      </c>
      <c r="C613" s="50" t="s">
        <v>208</v>
      </c>
      <c r="D613" s="123" t="s">
        <v>162</v>
      </c>
      <c r="E613" s="51" t="s">
        <v>355</v>
      </c>
      <c r="F613" s="123" t="s">
        <v>622</v>
      </c>
      <c r="G613" s="123" t="s">
        <v>157</v>
      </c>
      <c r="H613" s="97" t="s">
        <v>420</v>
      </c>
      <c r="I613" s="124">
        <v>3</v>
      </c>
      <c r="J613" s="124">
        <v>9</v>
      </c>
      <c r="K613" s="52">
        <v>0</v>
      </c>
      <c r="L613" s="53">
        <v>20000000</v>
      </c>
      <c r="M613" s="123" t="s">
        <v>484</v>
      </c>
      <c r="N613" s="53" t="s">
        <v>113</v>
      </c>
      <c r="O613" s="51" t="s">
        <v>214</v>
      </c>
      <c r="P613" s="125" t="str">
        <f>IFERROR(VLOOKUP(C613,TD!$B$32:$F$36,2,0)," ")</f>
        <v>O230117</v>
      </c>
      <c r="Q613" s="125" t="str">
        <f>IFERROR(VLOOKUP(C613,TD!$B$32:$F$36,3,0)," ")</f>
        <v>4599</v>
      </c>
      <c r="R613" s="125">
        <f>IFERROR(VLOOKUP(C613,TD!$B$32:$F$36,4,0)," ")</f>
        <v>20240207</v>
      </c>
      <c r="S613" s="51" t="s">
        <v>179</v>
      </c>
      <c r="T613" s="125" t="str">
        <f>IFERROR(VLOOKUP(S613,TD!$J$33:$K$43,2,0)," ")</f>
        <v>Infraestructura Tecnológica   (Sistemas de Información y Tecnologia)</v>
      </c>
      <c r="U613" s="127" t="str">
        <f>CONCATENATE(S613,"-",T613)</f>
        <v>11-Infraestructura Tecnológica   (Sistemas de Información y Tecnologia)</v>
      </c>
      <c r="V613" s="51" t="s">
        <v>239</v>
      </c>
      <c r="W613" s="125" t="str">
        <f>IFERROR(VLOOKUP(V613,TD!$N$33:$O$45,2,0)," ")</f>
        <v>Servicios tecnológicos</v>
      </c>
      <c r="X613" s="127" t="str">
        <f>CONCATENATE(V613,"_",W613)</f>
        <v>007_Servicios tecnológicos</v>
      </c>
      <c r="Y613" s="127" t="str">
        <f>CONCATENATE(U613," ",X613)</f>
        <v>11-Infraestructura Tecnológica   (Sistemas de Información y Tecnologia) 007_Servicios tecnológicos</v>
      </c>
      <c r="Z613" s="125" t="str">
        <f>CONCATENATE(P613,Q613,R613,S613,V613)</f>
        <v>O23011745992024020711007</v>
      </c>
      <c r="AA613" s="125" t="str">
        <f>IFERROR(VLOOKUP(Y613,TD!$K$46:$L$64,2,0)," ")</f>
        <v>PM/0131/0111/45990070207</v>
      </c>
      <c r="AB613" s="53" t="s">
        <v>125</v>
      </c>
      <c r="AC613" s="126" t="s">
        <v>204</v>
      </c>
    </row>
    <row r="614" spans="2:29" s="28" customFormat="1" ht="74.25" customHeight="1" x14ac:dyDescent="0.35">
      <c r="B614" s="77">
        <v>20250394</v>
      </c>
      <c r="C614" s="50" t="s">
        <v>208</v>
      </c>
      <c r="D614" s="123" t="s">
        <v>162</v>
      </c>
      <c r="E614" s="51" t="s">
        <v>355</v>
      </c>
      <c r="F614" s="123" t="s">
        <v>623</v>
      </c>
      <c r="G614" s="123" t="s">
        <v>96</v>
      </c>
      <c r="H614" s="97" t="s">
        <v>421</v>
      </c>
      <c r="I614" s="124">
        <v>3</v>
      </c>
      <c r="J614" s="124">
        <v>9</v>
      </c>
      <c r="K614" s="52">
        <v>0</v>
      </c>
      <c r="L614" s="53">
        <v>500000000</v>
      </c>
      <c r="M614" s="123" t="s">
        <v>484</v>
      </c>
      <c r="N614" s="53" t="s">
        <v>113</v>
      </c>
      <c r="O614" s="51" t="s">
        <v>215</v>
      </c>
      <c r="P614" s="125" t="str">
        <f>IFERROR(VLOOKUP(C614,TD!$B$32:$F$36,2,0)," ")</f>
        <v>O230117</v>
      </c>
      <c r="Q614" s="125" t="str">
        <f>IFERROR(VLOOKUP(C614,TD!$B$32:$F$36,3,0)," ")</f>
        <v>4599</v>
      </c>
      <c r="R614" s="125">
        <f>IFERROR(VLOOKUP(C614,TD!$B$32:$F$36,4,0)," ")</f>
        <v>20240207</v>
      </c>
      <c r="S614" s="51" t="s">
        <v>179</v>
      </c>
      <c r="T614" s="125" t="str">
        <f>IFERROR(VLOOKUP(S614,TD!$J$33:$K$43,2,0)," ")</f>
        <v>Infraestructura Tecnológica   (Sistemas de Información y Tecnologia)</v>
      </c>
      <c r="U614" s="127" t="str">
        <f>CONCATENATE(S614,"-",T614)</f>
        <v>11-Infraestructura Tecnológica   (Sistemas de Información y Tecnologia)</v>
      </c>
      <c r="V614" s="51" t="s">
        <v>239</v>
      </c>
      <c r="W614" s="125" t="str">
        <f>IFERROR(VLOOKUP(V614,TD!$N$33:$O$45,2,0)," ")</f>
        <v>Servicios tecnológicos</v>
      </c>
      <c r="X614" s="127" t="str">
        <f>CONCATENATE(V614,"_",W614)</f>
        <v>007_Servicios tecnológicos</v>
      </c>
      <c r="Y614" s="127" t="str">
        <f>CONCATENATE(U614," ",X614)</f>
        <v>11-Infraestructura Tecnológica   (Sistemas de Información y Tecnologia) 007_Servicios tecnológicos</v>
      </c>
      <c r="Z614" s="125" t="str">
        <f>CONCATENATE(P614,Q614,R614,S614,V614)</f>
        <v>O23011745992024020711007</v>
      </c>
      <c r="AA614" s="125" t="str">
        <f>IFERROR(VLOOKUP(Y614,TD!$K$46:$L$64,2,0)," ")</f>
        <v>PM/0131/0111/45990070207</v>
      </c>
      <c r="AB614" s="53" t="s">
        <v>125</v>
      </c>
      <c r="AC614" s="126" t="s">
        <v>204</v>
      </c>
    </row>
    <row r="615" spans="2:29" s="28" customFormat="1" ht="74.25" customHeight="1" x14ac:dyDescent="0.35">
      <c r="B615" s="77">
        <v>20250397</v>
      </c>
      <c r="C615" s="50" t="s">
        <v>208</v>
      </c>
      <c r="D615" s="123" t="s">
        <v>162</v>
      </c>
      <c r="E615" s="51" t="s">
        <v>355</v>
      </c>
      <c r="F615" s="123" t="s">
        <v>624</v>
      </c>
      <c r="G615" s="123" t="s">
        <v>149</v>
      </c>
      <c r="H615" s="97">
        <v>81112217</v>
      </c>
      <c r="I615" s="124">
        <v>3</v>
      </c>
      <c r="J615" s="124">
        <v>9</v>
      </c>
      <c r="K615" s="52">
        <v>0</v>
      </c>
      <c r="L615" s="53">
        <v>30000000</v>
      </c>
      <c r="M615" s="123" t="s">
        <v>484</v>
      </c>
      <c r="N615" s="53" t="s">
        <v>113</v>
      </c>
      <c r="O615" s="51" t="s">
        <v>214</v>
      </c>
      <c r="P615" s="125" t="str">
        <f>IFERROR(VLOOKUP(C615,TD!$B$32:$F$36,2,0)," ")</f>
        <v>O230117</v>
      </c>
      <c r="Q615" s="125" t="str">
        <f>IFERROR(VLOOKUP(C615,TD!$B$32:$F$36,3,0)," ")</f>
        <v>4599</v>
      </c>
      <c r="R615" s="125">
        <f>IFERROR(VLOOKUP(C615,TD!$B$32:$F$36,4,0)," ")</f>
        <v>20240207</v>
      </c>
      <c r="S615" s="51" t="s">
        <v>179</v>
      </c>
      <c r="T615" s="125" t="str">
        <f>IFERROR(VLOOKUP(S615,TD!$J$33:$K$43,2,0)," ")</f>
        <v>Infraestructura Tecnológica   (Sistemas de Información y Tecnologia)</v>
      </c>
      <c r="U615" s="127" t="str">
        <f>CONCATENATE(S615,"-",T615)</f>
        <v>11-Infraestructura Tecnológica   (Sistemas de Información y Tecnologia)</v>
      </c>
      <c r="V615" s="51" t="s">
        <v>239</v>
      </c>
      <c r="W615" s="125" t="str">
        <f>IFERROR(VLOOKUP(V615,TD!$N$33:$O$45,2,0)," ")</f>
        <v>Servicios tecnológicos</v>
      </c>
      <c r="X615" s="127" t="str">
        <f>CONCATENATE(V615,"_",W615)</f>
        <v>007_Servicios tecnológicos</v>
      </c>
      <c r="Y615" s="127" t="str">
        <f>CONCATENATE(U615," ",X615)</f>
        <v>11-Infraestructura Tecnológica   (Sistemas de Información y Tecnologia) 007_Servicios tecnológicos</v>
      </c>
      <c r="Z615" s="125" t="str">
        <f>CONCATENATE(P615,Q615,R615,S615,V615)</f>
        <v>O23011745992024020711007</v>
      </c>
      <c r="AA615" s="125" t="str">
        <f>IFERROR(VLOOKUP(Y615,TD!$K$46:$L$64,2,0)," ")</f>
        <v>PM/0131/0111/45990070207</v>
      </c>
      <c r="AB615" s="53" t="s">
        <v>125</v>
      </c>
      <c r="AC615" s="126" t="s">
        <v>204</v>
      </c>
    </row>
    <row r="616" spans="2:29" s="28" customFormat="1" ht="74.25" customHeight="1" x14ac:dyDescent="0.35">
      <c r="B616" s="77">
        <v>20250398</v>
      </c>
      <c r="C616" s="50" t="s">
        <v>208</v>
      </c>
      <c r="D616" s="123" t="s">
        <v>162</v>
      </c>
      <c r="E616" s="51" t="s">
        <v>355</v>
      </c>
      <c r="F616" s="123" t="s">
        <v>625</v>
      </c>
      <c r="G616" s="123" t="s">
        <v>149</v>
      </c>
      <c r="H616" s="97">
        <v>81112217</v>
      </c>
      <c r="I616" s="124">
        <v>1</v>
      </c>
      <c r="J616" s="124">
        <v>12</v>
      </c>
      <c r="K616" s="52">
        <v>0</v>
      </c>
      <c r="L616" s="53">
        <v>20000000</v>
      </c>
      <c r="M616" s="123" t="s">
        <v>484</v>
      </c>
      <c r="N616" s="53" t="s">
        <v>113</v>
      </c>
      <c r="O616" s="51" t="s">
        <v>214</v>
      </c>
      <c r="P616" s="125" t="str">
        <f>IFERROR(VLOOKUP(C616,TD!$B$32:$F$36,2,0)," ")</f>
        <v>O230117</v>
      </c>
      <c r="Q616" s="125" t="str">
        <f>IFERROR(VLOOKUP(C616,TD!$B$32:$F$36,3,0)," ")</f>
        <v>4599</v>
      </c>
      <c r="R616" s="125">
        <f>IFERROR(VLOOKUP(C616,TD!$B$32:$F$36,4,0)," ")</f>
        <v>20240207</v>
      </c>
      <c r="S616" s="51" t="s">
        <v>179</v>
      </c>
      <c r="T616" s="125" t="str">
        <f>IFERROR(VLOOKUP(S616,TD!$J$33:$K$43,2,0)," ")</f>
        <v>Infraestructura Tecnológica   (Sistemas de Información y Tecnologia)</v>
      </c>
      <c r="U616" s="127" t="str">
        <f>CONCATENATE(S616,"-",T616)</f>
        <v>11-Infraestructura Tecnológica   (Sistemas de Información y Tecnologia)</v>
      </c>
      <c r="V616" s="51" t="s">
        <v>239</v>
      </c>
      <c r="W616" s="125" t="str">
        <f>IFERROR(VLOOKUP(V616,TD!$N$33:$O$45,2,0)," ")</f>
        <v>Servicios tecnológicos</v>
      </c>
      <c r="X616" s="127" t="str">
        <f>CONCATENATE(V616,"_",W616)</f>
        <v>007_Servicios tecnológicos</v>
      </c>
      <c r="Y616" s="127" t="str">
        <f>CONCATENATE(U616," ",X616)</f>
        <v>11-Infraestructura Tecnológica   (Sistemas de Información y Tecnologia) 007_Servicios tecnológicos</v>
      </c>
      <c r="Z616" s="125" t="str">
        <f>CONCATENATE(P616,Q616,R616,S616,V616)</f>
        <v>O23011745992024020711007</v>
      </c>
      <c r="AA616" s="125" t="str">
        <f>IFERROR(VLOOKUP(Y616,TD!$K$46:$L$64,2,0)," ")</f>
        <v>PM/0131/0111/45990070207</v>
      </c>
      <c r="AB616" s="53" t="s">
        <v>125</v>
      </c>
      <c r="AC616" s="126" t="s">
        <v>204</v>
      </c>
    </row>
    <row r="617" spans="2:29" s="28" customFormat="1" ht="74.25" customHeight="1" x14ac:dyDescent="0.35">
      <c r="B617" s="77">
        <v>20250400</v>
      </c>
      <c r="C617" s="50" t="s">
        <v>208</v>
      </c>
      <c r="D617" s="123" t="s">
        <v>162</v>
      </c>
      <c r="E617" s="51" t="s">
        <v>355</v>
      </c>
      <c r="F617" s="123" t="s">
        <v>626</v>
      </c>
      <c r="G617" s="123" t="s">
        <v>154</v>
      </c>
      <c r="H617" s="97" t="s">
        <v>627</v>
      </c>
      <c r="I617" s="124">
        <v>3</v>
      </c>
      <c r="J617" s="124">
        <v>9</v>
      </c>
      <c r="K617" s="52">
        <v>0</v>
      </c>
      <c r="L617" s="53">
        <v>200000000</v>
      </c>
      <c r="M617" s="123" t="s">
        <v>484</v>
      </c>
      <c r="N617" s="53" t="s">
        <v>95</v>
      </c>
      <c r="O617" s="51" t="s">
        <v>217</v>
      </c>
      <c r="P617" s="125" t="str">
        <f>IFERROR(VLOOKUP(C617,TD!$B$32:$F$36,2,0)," ")</f>
        <v>O230117</v>
      </c>
      <c r="Q617" s="125" t="str">
        <f>IFERROR(VLOOKUP(C617,TD!$B$32:$F$36,3,0)," ")</f>
        <v>4599</v>
      </c>
      <c r="R617" s="125">
        <f>IFERROR(VLOOKUP(C617,TD!$B$32:$F$36,4,0)," ")</f>
        <v>20240207</v>
      </c>
      <c r="S617" s="51" t="s">
        <v>179</v>
      </c>
      <c r="T617" s="125" t="str">
        <f>IFERROR(VLOOKUP(S617,TD!$J$33:$K$43,2,0)," ")</f>
        <v>Infraestructura Tecnológica   (Sistemas de Información y Tecnologia)</v>
      </c>
      <c r="U617" s="127" t="str">
        <f>CONCATENATE(S617,"-",T617)</f>
        <v>11-Infraestructura Tecnológica   (Sistemas de Información y Tecnologia)</v>
      </c>
      <c r="V617" s="51" t="s">
        <v>239</v>
      </c>
      <c r="W617" s="125" t="str">
        <f>IFERROR(VLOOKUP(V617,TD!$N$33:$O$45,2,0)," ")</f>
        <v>Servicios tecnológicos</v>
      </c>
      <c r="X617" s="127" t="str">
        <f>CONCATENATE(V617,"_",W617)</f>
        <v>007_Servicios tecnológicos</v>
      </c>
      <c r="Y617" s="127" t="str">
        <f>CONCATENATE(U617," ",X617)</f>
        <v>11-Infraestructura Tecnológica   (Sistemas de Información y Tecnologia) 007_Servicios tecnológicos</v>
      </c>
      <c r="Z617" s="125" t="str">
        <f>CONCATENATE(P617,Q617,R617,S617,V617)</f>
        <v>O23011745992024020711007</v>
      </c>
      <c r="AA617" s="125" t="str">
        <f>IFERROR(VLOOKUP(Y617,TD!$K$46:$L$64,2,0)," ")</f>
        <v>PM/0131/0111/45990070207</v>
      </c>
      <c r="AB617" s="53" t="s">
        <v>125</v>
      </c>
      <c r="AC617" s="126" t="s">
        <v>204</v>
      </c>
    </row>
    <row r="618" spans="2:29" s="28" customFormat="1" ht="74.25" customHeight="1" x14ac:dyDescent="0.35">
      <c r="B618" s="77">
        <v>20250406</v>
      </c>
      <c r="C618" s="50" t="s">
        <v>208</v>
      </c>
      <c r="D618" s="123" t="s">
        <v>162</v>
      </c>
      <c r="E618" s="51" t="s">
        <v>355</v>
      </c>
      <c r="F618" s="123" t="s">
        <v>630</v>
      </c>
      <c r="G618" s="123" t="s">
        <v>109</v>
      </c>
      <c r="H618" s="97">
        <v>43232505</v>
      </c>
      <c r="I618" s="124">
        <v>3</v>
      </c>
      <c r="J618" s="124">
        <v>9</v>
      </c>
      <c r="K618" s="52">
        <v>0</v>
      </c>
      <c r="L618" s="53">
        <v>200000000</v>
      </c>
      <c r="M618" s="123" t="s">
        <v>484</v>
      </c>
      <c r="N618" s="53" t="s">
        <v>95</v>
      </c>
      <c r="O618" s="51" t="s">
        <v>214</v>
      </c>
      <c r="P618" s="125" t="str">
        <f>IFERROR(VLOOKUP(C618,TD!$B$32:$F$36,2,0)," ")</f>
        <v>O230117</v>
      </c>
      <c r="Q618" s="125" t="str">
        <f>IFERROR(VLOOKUP(C618,TD!$B$32:$F$36,3,0)," ")</f>
        <v>4599</v>
      </c>
      <c r="R618" s="125">
        <f>IFERROR(VLOOKUP(C618,TD!$B$32:$F$36,4,0)," ")</f>
        <v>20240207</v>
      </c>
      <c r="S618" s="51" t="s">
        <v>179</v>
      </c>
      <c r="T618" s="125" t="str">
        <f>IFERROR(VLOOKUP(S618,TD!$J$33:$K$43,2,0)," ")</f>
        <v>Infraestructura Tecnológica   (Sistemas de Información y Tecnologia)</v>
      </c>
      <c r="U618" s="127" t="str">
        <f>CONCATENATE(S618,"-",T618)</f>
        <v>11-Infraestructura Tecnológica   (Sistemas de Información y Tecnologia)</v>
      </c>
      <c r="V618" s="51" t="s">
        <v>239</v>
      </c>
      <c r="W618" s="125" t="str">
        <f>IFERROR(VLOOKUP(V618,TD!$N$33:$O$45,2,0)," ")</f>
        <v>Servicios tecnológicos</v>
      </c>
      <c r="X618" s="127" t="str">
        <f>CONCATENATE(V618,"_",W618)</f>
        <v>007_Servicios tecnológicos</v>
      </c>
      <c r="Y618" s="127" t="str">
        <f>CONCATENATE(U618," ",X618)</f>
        <v>11-Infraestructura Tecnológica   (Sistemas de Información y Tecnologia) 007_Servicios tecnológicos</v>
      </c>
      <c r="Z618" s="125" t="str">
        <f>CONCATENATE(P618,Q618,R618,S618,V618)</f>
        <v>O23011745992024020711007</v>
      </c>
      <c r="AA618" s="125" t="str">
        <f>IFERROR(VLOOKUP(Y618,TD!$K$46:$L$64,2,0)," ")</f>
        <v>PM/0131/0111/45990070207</v>
      </c>
      <c r="AB618" s="53" t="s">
        <v>125</v>
      </c>
      <c r="AC618" s="126" t="s">
        <v>204</v>
      </c>
    </row>
    <row r="619" spans="2:29" s="28" customFormat="1" ht="74.25" customHeight="1" x14ac:dyDescent="0.35">
      <c r="B619" s="77">
        <v>20250410</v>
      </c>
      <c r="C619" s="50" t="s">
        <v>209</v>
      </c>
      <c r="D619" s="123" t="s">
        <v>166</v>
      </c>
      <c r="E619" s="51" t="s">
        <v>632</v>
      </c>
      <c r="F619" s="123" t="s">
        <v>697</v>
      </c>
      <c r="G619" s="123" t="s">
        <v>137</v>
      </c>
      <c r="H619" s="97" t="s">
        <v>409</v>
      </c>
      <c r="I619" s="124" t="s">
        <v>409</v>
      </c>
      <c r="J619" s="124" t="s">
        <v>409</v>
      </c>
      <c r="K619" s="52" t="s">
        <v>409</v>
      </c>
      <c r="L619" s="53">
        <v>600049334</v>
      </c>
      <c r="M619" s="123" t="s">
        <v>173</v>
      </c>
      <c r="N619" s="53" t="s">
        <v>698</v>
      </c>
      <c r="O619" s="51" t="s">
        <v>227</v>
      </c>
      <c r="P619" s="125" t="str">
        <f>IFERROR(VLOOKUP(C619,TD!$B$32:$F$36,2,0)," ")</f>
        <v>O230117</v>
      </c>
      <c r="Q619" s="125" t="str">
        <f>IFERROR(VLOOKUP(C619,TD!$B$32:$F$36,3,0)," ")</f>
        <v>4503</v>
      </c>
      <c r="R619" s="125">
        <f>IFERROR(VLOOKUP(C619,TD!$B$32:$F$36,4,0)," ")</f>
        <v>20240255</v>
      </c>
      <c r="S619" s="51" t="s">
        <v>185</v>
      </c>
      <c r="T619" s="125" t="str">
        <f>IFERROR(VLOOKUP(S619,TD!$J$33:$K$43,2,0)," ")</f>
        <v>Infraestructura física, mantenimiento y dotación (Sedes construidas, mantenidas reforzadas)</v>
      </c>
      <c r="U619" s="127" t="str">
        <f>CONCATENATE(S619,"-",T619)</f>
        <v>08-Infraestructura física, mantenimiento y dotación (Sedes construidas, mantenidas reforzadas)</v>
      </c>
      <c r="V619" s="51" t="s">
        <v>236</v>
      </c>
      <c r="W619" s="125" t="str">
        <f>IFERROR(VLOOKUP(V619,TD!$N$33:$O$45,2,0)," ")</f>
        <v>Estaciones de bomberos adecuadas</v>
      </c>
      <c r="X619" s="127" t="str">
        <f>CONCATENATE(V619,"_",W619)</f>
        <v>014_Estaciones de bomberos adecuadas</v>
      </c>
      <c r="Y619" s="127" t="str">
        <f>CONCATENATE(U619," ",X619)</f>
        <v>08-Infraestructura física, mantenimiento y dotación (Sedes construidas, mantenidas reforzadas) 014_Estaciones de bomberos adecuadas</v>
      </c>
      <c r="Z619" s="125" t="str">
        <f>CONCATENATE(P619,Q619,R619,S619,V619)</f>
        <v>O23011745032024025508014</v>
      </c>
      <c r="AA619" s="125" t="str">
        <f>IFERROR(VLOOKUP(Y619,TD!$K$46:$L$64,2,0)," ")</f>
        <v>PM/0131/0108/45030140255</v>
      </c>
      <c r="AB619" s="53" t="s">
        <v>775</v>
      </c>
      <c r="AC619" s="126" t="s">
        <v>204</v>
      </c>
    </row>
    <row r="620" spans="2:29" s="28" customFormat="1" ht="74.25" customHeight="1" x14ac:dyDescent="0.35">
      <c r="B620" s="77">
        <v>20250559</v>
      </c>
      <c r="C620" s="50" t="s">
        <v>346</v>
      </c>
      <c r="D620" s="123" t="s">
        <v>162</v>
      </c>
      <c r="E620" s="51" t="s">
        <v>355</v>
      </c>
      <c r="F620" s="123" t="s">
        <v>780</v>
      </c>
      <c r="G620" s="123" t="s">
        <v>157</v>
      </c>
      <c r="H620" s="97" t="s">
        <v>784</v>
      </c>
      <c r="I620" s="124">
        <v>5</v>
      </c>
      <c r="J620" s="124">
        <v>8</v>
      </c>
      <c r="K620" s="52">
        <v>0</v>
      </c>
      <c r="L620" s="53">
        <v>262870000</v>
      </c>
      <c r="M620" s="123" t="s">
        <v>172</v>
      </c>
      <c r="N620" s="53" t="s">
        <v>95</v>
      </c>
      <c r="O620" s="51" t="s">
        <v>347</v>
      </c>
      <c r="P620" s="125" t="str">
        <f>IFERROR(VLOOKUP(C620,TD!$B$32:$F$36,2,0)," ")</f>
        <v>NA</v>
      </c>
      <c r="Q620" s="125" t="str">
        <f>IFERROR(VLOOKUP(C620,TD!$B$32:$F$36,3,0)," ")</f>
        <v>NA</v>
      </c>
      <c r="R620" s="125" t="str">
        <f>IFERROR(VLOOKUP(C620,TD!$B$32:$F$36,4,0)," ")</f>
        <v>NA</v>
      </c>
      <c r="S620" s="51" t="s">
        <v>409</v>
      </c>
      <c r="T620" s="125" t="str">
        <f>IFERROR(VLOOKUP(S620,TD!$J$33:$K$43,2,0)," ")</f>
        <v>N/A</v>
      </c>
      <c r="U620" s="127" t="str">
        <f>CONCATENATE(S620,"-",T620)</f>
        <v>N/A-N/A</v>
      </c>
      <c r="V620" s="51" t="s">
        <v>409</v>
      </c>
      <c r="W620" s="125" t="str">
        <f>IFERROR(VLOOKUP(V620,TD!$N$33:$O$45,2,0)," ")</f>
        <v>N/A</v>
      </c>
      <c r="X620" s="127" t="str">
        <f>CONCATENATE(V620,"_",W620)</f>
        <v>N/A_N/A</v>
      </c>
      <c r="Y620" s="127" t="str">
        <f>CONCATENATE(U620," ",X620)</f>
        <v>N/A-N/A N/A_N/A</v>
      </c>
      <c r="Z620" s="125" t="str">
        <f>CONCATENATE(P620,Q620,R620,S620,V620)</f>
        <v>NANANAN/AN/A</v>
      </c>
      <c r="AA620" s="125" t="str">
        <f>IFERROR(VLOOKUP(Y620,TD!$K$46:$L$64,2,0)," ")</f>
        <v>N/A</v>
      </c>
      <c r="AB620" s="53" t="s">
        <v>456</v>
      </c>
      <c r="AC620" s="126" t="s">
        <v>204</v>
      </c>
    </row>
    <row r="621" spans="2:29" s="28" customFormat="1" ht="74.25" customHeight="1" x14ac:dyDescent="0.35">
      <c r="B621" s="77"/>
      <c r="C621" s="50"/>
      <c r="D621" s="123"/>
      <c r="E621" s="51"/>
      <c r="F621" s="123"/>
      <c r="G621" s="123"/>
      <c r="H621" s="97"/>
      <c r="I621" s="124"/>
      <c r="J621" s="124"/>
      <c r="K621" s="52"/>
      <c r="L621" s="53"/>
      <c r="M621" s="123"/>
      <c r="N621" s="53"/>
      <c r="O621" s="51"/>
      <c r="P621" s="125" t="str">
        <f>IFERROR(VLOOKUP(C621,TD!$B$32:$F$36,2,0)," ")</f>
        <v xml:space="preserve"> </v>
      </c>
      <c r="Q621" s="125" t="str">
        <f>IFERROR(VLOOKUP(C621,TD!$B$32:$F$36,3,0)," ")</f>
        <v xml:space="preserve"> </v>
      </c>
      <c r="R621" s="125" t="str">
        <f>IFERROR(VLOOKUP(C621,TD!$B$32:$F$36,4,0)," ")</f>
        <v xml:space="preserve"> </v>
      </c>
      <c r="S621" s="51"/>
      <c r="T621" s="125" t="str">
        <f>IFERROR(VLOOKUP(S621,TD!$J$33:$K$43,2,0)," ")</f>
        <v xml:space="preserve"> </v>
      </c>
      <c r="U621" s="127" t="str">
        <f>CONCATENATE(S621,"-",T621)</f>
        <v xml:space="preserve">- </v>
      </c>
      <c r="V621" s="51"/>
      <c r="W621" s="125" t="str">
        <f>IFERROR(VLOOKUP(V621,TD!$N$33:$O$45,2,0)," ")</f>
        <v xml:space="preserve"> </v>
      </c>
      <c r="X621" s="127" t="str">
        <f>CONCATENATE(V621,"_",W621)</f>
        <v xml:space="preserve">_ </v>
      </c>
      <c r="Y621" s="127" t="str">
        <f>CONCATENATE(U621," ",X621)</f>
        <v xml:space="preserve">-  _ </v>
      </c>
      <c r="Z621" s="125" t="str">
        <f>CONCATENATE(P621,Q621,R621,S621,V621)</f>
        <v xml:space="preserve">   </v>
      </c>
      <c r="AA621" s="125" t="str">
        <f>IFERROR(VLOOKUP(Y621,TD!$K$46:$L$64,2,0)," ")</f>
        <v xml:space="preserve"> </v>
      </c>
      <c r="AB621" s="53"/>
      <c r="AC621" s="126"/>
    </row>
    <row r="622" spans="2:29" s="28" customFormat="1" ht="74.25" customHeight="1" x14ac:dyDescent="0.35">
      <c r="B622" s="77"/>
      <c r="C622" s="50"/>
      <c r="D622" s="123"/>
      <c r="E622" s="51"/>
      <c r="F622" s="123"/>
      <c r="G622" s="123"/>
      <c r="H622" s="97"/>
      <c r="I622" s="124"/>
      <c r="J622" s="124"/>
      <c r="K622" s="52"/>
      <c r="L622" s="53"/>
      <c r="M622" s="123"/>
      <c r="N622" s="53"/>
      <c r="O622" s="51"/>
      <c r="P622" s="125" t="str">
        <f>IFERROR(VLOOKUP(C622,TD!$B$32:$F$36,2,0)," ")</f>
        <v xml:space="preserve"> </v>
      </c>
      <c r="Q622" s="125" t="str">
        <f>IFERROR(VLOOKUP(C622,TD!$B$32:$F$36,3,0)," ")</f>
        <v xml:space="preserve"> </v>
      </c>
      <c r="R622" s="125" t="str">
        <f>IFERROR(VLOOKUP(C622,TD!$B$32:$F$36,4,0)," ")</f>
        <v xml:space="preserve"> </v>
      </c>
      <c r="S622" s="51"/>
      <c r="T622" s="125" t="str">
        <f>IFERROR(VLOOKUP(S622,TD!$J$33:$K$43,2,0)," ")</f>
        <v xml:space="preserve"> </v>
      </c>
      <c r="U622" s="127" t="str">
        <f>CONCATENATE(S622,"-",T622)</f>
        <v xml:space="preserve">- </v>
      </c>
      <c r="V622" s="51"/>
      <c r="W622" s="125" t="str">
        <f>IFERROR(VLOOKUP(V622,TD!$N$33:$O$45,2,0)," ")</f>
        <v xml:space="preserve"> </v>
      </c>
      <c r="X622" s="127" t="str">
        <f>CONCATENATE(V622,"_",W622)</f>
        <v xml:space="preserve">_ </v>
      </c>
      <c r="Y622" s="127" t="str">
        <f>CONCATENATE(U622," ",X622)</f>
        <v xml:space="preserve">-  _ </v>
      </c>
      <c r="Z622" s="125" t="str">
        <f>CONCATENATE(P622,Q622,R622,S622,V622)</f>
        <v xml:space="preserve">   </v>
      </c>
      <c r="AA622" s="125" t="str">
        <f>IFERROR(VLOOKUP(Y622,TD!$K$46:$L$64,2,0)," ")</f>
        <v xml:space="preserve"> </v>
      </c>
      <c r="AB622" s="53"/>
      <c r="AC622" s="126"/>
    </row>
    <row r="623" spans="2:29" s="28" customFormat="1" ht="74.25" customHeight="1" x14ac:dyDescent="0.35">
      <c r="B623" s="77"/>
      <c r="C623" s="50"/>
      <c r="D623" s="123"/>
      <c r="E623" s="51"/>
      <c r="F623" s="123"/>
      <c r="G623" s="123"/>
      <c r="H623" s="97"/>
      <c r="I623" s="124"/>
      <c r="J623" s="124"/>
      <c r="K623" s="52"/>
      <c r="L623" s="53"/>
      <c r="M623" s="123"/>
      <c r="N623" s="53"/>
      <c r="O623" s="51"/>
      <c r="P623" s="125" t="str">
        <f>IFERROR(VLOOKUP(C623,TD!$B$32:$F$36,2,0)," ")</f>
        <v xml:space="preserve"> </v>
      </c>
      <c r="Q623" s="125" t="str">
        <f>IFERROR(VLOOKUP(C623,TD!$B$32:$F$36,3,0)," ")</f>
        <v xml:space="preserve"> </v>
      </c>
      <c r="R623" s="125" t="str">
        <f>IFERROR(VLOOKUP(C623,TD!$B$32:$F$36,4,0)," ")</f>
        <v xml:space="preserve"> </v>
      </c>
      <c r="S623" s="51"/>
      <c r="T623" s="125" t="str">
        <f>IFERROR(VLOOKUP(S623,TD!$J$33:$K$43,2,0)," ")</f>
        <v xml:space="preserve"> </v>
      </c>
      <c r="U623" s="127" t="str">
        <f>CONCATENATE(S623,"-",T623)</f>
        <v xml:space="preserve">- </v>
      </c>
      <c r="V623" s="51"/>
      <c r="W623" s="125" t="str">
        <f>IFERROR(VLOOKUP(V623,TD!$N$33:$O$45,2,0)," ")</f>
        <v xml:space="preserve"> </v>
      </c>
      <c r="X623" s="127" t="str">
        <f>CONCATENATE(V623,"_",W623)</f>
        <v xml:space="preserve">_ </v>
      </c>
      <c r="Y623" s="127" t="str">
        <f>CONCATENATE(U623," ",X623)</f>
        <v xml:space="preserve">-  _ </v>
      </c>
      <c r="Z623" s="125" t="str">
        <f>CONCATENATE(P623,Q623,R623,S623,V623)</f>
        <v xml:space="preserve">   </v>
      </c>
      <c r="AA623" s="125" t="str">
        <f>IFERROR(VLOOKUP(Y623,TD!$K$46:$L$64,2,0)," ")</f>
        <v xml:space="preserve"> </v>
      </c>
      <c r="AB623" s="53"/>
      <c r="AC623" s="126"/>
    </row>
    <row r="624" spans="2:29" s="28" customFormat="1" ht="74.25" customHeight="1" x14ac:dyDescent="0.35">
      <c r="B624" s="77"/>
      <c r="C624" s="50"/>
      <c r="D624" s="123"/>
      <c r="E624" s="51"/>
      <c r="F624" s="123"/>
      <c r="G624" s="123"/>
      <c r="H624" s="97"/>
      <c r="I624" s="124"/>
      <c r="J624" s="124"/>
      <c r="K624" s="52"/>
      <c r="L624" s="53"/>
      <c r="M624" s="123"/>
      <c r="N624" s="53"/>
      <c r="O624" s="51"/>
      <c r="P624" s="125" t="str">
        <f>IFERROR(VLOOKUP(C624,TD!$B$32:$F$36,2,0)," ")</f>
        <v xml:space="preserve"> </v>
      </c>
      <c r="Q624" s="125" t="str">
        <f>IFERROR(VLOOKUP(C624,TD!$B$32:$F$36,3,0)," ")</f>
        <v xml:space="preserve"> </v>
      </c>
      <c r="R624" s="125" t="str">
        <f>IFERROR(VLOOKUP(C624,TD!$B$32:$F$36,4,0)," ")</f>
        <v xml:space="preserve"> </v>
      </c>
      <c r="S624" s="51"/>
      <c r="T624" s="125" t="str">
        <f>IFERROR(VLOOKUP(S624,TD!$J$33:$K$43,2,0)," ")</f>
        <v xml:space="preserve"> </v>
      </c>
      <c r="U624" s="127" t="str">
        <f>CONCATENATE(S624,"-",T624)</f>
        <v xml:space="preserve">- </v>
      </c>
      <c r="V624" s="51"/>
      <c r="W624" s="125" t="str">
        <f>IFERROR(VLOOKUP(V624,TD!$N$33:$O$45,2,0)," ")</f>
        <v xml:space="preserve"> </v>
      </c>
      <c r="X624" s="127" t="str">
        <f>CONCATENATE(V624,"_",W624)</f>
        <v xml:space="preserve">_ </v>
      </c>
      <c r="Y624" s="127" t="str">
        <f>CONCATENATE(U624," ",X624)</f>
        <v xml:space="preserve">-  _ </v>
      </c>
      <c r="Z624" s="125" t="str">
        <f>CONCATENATE(P624,Q624,R624,S624,V624)</f>
        <v xml:space="preserve">   </v>
      </c>
      <c r="AA624" s="125" t="str">
        <f>IFERROR(VLOOKUP(Y624,TD!$K$46:$L$64,2,0)," ")</f>
        <v xml:space="preserve"> </v>
      </c>
      <c r="AB624" s="53"/>
      <c r="AC624" s="126"/>
    </row>
    <row r="625" spans="2:29" s="28" customFormat="1" ht="74.25" customHeight="1" x14ac:dyDescent="0.35">
      <c r="B625" s="77"/>
      <c r="C625" s="50"/>
      <c r="D625" s="123"/>
      <c r="E625" s="51"/>
      <c r="F625" s="123"/>
      <c r="G625" s="123"/>
      <c r="H625" s="97"/>
      <c r="I625" s="124"/>
      <c r="J625" s="124"/>
      <c r="K625" s="52"/>
      <c r="L625" s="53"/>
      <c r="M625" s="123"/>
      <c r="N625" s="53"/>
      <c r="O625" s="51"/>
      <c r="P625" s="125" t="str">
        <f>IFERROR(VLOOKUP(C625,TD!$B$32:$F$36,2,0)," ")</f>
        <v xml:space="preserve"> </v>
      </c>
      <c r="Q625" s="125" t="str">
        <f>IFERROR(VLOOKUP(C625,TD!$B$32:$F$36,3,0)," ")</f>
        <v xml:space="preserve"> </v>
      </c>
      <c r="R625" s="125" t="str">
        <f>IFERROR(VLOOKUP(C625,TD!$B$32:$F$36,4,0)," ")</f>
        <v xml:space="preserve"> </v>
      </c>
      <c r="S625" s="51"/>
      <c r="T625" s="125" t="str">
        <f>IFERROR(VLOOKUP(S625,TD!$J$33:$K$43,2,0)," ")</f>
        <v xml:space="preserve"> </v>
      </c>
      <c r="U625" s="127" t="str">
        <f>CONCATENATE(S625,"-",T625)</f>
        <v xml:space="preserve">- </v>
      </c>
      <c r="V625" s="51"/>
      <c r="W625" s="125" t="str">
        <f>IFERROR(VLOOKUP(V625,TD!$N$33:$O$45,2,0)," ")</f>
        <v xml:space="preserve"> </v>
      </c>
      <c r="X625" s="127" t="str">
        <f>CONCATENATE(V625,"_",W625)</f>
        <v xml:space="preserve">_ </v>
      </c>
      <c r="Y625" s="127" t="str">
        <f>CONCATENATE(U625," ",X625)</f>
        <v xml:space="preserve">-  _ </v>
      </c>
      <c r="Z625" s="125" t="str">
        <f>CONCATENATE(P625,Q625,R625,S625,V625)</f>
        <v xml:space="preserve">   </v>
      </c>
      <c r="AA625" s="125" t="str">
        <f>IFERROR(VLOOKUP(Y625,TD!$K$46:$L$64,2,0)," ")</f>
        <v xml:space="preserve"> </v>
      </c>
      <c r="AB625" s="53"/>
      <c r="AC625" s="126"/>
    </row>
    <row r="626" spans="2:29" s="28" customFormat="1" ht="74.25" customHeight="1" x14ac:dyDescent="0.35">
      <c r="B626" s="77"/>
      <c r="C626" s="50"/>
      <c r="D626" s="123"/>
      <c r="E626" s="51"/>
      <c r="F626" s="123"/>
      <c r="G626" s="123"/>
      <c r="H626" s="97"/>
      <c r="I626" s="124"/>
      <c r="J626" s="124"/>
      <c r="K626" s="52"/>
      <c r="L626" s="53"/>
      <c r="M626" s="123"/>
      <c r="N626" s="53"/>
      <c r="O626" s="51"/>
      <c r="P626" s="125" t="str">
        <f>IFERROR(VLOOKUP(C626,TD!$B$32:$F$36,2,0)," ")</f>
        <v xml:space="preserve"> </v>
      </c>
      <c r="Q626" s="125" t="str">
        <f>IFERROR(VLOOKUP(C626,TD!$B$32:$F$36,3,0)," ")</f>
        <v xml:space="preserve"> </v>
      </c>
      <c r="R626" s="125" t="str">
        <f>IFERROR(VLOOKUP(C626,TD!$B$32:$F$36,4,0)," ")</f>
        <v xml:space="preserve"> </v>
      </c>
      <c r="S626" s="51"/>
      <c r="T626" s="125" t="str">
        <f>IFERROR(VLOOKUP(S626,TD!$J$33:$K$43,2,0)," ")</f>
        <v xml:space="preserve"> </v>
      </c>
      <c r="U626" s="127" t="str">
        <f>CONCATENATE(S626,"-",T626)</f>
        <v xml:space="preserve">- </v>
      </c>
      <c r="V626" s="51"/>
      <c r="W626" s="125" t="str">
        <f>IFERROR(VLOOKUP(V626,TD!$N$33:$O$45,2,0)," ")</f>
        <v xml:space="preserve"> </v>
      </c>
      <c r="X626" s="127" t="str">
        <f>CONCATENATE(V626,"_",W626)</f>
        <v xml:space="preserve">_ </v>
      </c>
      <c r="Y626" s="127" t="str">
        <f>CONCATENATE(U626," ",X626)</f>
        <v xml:space="preserve">-  _ </v>
      </c>
      <c r="Z626" s="125" t="str">
        <f>CONCATENATE(P626,Q626,R626,S626,V626)</f>
        <v xml:space="preserve">   </v>
      </c>
      <c r="AA626" s="125" t="str">
        <f>IFERROR(VLOOKUP(Y626,TD!$K$46:$L$64,2,0)," ")</f>
        <v xml:space="preserve"> </v>
      </c>
      <c r="AB626" s="53"/>
      <c r="AC626" s="126"/>
    </row>
    <row r="627" spans="2:29" s="28" customFormat="1" ht="74.25" customHeight="1" x14ac:dyDescent="0.35">
      <c r="B627" s="77"/>
      <c r="C627" s="50"/>
      <c r="D627" s="123"/>
      <c r="E627" s="51"/>
      <c r="F627" s="123"/>
      <c r="G627" s="123"/>
      <c r="H627" s="97"/>
      <c r="I627" s="124"/>
      <c r="J627" s="124"/>
      <c r="K627" s="52"/>
      <c r="L627" s="53"/>
      <c r="M627" s="123"/>
      <c r="N627" s="53"/>
      <c r="O627" s="51"/>
      <c r="P627" s="125" t="str">
        <f>IFERROR(VLOOKUP(C627,TD!$B$32:$F$36,2,0)," ")</f>
        <v xml:space="preserve"> </v>
      </c>
      <c r="Q627" s="125" t="str">
        <f>IFERROR(VLOOKUP(C627,TD!$B$32:$F$36,3,0)," ")</f>
        <v xml:space="preserve"> </v>
      </c>
      <c r="R627" s="125" t="str">
        <f>IFERROR(VLOOKUP(C627,TD!$B$32:$F$36,4,0)," ")</f>
        <v xml:space="preserve"> </v>
      </c>
      <c r="S627" s="51"/>
      <c r="T627" s="125" t="str">
        <f>IFERROR(VLOOKUP(S627,TD!$J$33:$K$43,2,0)," ")</f>
        <v xml:space="preserve"> </v>
      </c>
      <c r="U627" s="127" t="str">
        <f>CONCATENATE(S627,"-",T627)</f>
        <v xml:space="preserve">- </v>
      </c>
      <c r="V627" s="51"/>
      <c r="W627" s="125" t="str">
        <f>IFERROR(VLOOKUP(V627,TD!$N$33:$O$45,2,0)," ")</f>
        <v xml:space="preserve"> </v>
      </c>
      <c r="X627" s="127" t="str">
        <f>CONCATENATE(V627,"_",W627)</f>
        <v xml:space="preserve">_ </v>
      </c>
      <c r="Y627" s="127" t="str">
        <f>CONCATENATE(U627," ",X627)</f>
        <v xml:space="preserve">-  _ </v>
      </c>
      <c r="Z627" s="125" t="str">
        <f>CONCATENATE(P627,Q627,R627,S627,V627)</f>
        <v xml:space="preserve">   </v>
      </c>
      <c r="AA627" s="125" t="str">
        <f>IFERROR(VLOOKUP(Y627,TD!$K$46:$L$64,2,0)," ")</f>
        <v xml:space="preserve"> </v>
      </c>
      <c r="AB627" s="53"/>
      <c r="AC627" s="126"/>
    </row>
    <row r="628" spans="2:29" s="28" customFormat="1" ht="74.25" customHeight="1" x14ac:dyDescent="0.35">
      <c r="B628" s="77"/>
      <c r="C628" s="50"/>
      <c r="D628" s="123"/>
      <c r="E628" s="51"/>
      <c r="F628" s="123"/>
      <c r="G628" s="123"/>
      <c r="H628" s="97"/>
      <c r="I628" s="124"/>
      <c r="J628" s="124"/>
      <c r="K628" s="52"/>
      <c r="L628" s="53"/>
      <c r="M628" s="123"/>
      <c r="N628" s="53"/>
      <c r="O628" s="51"/>
      <c r="P628" s="125" t="str">
        <f>IFERROR(VLOOKUP(C628,TD!$B$32:$F$36,2,0)," ")</f>
        <v xml:space="preserve"> </v>
      </c>
      <c r="Q628" s="125" t="str">
        <f>IFERROR(VLOOKUP(C628,TD!$B$32:$F$36,3,0)," ")</f>
        <v xml:space="preserve"> </v>
      </c>
      <c r="R628" s="125" t="str">
        <f>IFERROR(VLOOKUP(C628,TD!$B$32:$F$36,4,0)," ")</f>
        <v xml:space="preserve"> </v>
      </c>
      <c r="S628" s="51"/>
      <c r="T628" s="125" t="str">
        <f>IFERROR(VLOOKUP(S628,TD!$J$33:$K$43,2,0)," ")</f>
        <v xml:space="preserve"> </v>
      </c>
      <c r="U628" s="127" t="str">
        <f>CONCATENATE(S628,"-",T628)</f>
        <v xml:space="preserve">- </v>
      </c>
      <c r="V628" s="51"/>
      <c r="W628" s="125" t="str">
        <f>IFERROR(VLOOKUP(V628,TD!$N$33:$O$45,2,0)," ")</f>
        <v xml:space="preserve"> </v>
      </c>
      <c r="X628" s="127" t="str">
        <f>CONCATENATE(V628,"_",W628)</f>
        <v xml:space="preserve">_ </v>
      </c>
      <c r="Y628" s="127" t="str">
        <f>CONCATENATE(U628," ",X628)</f>
        <v xml:space="preserve">-  _ </v>
      </c>
      <c r="Z628" s="125" t="str">
        <f>CONCATENATE(P628,Q628,R628,S628,V628)</f>
        <v xml:space="preserve">   </v>
      </c>
      <c r="AA628" s="125" t="str">
        <f>IFERROR(VLOOKUP(Y628,TD!$K$46:$L$64,2,0)," ")</f>
        <v xml:space="preserve"> </v>
      </c>
      <c r="AB628" s="53"/>
      <c r="AC628" s="126"/>
    </row>
    <row r="629" spans="2:29" s="28" customFormat="1" ht="74.25" customHeight="1" x14ac:dyDescent="0.35">
      <c r="B629" s="77"/>
      <c r="C629" s="50"/>
      <c r="D629" s="123"/>
      <c r="E629" s="51"/>
      <c r="F629" s="123"/>
      <c r="G629" s="123"/>
      <c r="H629" s="97"/>
      <c r="I629" s="124"/>
      <c r="J629" s="124"/>
      <c r="K629" s="52"/>
      <c r="L629" s="53"/>
      <c r="M629" s="123"/>
      <c r="N629" s="53"/>
      <c r="O629" s="51"/>
      <c r="P629" s="125" t="str">
        <f>IFERROR(VLOOKUP(C629,TD!$B$32:$F$36,2,0)," ")</f>
        <v xml:space="preserve"> </v>
      </c>
      <c r="Q629" s="125" t="str">
        <f>IFERROR(VLOOKUP(C629,TD!$B$32:$F$36,3,0)," ")</f>
        <v xml:space="preserve"> </v>
      </c>
      <c r="R629" s="125" t="str">
        <f>IFERROR(VLOOKUP(C629,TD!$B$32:$F$36,4,0)," ")</f>
        <v xml:space="preserve"> </v>
      </c>
      <c r="S629" s="51"/>
      <c r="T629" s="125" t="str">
        <f>IFERROR(VLOOKUP(S629,TD!$J$33:$K$43,2,0)," ")</f>
        <v xml:space="preserve"> </v>
      </c>
      <c r="U629" s="127" t="str">
        <f>CONCATENATE(S629,"-",T629)</f>
        <v xml:space="preserve">- </v>
      </c>
      <c r="V629" s="51"/>
      <c r="W629" s="125" t="str">
        <f>IFERROR(VLOOKUP(V629,TD!$N$33:$O$45,2,0)," ")</f>
        <v xml:space="preserve"> </v>
      </c>
      <c r="X629" s="127" t="str">
        <f>CONCATENATE(V629,"_",W629)</f>
        <v xml:space="preserve">_ </v>
      </c>
      <c r="Y629" s="127" t="str">
        <f>CONCATENATE(U629," ",X629)</f>
        <v xml:space="preserve">-  _ </v>
      </c>
      <c r="Z629" s="125" t="str">
        <f>CONCATENATE(P629,Q629,R629,S629,V629)</f>
        <v xml:space="preserve">   </v>
      </c>
      <c r="AA629" s="125" t="str">
        <f>IFERROR(VLOOKUP(Y629,TD!$K$46:$L$64,2,0)," ")</f>
        <v xml:space="preserve"> </v>
      </c>
      <c r="AB629" s="53"/>
      <c r="AC629" s="126"/>
    </row>
    <row r="630" spans="2:29" s="28" customFormat="1" ht="74.25" customHeight="1" x14ac:dyDescent="0.35">
      <c r="B630" s="77"/>
      <c r="C630" s="50"/>
      <c r="D630" s="123"/>
      <c r="E630" s="51"/>
      <c r="F630" s="123"/>
      <c r="G630" s="123"/>
      <c r="H630" s="97"/>
      <c r="I630" s="124"/>
      <c r="J630" s="124"/>
      <c r="K630" s="52"/>
      <c r="L630" s="53"/>
      <c r="M630" s="123"/>
      <c r="N630" s="53"/>
      <c r="O630" s="51"/>
      <c r="P630" s="125" t="str">
        <f>IFERROR(VLOOKUP(C630,TD!$B$32:$F$36,2,0)," ")</f>
        <v xml:space="preserve"> </v>
      </c>
      <c r="Q630" s="125" t="str">
        <f>IFERROR(VLOOKUP(C630,TD!$B$32:$F$36,3,0)," ")</f>
        <v xml:space="preserve"> </v>
      </c>
      <c r="R630" s="125" t="str">
        <f>IFERROR(VLOOKUP(C630,TD!$B$32:$F$36,4,0)," ")</f>
        <v xml:space="preserve"> </v>
      </c>
      <c r="S630" s="51"/>
      <c r="T630" s="125" t="str">
        <f>IFERROR(VLOOKUP(S630,TD!$J$33:$K$43,2,0)," ")</f>
        <v xml:space="preserve"> </v>
      </c>
      <c r="U630" s="127" t="str">
        <f>CONCATENATE(S630,"-",T630)</f>
        <v xml:space="preserve">- </v>
      </c>
      <c r="V630" s="51"/>
      <c r="W630" s="125" t="str">
        <f>IFERROR(VLOOKUP(V630,TD!$N$33:$O$45,2,0)," ")</f>
        <v xml:space="preserve"> </v>
      </c>
      <c r="X630" s="127" t="str">
        <f>CONCATENATE(V630,"_",W630)</f>
        <v xml:space="preserve">_ </v>
      </c>
      <c r="Y630" s="127" t="str">
        <f>CONCATENATE(U630," ",X630)</f>
        <v xml:space="preserve">-  _ </v>
      </c>
      <c r="Z630" s="125" t="str">
        <f>CONCATENATE(P630,Q630,R630,S630,V630)</f>
        <v xml:space="preserve">   </v>
      </c>
      <c r="AA630" s="125" t="str">
        <f>IFERROR(VLOOKUP(Y630,TD!$K$46:$L$64,2,0)," ")</f>
        <v xml:space="preserve"> </v>
      </c>
      <c r="AB630" s="53"/>
      <c r="AC630" s="126"/>
    </row>
    <row r="631" spans="2:29" s="28" customFormat="1" ht="74.25" customHeight="1" x14ac:dyDescent="0.35">
      <c r="B631" s="77"/>
      <c r="C631" s="50"/>
      <c r="D631" s="123"/>
      <c r="E631" s="51"/>
      <c r="F631" s="123"/>
      <c r="G631" s="123"/>
      <c r="H631" s="97"/>
      <c r="I631" s="124"/>
      <c r="J631" s="124"/>
      <c r="K631" s="52"/>
      <c r="L631" s="53"/>
      <c r="M631" s="123"/>
      <c r="N631" s="53"/>
      <c r="O631" s="51"/>
      <c r="P631" s="125" t="str">
        <f>IFERROR(VLOOKUP(C631,TD!$B$32:$F$36,2,0)," ")</f>
        <v xml:space="preserve"> </v>
      </c>
      <c r="Q631" s="125" t="str">
        <f>IFERROR(VLOOKUP(C631,TD!$B$32:$F$36,3,0)," ")</f>
        <v xml:space="preserve"> </v>
      </c>
      <c r="R631" s="125" t="str">
        <f>IFERROR(VLOOKUP(C631,TD!$B$32:$F$36,4,0)," ")</f>
        <v xml:space="preserve"> </v>
      </c>
      <c r="S631" s="51"/>
      <c r="T631" s="125" t="str">
        <f>IFERROR(VLOOKUP(S631,TD!$J$33:$K$43,2,0)," ")</f>
        <v xml:space="preserve"> </v>
      </c>
      <c r="U631" s="127" t="str">
        <f>CONCATENATE(S631,"-",T631)</f>
        <v xml:space="preserve">- </v>
      </c>
      <c r="V631" s="51"/>
      <c r="W631" s="125" t="str">
        <f>IFERROR(VLOOKUP(V631,TD!$N$33:$O$45,2,0)," ")</f>
        <v xml:space="preserve"> </v>
      </c>
      <c r="X631" s="127" t="str">
        <f>CONCATENATE(V631,"_",W631)</f>
        <v xml:space="preserve">_ </v>
      </c>
      <c r="Y631" s="127" t="str">
        <f>CONCATENATE(U631," ",X631)</f>
        <v xml:space="preserve">-  _ </v>
      </c>
      <c r="Z631" s="125" t="str">
        <f>CONCATENATE(P631,Q631,R631,S631,V631)</f>
        <v xml:space="preserve">   </v>
      </c>
      <c r="AA631" s="125" t="str">
        <f>IFERROR(VLOOKUP(Y631,TD!$K$46:$L$64,2,0)," ")</f>
        <v xml:space="preserve"> </v>
      </c>
      <c r="AB631" s="53"/>
      <c r="AC631" s="126"/>
    </row>
    <row r="632" spans="2:29" s="28" customFormat="1" ht="74.25" customHeight="1" x14ac:dyDescent="0.35">
      <c r="B632" s="77"/>
      <c r="C632" s="50"/>
      <c r="D632" s="123"/>
      <c r="E632" s="51"/>
      <c r="F632" s="123"/>
      <c r="G632" s="123"/>
      <c r="H632" s="97"/>
      <c r="I632" s="124"/>
      <c r="J632" s="124"/>
      <c r="K632" s="52"/>
      <c r="L632" s="53"/>
      <c r="M632" s="123"/>
      <c r="N632" s="53"/>
      <c r="O632" s="51"/>
      <c r="P632" s="125" t="str">
        <f>IFERROR(VLOOKUP(C632,TD!$B$32:$F$36,2,0)," ")</f>
        <v xml:space="preserve"> </v>
      </c>
      <c r="Q632" s="125" t="str">
        <f>IFERROR(VLOOKUP(C632,TD!$B$32:$F$36,3,0)," ")</f>
        <v xml:space="preserve"> </v>
      </c>
      <c r="R632" s="125" t="str">
        <f>IFERROR(VLOOKUP(C632,TD!$B$32:$F$36,4,0)," ")</f>
        <v xml:space="preserve"> </v>
      </c>
      <c r="S632" s="51"/>
      <c r="T632" s="125" t="str">
        <f>IFERROR(VLOOKUP(S632,TD!$J$33:$K$43,2,0)," ")</f>
        <v xml:space="preserve"> </v>
      </c>
      <c r="U632" s="127" t="str">
        <f>CONCATENATE(S632,"-",T632)</f>
        <v xml:space="preserve">- </v>
      </c>
      <c r="V632" s="51"/>
      <c r="W632" s="125" t="str">
        <f>IFERROR(VLOOKUP(V632,TD!$N$33:$O$45,2,0)," ")</f>
        <v xml:space="preserve"> </v>
      </c>
      <c r="X632" s="127" t="str">
        <f>CONCATENATE(V632,"_",W632)</f>
        <v xml:space="preserve">_ </v>
      </c>
      <c r="Y632" s="127" t="str">
        <f>CONCATENATE(U632," ",X632)</f>
        <v xml:space="preserve">-  _ </v>
      </c>
      <c r="Z632" s="125" t="str">
        <f>CONCATENATE(P632,Q632,R632,S632,V632)</f>
        <v xml:space="preserve">   </v>
      </c>
      <c r="AA632" s="125" t="str">
        <f>IFERROR(VLOOKUP(Y632,TD!$K$46:$L$64,2,0)," ")</f>
        <v xml:space="preserve"> </v>
      </c>
      <c r="AB632" s="53"/>
      <c r="AC632" s="126"/>
    </row>
    <row r="633" spans="2:29" s="28" customFormat="1" ht="74.25" customHeight="1" x14ac:dyDescent="0.35">
      <c r="B633" s="77"/>
      <c r="C633" s="50"/>
      <c r="D633" s="123"/>
      <c r="E633" s="51"/>
      <c r="F633" s="123"/>
      <c r="G633" s="123"/>
      <c r="H633" s="97"/>
      <c r="I633" s="124"/>
      <c r="J633" s="124"/>
      <c r="K633" s="52"/>
      <c r="L633" s="53"/>
      <c r="M633" s="123"/>
      <c r="N633" s="53"/>
      <c r="O633" s="51"/>
      <c r="P633" s="125" t="str">
        <f>IFERROR(VLOOKUP(C633,TD!$B$32:$F$36,2,0)," ")</f>
        <v xml:space="preserve"> </v>
      </c>
      <c r="Q633" s="125" t="str">
        <f>IFERROR(VLOOKUP(C633,TD!$B$32:$F$36,3,0)," ")</f>
        <v xml:space="preserve"> </v>
      </c>
      <c r="R633" s="125" t="str">
        <f>IFERROR(VLOOKUP(C633,TD!$B$32:$F$36,4,0)," ")</f>
        <v xml:space="preserve"> </v>
      </c>
      <c r="S633" s="51"/>
      <c r="T633" s="125" t="str">
        <f>IFERROR(VLOOKUP(S633,TD!$J$33:$K$43,2,0)," ")</f>
        <v xml:space="preserve"> </v>
      </c>
      <c r="U633" s="127" t="str">
        <f>CONCATENATE(S633,"-",T633)</f>
        <v xml:space="preserve">- </v>
      </c>
      <c r="V633" s="51"/>
      <c r="W633" s="125" t="str">
        <f>IFERROR(VLOOKUP(V633,TD!$N$33:$O$45,2,0)," ")</f>
        <v xml:space="preserve"> </v>
      </c>
      <c r="X633" s="127" t="str">
        <f>CONCATENATE(V633,"_",W633)</f>
        <v xml:space="preserve">_ </v>
      </c>
      <c r="Y633" s="127" t="str">
        <f>CONCATENATE(U633," ",X633)</f>
        <v xml:space="preserve">-  _ </v>
      </c>
      <c r="Z633" s="125" t="str">
        <f>CONCATENATE(P633,Q633,R633,S633,V633)</f>
        <v xml:space="preserve">   </v>
      </c>
      <c r="AA633" s="125" t="str">
        <f>IFERROR(VLOOKUP(Y633,TD!$K$46:$L$64,2,0)," ")</f>
        <v xml:space="preserve"> </v>
      </c>
      <c r="AB633" s="53"/>
      <c r="AC633" s="126"/>
    </row>
    <row r="634" spans="2:29" s="28" customFormat="1" ht="74.25" customHeight="1" x14ac:dyDescent="0.35">
      <c r="B634" s="77"/>
      <c r="C634" s="50"/>
      <c r="D634" s="123"/>
      <c r="E634" s="51"/>
      <c r="F634" s="123"/>
      <c r="G634" s="123"/>
      <c r="H634" s="97"/>
      <c r="I634" s="124"/>
      <c r="J634" s="124"/>
      <c r="K634" s="52"/>
      <c r="L634" s="53"/>
      <c r="M634" s="123"/>
      <c r="N634" s="53"/>
      <c r="O634" s="51"/>
      <c r="P634" s="125" t="str">
        <f>IFERROR(VLOOKUP(C634,TD!$B$32:$F$36,2,0)," ")</f>
        <v xml:space="preserve"> </v>
      </c>
      <c r="Q634" s="125" t="str">
        <f>IFERROR(VLOOKUP(C634,TD!$B$32:$F$36,3,0)," ")</f>
        <v xml:space="preserve"> </v>
      </c>
      <c r="R634" s="125" t="str">
        <f>IFERROR(VLOOKUP(C634,TD!$B$32:$F$36,4,0)," ")</f>
        <v xml:space="preserve"> </v>
      </c>
      <c r="S634" s="51"/>
      <c r="T634" s="125" t="str">
        <f>IFERROR(VLOOKUP(S634,TD!$J$33:$K$43,2,0)," ")</f>
        <v xml:space="preserve"> </v>
      </c>
      <c r="U634" s="127" t="str">
        <f>CONCATENATE(S634,"-",T634)</f>
        <v xml:space="preserve">- </v>
      </c>
      <c r="V634" s="51"/>
      <c r="W634" s="125" t="str">
        <f>IFERROR(VLOOKUP(V634,TD!$N$33:$O$45,2,0)," ")</f>
        <v xml:space="preserve"> </v>
      </c>
      <c r="X634" s="127" t="str">
        <f>CONCATENATE(V634,"_",W634)</f>
        <v xml:space="preserve">_ </v>
      </c>
      <c r="Y634" s="127" t="str">
        <f>CONCATENATE(U634," ",X634)</f>
        <v xml:space="preserve">-  _ </v>
      </c>
      <c r="Z634" s="125" t="str">
        <f>CONCATENATE(P634,Q634,R634,S634,V634)</f>
        <v xml:space="preserve">   </v>
      </c>
      <c r="AA634" s="125" t="str">
        <f>IFERROR(VLOOKUP(Y634,TD!$K$46:$L$64,2,0)," ")</f>
        <v xml:space="preserve"> </v>
      </c>
      <c r="AB634" s="53"/>
      <c r="AC634" s="126"/>
    </row>
    <row r="635" spans="2:29" s="28" customFormat="1" ht="74.25" customHeight="1" x14ac:dyDescent="0.35">
      <c r="B635" s="77"/>
      <c r="C635" s="50"/>
      <c r="D635" s="123"/>
      <c r="E635" s="51"/>
      <c r="F635" s="123"/>
      <c r="G635" s="123"/>
      <c r="H635" s="97"/>
      <c r="I635" s="124"/>
      <c r="J635" s="124"/>
      <c r="K635" s="52"/>
      <c r="L635" s="53"/>
      <c r="M635" s="123"/>
      <c r="N635" s="53"/>
      <c r="O635" s="51"/>
      <c r="P635" s="125" t="str">
        <f>IFERROR(VLOOKUP(C635,TD!$B$32:$F$36,2,0)," ")</f>
        <v xml:space="preserve"> </v>
      </c>
      <c r="Q635" s="125" t="str">
        <f>IFERROR(VLOOKUP(C635,TD!$B$32:$F$36,3,0)," ")</f>
        <v xml:space="preserve"> </v>
      </c>
      <c r="R635" s="125" t="str">
        <f>IFERROR(VLOOKUP(C635,TD!$B$32:$F$36,4,0)," ")</f>
        <v xml:space="preserve"> </v>
      </c>
      <c r="S635" s="51"/>
      <c r="T635" s="125" t="str">
        <f>IFERROR(VLOOKUP(S635,TD!$J$33:$K$43,2,0)," ")</f>
        <v xml:space="preserve"> </v>
      </c>
      <c r="U635" s="127" t="str">
        <f>CONCATENATE(S635,"-",T635)</f>
        <v xml:space="preserve">- </v>
      </c>
      <c r="V635" s="51"/>
      <c r="W635" s="125" t="str">
        <f>IFERROR(VLOOKUP(V635,TD!$N$33:$O$45,2,0)," ")</f>
        <v xml:space="preserve"> </v>
      </c>
      <c r="X635" s="127" t="str">
        <f>CONCATENATE(V635,"_",W635)</f>
        <v xml:space="preserve">_ </v>
      </c>
      <c r="Y635" s="127" t="str">
        <f>CONCATENATE(U635," ",X635)</f>
        <v xml:space="preserve">-  _ </v>
      </c>
      <c r="Z635" s="125" t="str">
        <f>CONCATENATE(P635,Q635,R635,S635,V635)</f>
        <v xml:space="preserve">   </v>
      </c>
      <c r="AA635" s="125" t="str">
        <f>IFERROR(VLOOKUP(Y635,TD!$K$46:$L$64,2,0)," ")</f>
        <v xml:space="preserve"> </v>
      </c>
      <c r="AB635" s="53"/>
      <c r="AC635" s="126"/>
    </row>
    <row r="636" spans="2:29" s="28" customFormat="1" ht="74.25" customHeight="1" x14ac:dyDescent="0.35">
      <c r="B636" s="77"/>
      <c r="C636" s="50"/>
      <c r="D636" s="123"/>
      <c r="E636" s="51"/>
      <c r="F636" s="123"/>
      <c r="G636" s="123"/>
      <c r="H636" s="97"/>
      <c r="I636" s="124"/>
      <c r="J636" s="124"/>
      <c r="K636" s="52"/>
      <c r="L636" s="53"/>
      <c r="M636" s="123"/>
      <c r="N636" s="53"/>
      <c r="O636" s="51"/>
      <c r="P636" s="125" t="str">
        <f>IFERROR(VLOOKUP(C636,TD!$B$32:$F$36,2,0)," ")</f>
        <v xml:space="preserve"> </v>
      </c>
      <c r="Q636" s="125" t="str">
        <f>IFERROR(VLOOKUP(C636,TD!$B$32:$F$36,3,0)," ")</f>
        <v xml:space="preserve"> </v>
      </c>
      <c r="R636" s="125" t="str">
        <f>IFERROR(VLOOKUP(C636,TD!$B$32:$F$36,4,0)," ")</f>
        <v xml:space="preserve"> </v>
      </c>
      <c r="S636" s="51"/>
      <c r="T636" s="125" t="str">
        <f>IFERROR(VLOOKUP(S636,TD!$J$33:$K$43,2,0)," ")</f>
        <v xml:space="preserve"> </v>
      </c>
      <c r="U636" s="127" t="str">
        <f>CONCATENATE(S636,"-",T636)</f>
        <v xml:space="preserve">- </v>
      </c>
      <c r="V636" s="51"/>
      <c r="W636" s="125" t="str">
        <f>IFERROR(VLOOKUP(V636,TD!$N$33:$O$45,2,0)," ")</f>
        <v xml:space="preserve"> </v>
      </c>
      <c r="X636" s="127" t="str">
        <f>CONCATENATE(V636,"_",W636)</f>
        <v xml:space="preserve">_ </v>
      </c>
      <c r="Y636" s="127" t="str">
        <f>CONCATENATE(U636," ",X636)</f>
        <v xml:space="preserve">-  _ </v>
      </c>
      <c r="Z636" s="125" t="str">
        <f>CONCATENATE(P636,Q636,R636,S636,V636)</f>
        <v xml:space="preserve">   </v>
      </c>
      <c r="AA636" s="125" t="str">
        <f>IFERROR(VLOOKUP(Y636,TD!$K$46:$L$64,2,0)," ")</f>
        <v xml:space="preserve"> </v>
      </c>
      <c r="AB636" s="53"/>
      <c r="AC636" s="126"/>
    </row>
    <row r="637" spans="2:29" s="28" customFormat="1" ht="74.25" customHeight="1" x14ac:dyDescent="0.35">
      <c r="B637" s="77"/>
      <c r="C637" s="50"/>
      <c r="D637" s="123"/>
      <c r="E637" s="51"/>
      <c r="F637" s="123"/>
      <c r="G637" s="123"/>
      <c r="H637" s="97"/>
      <c r="I637" s="124"/>
      <c r="J637" s="124"/>
      <c r="K637" s="52"/>
      <c r="L637" s="53"/>
      <c r="M637" s="123"/>
      <c r="N637" s="53"/>
      <c r="O637" s="51"/>
      <c r="P637" s="125" t="str">
        <f>IFERROR(VLOOKUP(C637,TD!$B$32:$F$36,2,0)," ")</f>
        <v xml:space="preserve"> </v>
      </c>
      <c r="Q637" s="125" t="str">
        <f>IFERROR(VLOOKUP(C637,TD!$B$32:$F$36,3,0)," ")</f>
        <v xml:space="preserve"> </v>
      </c>
      <c r="R637" s="125" t="str">
        <f>IFERROR(VLOOKUP(C637,TD!$B$32:$F$36,4,0)," ")</f>
        <v xml:space="preserve"> </v>
      </c>
      <c r="S637" s="51"/>
      <c r="T637" s="125" t="str">
        <f>IFERROR(VLOOKUP(S637,TD!$J$33:$K$43,2,0)," ")</f>
        <v xml:space="preserve"> </v>
      </c>
      <c r="U637" s="127" t="str">
        <f>CONCATENATE(S637,"-",T637)</f>
        <v xml:space="preserve">- </v>
      </c>
      <c r="V637" s="51"/>
      <c r="W637" s="125" t="str">
        <f>IFERROR(VLOOKUP(V637,TD!$N$33:$O$45,2,0)," ")</f>
        <v xml:space="preserve"> </v>
      </c>
      <c r="X637" s="127" t="str">
        <f>CONCATENATE(V637,"_",W637)</f>
        <v xml:space="preserve">_ </v>
      </c>
      <c r="Y637" s="127" t="str">
        <f>CONCATENATE(U637," ",X637)</f>
        <v xml:space="preserve">-  _ </v>
      </c>
      <c r="Z637" s="125" t="str">
        <f>CONCATENATE(P637,Q637,R637,S637,V637)</f>
        <v xml:space="preserve">   </v>
      </c>
      <c r="AA637" s="125" t="str">
        <f>IFERROR(VLOOKUP(Y637,TD!$K$46:$L$64,2,0)," ")</f>
        <v xml:space="preserve"> </v>
      </c>
      <c r="AB637" s="53"/>
      <c r="AC637" s="126"/>
    </row>
    <row r="638" spans="2:29" s="28" customFormat="1" ht="74.25" customHeight="1" x14ac:dyDescent="0.35">
      <c r="B638" s="77"/>
      <c r="C638" s="50"/>
      <c r="D638" s="123"/>
      <c r="E638" s="51"/>
      <c r="F638" s="123"/>
      <c r="G638" s="123"/>
      <c r="H638" s="97"/>
      <c r="I638" s="124"/>
      <c r="J638" s="124"/>
      <c r="K638" s="52"/>
      <c r="L638" s="53"/>
      <c r="M638" s="123"/>
      <c r="N638" s="53"/>
      <c r="O638" s="51"/>
      <c r="P638" s="125" t="str">
        <f>IFERROR(VLOOKUP(C638,TD!$B$32:$F$36,2,0)," ")</f>
        <v xml:space="preserve"> </v>
      </c>
      <c r="Q638" s="125" t="str">
        <f>IFERROR(VLOOKUP(C638,TD!$B$32:$F$36,3,0)," ")</f>
        <v xml:space="preserve"> </v>
      </c>
      <c r="R638" s="125" t="str">
        <f>IFERROR(VLOOKUP(C638,TD!$B$32:$F$36,4,0)," ")</f>
        <v xml:space="preserve"> </v>
      </c>
      <c r="S638" s="51"/>
      <c r="T638" s="125" t="str">
        <f>IFERROR(VLOOKUP(S638,TD!$J$33:$K$43,2,0)," ")</f>
        <v xml:space="preserve"> </v>
      </c>
      <c r="U638" s="127" t="str">
        <f>CONCATENATE(S638,"-",T638)</f>
        <v xml:space="preserve">- </v>
      </c>
      <c r="V638" s="51"/>
      <c r="W638" s="125" t="str">
        <f>IFERROR(VLOOKUP(V638,TD!$N$33:$O$45,2,0)," ")</f>
        <v xml:space="preserve"> </v>
      </c>
      <c r="X638" s="127" t="str">
        <f>CONCATENATE(V638,"_",W638)</f>
        <v xml:space="preserve">_ </v>
      </c>
      <c r="Y638" s="127" t="str">
        <f>CONCATENATE(U638," ",X638)</f>
        <v xml:space="preserve">-  _ </v>
      </c>
      <c r="Z638" s="125" t="str">
        <f>CONCATENATE(P638,Q638,R638,S638,V638)</f>
        <v xml:space="preserve">   </v>
      </c>
      <c r="AA638" s="125" t="str">
        <f>IFERROR(VLOOKUP(Y638,TD!$K$46:$L$64,2,0)," ")</f>
        <v xml:space="preserve"> </v>
      </c>
      <c r="AB638" s="53"/>
      <c r="AC638" s="126"/>
    </row>
    <row r="639" spans="2:29" s="28" customFormat="1" ht="74.25" customHeight="1" x14ac:dyDescent="0.35">
      <c r="B639" s="77"/>
      <c r="C639" s="50"/>
      <c r="D639" s="123"/>
      <c r="E639" s="51"/>
      <c r="F639" s="123"/>
      <c r="G639" s="123"/>
      <c r="H639" s="97"/>
      <c r="I639" s="124"/>
      <c r="J639" s="124"/>
      <c r="K639" s="52"/>
      <c r="L639" s="53"/>
      <c r="M639" s="123"/>
      <c r="N639" s="53"/>
      <c r="O639" s="51"/>
      <c r="P639" s="125" t="str">
        <f>IFERROR(VLOOKUP(C639,TD!$B$32:$F$36,2,0)," ")</f>
        <v xml:space="preserve"> </v>
      </c>
      <c r="Q639" s="125" t="str">
        <f>IFERROR(VLOOKUP(C639,TD!$B$32:$F$36,3,0)," ")</f>
        <v xml:space="preserve"> </v>
      </c>
      <c r="R639" s="125" t="str">
        <f>IFERROR(VLOOKUP(C639,TD!$B$32:$F$36,4,0)," ")</f>
        <v xml:space="preserve"> </v>
      </c>
      <c r="S639" s="51"/>
      <c r="T639" s="125" t="str">
        <f>IFERROR(VLOOKUP(S639,TD!$J$33:$K$43,2,0)," ")</f>
        <v xml:space="preserve"> </v>
      </c>
      <c r="U639" s="127" t="str">
        <f>CONCATENATE(S639,"-",T639)</f>
        <v xml:space="preserve">- </v>
      </c>
      <c r="V639" s="51"/>
      <c r="W639" s="125" t="str">
        <f>IFERROR(VLOOKUP(V639,TD!$N$33:$O$45,2,0)," ")</f>
        <v xml:space="preserve"> </v>
      </c>
      <c r="X639" s="127" t="str">
        <f>CONCATENATE(V639,"_",W639)</f>
        <v xml:space="preserve">_ </v>
      </c>
      <c r="Y639" s="127" t="str">
        <f>CONCATENATE(U639," ",X639)</f>
        <v xml:space="preserve">-  _ </v>
      </c>
      <c r="Z639" s="125" t="str">
        <f>CONCATENATE(P639,Q639,R639,S639,V639)</f>
        <v xml:space="preserve">   </v>
      </c>
      <c r="AA639" s="125" t="str">
        <f>IFERROR(VLOOKUP(Y639,TD!$K$46:$L$64,2,0)," ")</f>
        <v xml:space="preserve"> </v>
      </c>
      <c r="AB639" s="53"/>
      <c r="AC639" s="126"/>
    </row>
    <row r="640" spans="2:29" s="28" customFormat="1" ht="74.25" customHeight="1" x14ac:dyDescent="0.35">
      <c r="B640" s="77"/>
      <c r="C640" s="50"/>
      <c r="D640" s="123"/>
      <c r="E640" s="51"/>
      <c r="F640" s="123"/>
      <c r="G640" s="123"/>
      <c r="H640" s="97"/>
      <c r="I640" s="124"/>
      <c r="J640" s="124"/>
      <c r="K640" s="52"/>
      <c r="L640" s="53"/>
      <c r="M640" s="123"/>
      <c r="N640" s="53"/>
      <c r="O640" s="51"/>
      <c r="P640" s="125" t="str">
        <f>IFERROR(VLOOKUP(C640,TD!$B$32:$F$36,2,0)," ")</f>
        <v xml:space="preserve"> </v>
      </c>
      <c r="Q640" s="125" t="str">
        <f>IFERROR(VLOOKUP(C640,TD!$B$32:$F$36,3,0)," ")</f>
        <v xml:space="preserve"> </v>
      </c>
      <c r="R640" s="125" t="str">
        <f>IFERROR(VLOOKUP(C640,TD!$B$32:$F$36,4,0)," ")</f>
        <v xml:space="preserve"> </v>
      </c>
      <c r="S640" s="51"/>
      <c r="T640" s="125" t="str">
        <f>IFERROR(VLOOKUP(S640,TD!$J$33:$K$43,2,0)," ")</f>
        <v xml:space="preserve"> </v>
      </c>
      <c r="U640" s="127" t="str">
        <f>CONCATENATE(S640,"-",T640)</f>
        <v xml:space="preserve">- </v>
      </c>
      <c r="V640" s="51"/>
      <c r="W640" s="125" t="str">
        <f>IFERROR(VLOOKUP(V640,TD!$N$33:$O$45,2,0)," ")</f>
        <v xml:space="preserve"> </v>
      </c>
      <c r="X640" s="127" t="str">
        <f>CONCATENATE(V640,"_",W640)</f>
        <v xml:space="preserve">_ </v>
      </c>
      <c r="Y640" s="127" t="str">
        <f>CONCATENATE(U640," ",X640)</f>
        <v xml:space="preserve">-  _ </v>
      </c>
      <c r="Z640" s="125" t="str">
        <f>CONCATENATE(P640,Q640,R640,S640,V640)</f>
        <v xml:space="preserve">   </v>
      </c>
      <c r="AA640" s="125" t="str">
        <f>IFERROR(VLOOKUP(Y640,TD!$K$46:$L$64,2,0)," ")</f>
        <v xml:space="preserve"> </v>
      </c>
      <c r="AB640" s="53"/>
      <c r="AC640" s="126"/>
    </row>
    <row r="641" spans="2:29" s="28" customFormat="1" ht="74.25" customHeight="1" x14ac:dyDescent="0.35">
      <c r="B641" s="77"/>
      <c r="C641" s="50"/>
      <c r="D641" s="123"/>
      <c r="E641" s="51"/>
      <c r="F641" s="123"/>
      <c r="G641" s="123"/>
      <c r="H641" s="97"/>
      <c r="I641" s="124"/>
      <c r="J641" s="124"/>
      <c r="K641" s="52"/>
      <c r="L641" s="53"/>
      <c r="M641" s="123"/>
      <c r="N641" s="53"/>
      <c r="O641" s="51"/>
      <c r="P641" s="125" t="str">
        <f>IFERROR(VLOOKUP(C641,TD!$B$32:$F$36,2,0)," ")</f>
        <v xml:space="preserve"> </v>
      </c>
      <c r="Q641" s="125" t="str">
        <f>IFERROR(VLOOKUP(C641,TD!$B$32:$F$36,3,0)," ")</f>
        <v xml:space="preserve"> </v>
      </c>
      <c r="R641" s="125" t="str">
        <f>IFERROR(VLOOKUP(C641,TD!$B$32:$F$36,4,0)," ")</f>
        <v xml:space="preserve"> </v>
      </c>
      <c r="S641" s="51"/>
      <c r="T641" s="125" t="str">
        <f>IFERROR(VLOOKUP(S641,TD!$J$33:$K$43,2,0)," ")</f>
        <v xml:space="preserve"> </v>
      </c>
      <c r="U641" s="127" t="str">
        <f>CONCATENATE(S641,"-",T641)</f>
        <v xml:space="preserve">- </v>
      </c>
      <c r="V641" s="51"/>
      <c r="W641" s="125" t="str">
        <f>IFERROR(VLOOKUP(V641,TD!$N$33:$O$45,2,0)," ")</f>
        <v xml:space="preserve"> </v>
      </c>
      <c r="X641" s="127" t="str">
        <f>CONCATENATE(V641,"_",W641)</f>
        <v xml:space="preserve">_ </v>
      </c>
      <c r="Y641" s="127" t="str">
        <f>CONCATENATE(U641," ",X641)</f>
        <v xml:space="preserve">-  _ </v>
      </c>
      <c r="Z641" s="125" t="str">
        <f>CONCATENATE(P641,Q641,R641,S641,V641)</f>
        <v xml:space="preserve">   </v>
      </c>
      <c r="AA641" s="125" t="str">
        <f>IFERROR(VLOOKUP(Y641,TD!$K$46:$L$64,2,0)," ")</f>
        <v xml:space="preserve"> </v>
      </c>
      <c r="AB641" s="53"/>
      <c r="AC641" s="126"/>
    </row>
    <row r="642" spans="2:29" s="28" customFormat="1" ht="74.25" customHeight="1" x14ac:dyDescent="0.35">
      <c r="B642" s="77"/>
      <c r="C642" s="50"/>
      <c r="D642" s="123"/>
      <c r="E642" s="51"/>
      <c r="F642" s="123"/>
      <c r="G642" s="123"/>
      <c r="H642" s="97"/>
      <c r="I642" s="124"/>
      <c r="J642" s="124"/>
      <c r="K642" s="52"/>
      <c r="L642" s="53"/>
      <c r="M642" s="123"/>
      <c r="N642" s="53"/>
      <c r="O642" s="51"/>
      <c r="P642" s="125" t="str">
        <f>IFERROR(VLOOKUP(C642,TD!$B$32:$F$36,2,0)," ")</f>
        <v xml:space="preserve"> </v>
      </c>
      <c r="Q642" s="125" t="str">
        <f>IFERROR(VLOOKUP(C642,TD!$B$32:$F$36,3,0)," ")</f>
        <v xml:space="preserve"> </v>
      </c>
      <c r="R642" s="125" t="str">
        <f>IFERROR(VLOOKUP(C642,TD!$B$32:$F$36,4,0)," ")</f>
        <v xml:space="preserve"> </v>
      </c>
      <c r="S642" s="51"/>
      <c r="T642" s="125" t="str">
        <f>IFERROR(VLOOKUP(S642,TD!$J$33:$K$43,2,0)," ")</f>
        <v xml:space="preserve"> </v>
      </c>
      <c r="U642" s="127" t="str">
        <f>CONCATENATE(S642,"-",T642)</f>
        <v xml:space="preserve">- </v>
      </c>
      <c r="V642" s="51"/>
      <c r="W642" s="125" t="str">
        <f>IFERROR(VLOOKUP(V642,TD!$N$33:$O$45,2,0)," ")</f>
        <v xml:space="preserve"> </v>
      </c>
      <c r="X642" s="127" t="str">
        <f>CONCATENATE(V642,"_",W642)</f>
        <v xml:space="preserve">_ </v>
      </c>
      <c r="Y642" s="127" t="str">
        <f>CONCATENATE(U642," ",X642)</f>
        <v xml:space="preserve">-  _ </v>
      </c>
      <c r="Z642" s="125" t="str">
        <f>CONCATENATE(P642,Q642,R642,S642,V642)</f>
        <v xml:space="preserve">   </v>
      </c>
      <c r="AA642" s="125" t="str">
        <f>IFERROR(VLOOKUP(Y642,TD!$K$46:$L$64,2,0)," ")</f>
        <v xml:space="preserve"> </v>
      </c>
      <c r="AB642" s="53"/>
      <c r="AC642" s="126"/>
    </row>
    <row r="643" spans="2:29" s="28" customFormat="1" ht="74.25" customHeight="1" x14ac:dyDescent="0.35">
      <c r="B643" s="77"/>
      <c r="C643" s="50"/>
      <c r="D643" s="123"/>
      <c r="E643" s="51"/>
      <c r="F643" s="123"/>
      <c r="G643" s="123"/>
      <c r="H643" s="97"/>
      <c r="I643" s="124"/>
      <c r="J643" s="124"/>
      <c r="K643" s="52"/>
      <c r="L643" s="53"/>
      <c r="M643" s="123"/>
      <c r="N643" s="53"/>
      <c r="O643" s="51"/>
      <c r="P643" s="125" t="str">
        <f>IFERROR(VLOOKUP(C643,TD!$B$32:$F$36,2,0)," ")</f>
        <v xml:space="preserve"> </v>
      </c>
      <c r="Q643" s="125" t="str">
        <f>IFERROR(VLOOKUP(C643,TD!$B$32:$F$36,3,0)," ")</f>
        <v xml:space="preserve"> </v>
      </c>
      <c r="R643" s="125" t="str">
        <f>IFERROR(VLOOKUP(C643,TD!$B$32:$F$36,4,0)," ")</f>
        <v xml:space="preserve"> </v>
      </c>
      <c r="S643" s="51"/>
      <c r="T643" s="125" t="str">
        <f>IFERROR(VLOOKUP(S643,TD!$J$33:$K$43,2,0)," ")</f>
        <v xml:space="preserve"> </v>
      </c>
      <c r="U643" s="127" t="str">
        <f>CONCATENATE(S643,"-",T643)</f>
        <v xml:space="preserve">- </v>
      </c>
      <c r="V643" s="51"/>
      <c r="W643" s="125" t="str">
        <f>IFERROR(VLOOKUP(V643,TD!$N$33:$O$45,2,0)," ")</f>
        <v xml:space="preserve"> </v>
      </c>
      <c r="X643" s="127" t="str">
        <f>CONCATENATE(V643,"_",W643)</f>
        <v xml:space="preserve">_ </v>
      </c>
      <c r="Y643" s="127" t="str">
        <f>CONCATENATE(U643," ",X643)</f>
        <v xml:space="preserve">-  _ </v>
      </c>
      <c r="Z643" s="125" t="str">
        <f>CONCATENATE(P643,Q643,R643,S643,V643)</f>
        <v xml:space="preserve">   </v>
      </c>
      <c r="AA643" s="125" t="str">
        <f>IFERROR(VLOOKUP(Y643,TD!$K$46:$L$64,2,0)," ")</f>
        <v xml:space="preserve"> </v>
      </c>
      <c r="AB643" s="53"/>
      <c r="AC643" s="126"/>
    </row>
    <row r="644" spans="2:29" s="28" customFormat="1" ht="74.25" customHeight="1" x14ac:dyDescent="0.35">
      <c r="B644" s="77"/>
      <c r="C644" s="50"/>
      <c r="D644" s="123"/>
      <c r="E644" s="51"/>
      <c r="F644" s="123"/>
      <c r="G644" s="123"/>
      <c r="H644" s="97"/>
      <c r="I644" s="124"/>
      <c r="J644" s="124"/>
      <c r="K644" s="52"/>
      <c r="L644" s="53"/>
      <c r="M644" s="123"/>
      <c r="N644" s="53"/>
      <c r="O644" s="51"/>
      <c r="P644" s="125" t="str">
        <f>IFERROR(VLOOKUP(C644,TD!$B$32:$F$36,2,0)," ")</f>
        <v xml:space="preserve"> </v>
      </c>
      <c r="Q644" s="125" t="str">
        <f>IFERROR(VLOOKUP(C644,TD!$B$32:$F$36,3,0)," ")</f>
        <v xml:space="preserve"> </v>
      </c>
      <c r="R644" s="125" t="str">
        <f>IFERROR(VLOOKUP(C644,TD!$B$32:$F$36,4,0)," ")</f>
        <v xml:space="preserve"> </v>
      </c>
      <c r="S644" s="51"/>
      <c r="T644" s="125" t="str">
        <f>IFERROR(VLOOKUP(S644,TD!$J$33:$K$43,2,0)," ")</f>
        <v xml:space="preserve"> </v>
      </c>
      <c r="U644" s="127" t="str">
        <f>CONCATENATE(S644,"-",T644)</f>
        <v xml:space="preserve">- </v>
      </c>
      <c r="V644" s="51"/>
      <c r="W644" s="125" t="str">
        <f>IFERROR(VLOOKUP(V644,TD!$N$33:$O$45,2,0)," ")</f>
        <v xml:space="preserve"> </v>
      </c>
      <c r="X644" s="127" t="str">
        <f>CONCATENATE(V644,"_",W644)</f>
        <v xml:space="preserve">_ </v>
      </c>
      <c r="Y644" s="127" t="str">
        <f>CONCATENATE(U644," ",X644)</f>
        <v xml:space="preserve">-  _ </v>
      </c>
      <c r="Z644" s="125" t="str">
        <f>CONCATENATE(P644,Q644,R644,S644,V644)</f>
        <v xml:space="preserve">   </v>
      </c>
      <c r="AA644" s="125" t="str">
        <f>IFERROR(VLOOKUP(Y644,TD!$K$46:$L$64,2,0)," ")</f>
        <v xml:space="preserve"> </v>
      </c>
      <c r="AB644" s="53"/>
      <c r="AC644" s="126"/>
    </row>
    <row r="645" spans="2:29" s="28" customFormat="1" ht="74.25" customHeight="1" x14ac:dyDescent="0.35">
      <c r="B645" s="77"/>
      <c r="C645" s="50"/>
      <c r="D645" s="123"/>
      <c r="E645" s="51"/>
      <c r="F645" s="123"/>
      <c r="G645" s="123"/>
      <c r="H645" s="97"/>
      <c r="I645" s="124"/>
      <c r="J645" s="124"/>
      <c r="K645" s="52"/>
      <c r="L645" s="53"/>
      <c r="M645" s="123"/>
      <c r="N645" s="53"/>
      <c r="O645" s="51"/>
      <c r="P645" s="125" t="str">
        <f>IFERROR(VLOOKUP(C645,TD!$B$32:$F$36,2,0)," ")</f>
        <v xml:space="preserve"> </v>
      </c>
      <c r="Q645" s="125" t="str">
        <f>IFERROR(VLOOKUP(C645,TD!$B$32:$F$36,3,0)," ")</f>
        <v xml:space="preserve"> </v>
      </c>
      <c r="R645" s="125" t="str">
        <f>IFERROR(VLOOKUP(C645,TD!$B$32:$F$36,4,0)," ")</f>
        <v xml:space="preserve"> </v>
      </c>
      <c r="S645" s="51"/>
      <c r="T645" s="125" t="str">
        <f>IFERROR(VLOOKUP(S645,TD!$J$33:$K$43,2,0)," ")</f>
        <v xml:space="preserve"> </v>
      </c>
      <c r="U645" s="127" t="str">
        <f>CONCATENATE(S645,"-",T645)</f>
        <v xml:space="preserve">- </v>
      </c>
      <c r="V645" s="51"/>
      <c r="W645" s="125" t="str">
        <f>IFERROR(VLOOKUP(V645,TD!$N$33:$O$45,2,0)," ")</f>
        <v xml:space="preserve"> </v>
      </c>
      <c r="X645" s="127" t="str">
        <f>CONCATENATE(V645,"_",W645)</f>
        <v xml:space="preserve">_ </v>
      </c>
      <c r="Y645" s="127" t="str">
        <f>CONCATENATE(U645," ",X645)</f>
        <v xml:space="preserve">-  _ </v>
      </c>
      <c r="Z645" s="125" t="str">
        <f>CONCATENATE(P645,Q645,R645,S645,V645)</f>
        <v xml:space="preserve">   </v>
      </c>
      <c r="AA645" s="125" t="str">
        <f>IFERROR(VLOOKUP(Y645,TD!$K$46:$L$64,2,0)," ")</f>
        <v xml:space="preserve"> </v>
      </c>
      <c r="AB645" s="53"/>
      <c r="AC645" s="126"/>
    </row>
    <row r="646" spans="2:29" s="28" customFormat="1" ht="74.25" customHeight="1" x14ac:dyDescent="0.35">
      <c r="B646" s="77"/>
      <c r="C646" s="50"/>
      <c r="D646" s="123"/>
      <c r="E646" s="51"/>
      <c r="F646" s="123"/>
      <c r="G646" s="123"/>
      <c r="H646" s="97"/>
      <c r="I646" s="124"/>
      <c r="J646" s="124"/>
      <c r="K646" s="52"/>
      <c r="L646" s="53"/>
      <c r="M646" s="123"/>
      <c r="N646" s="53"/>
      <c r="O646" s="51"/>
      <c r="P646" s="125" t="str">
        <f>IFERROR(VLOOKUP(C646,TD!$B$32:$F$36,2,0)," ")</f>
        <v xml:space="preserve"> </v>
      </c>
      <c r="Q646" s="125" t="str">
        <f>IFERROR(VLOOKUP(C646,TD!$B$32:$F$36,3,0)," ")</f>
        <v xml:space="preserve"> </v>
      </c>
      <c r="R646" s="125" t="str">
        <f>IFERROR(VLOOKUP(C646,TD!$B$32:$F$36,4,0)," ")</f>
        <v xml:space="preserve"> </v>
      </c>
      <c r="S646" s="51"/>
      <c r="T646" s="125" t="str">
        <f>IFERROR(VLOOKUP(S646,TD!$J$33:$K$43,2,0)," ")</f>
        <v xml:space="preserve"> </v>
      </c>
      <c r="U646" s="127" t="str">
        <f>CONCATENATE(S646,"-",T646)</f>
        <v xml:space="preserve">- </v>
      </c>
      <c r="V646" s="51"/>
      <c r="W646" s="125" t="str">
        <f>IFERROR(VLOOKUP(V646,TD!$N$33:$O$45,2,0)," ")</f>
        <v xml:space="preserve"> </v>
      </c>
      <c r="X646" s="127" t="str">
        <f>CONCATENATE(V646,"_",W646)</f>
        <v xml:space="preserve">_ </v>
      </c>
      <c r="Y646" s="127" t="str">
        <f>CONCATENATE(U646," ",X646)</f>
        <v xml:space="preserve">-  _ </v>
      </c>
      <c r="Z646" s="125" t="str">
        <f>CONCATENATE(P646,Q646,R646,S646,V646)</f>
        <v xml:space="preserve">   </v>
      </c>
      <c r="AA646" s="125" t="str">
        <f>IFERROR(VLOOKUP(Y646,TD!$K$46:$L$64,2,0)," ")</f>
        <v xml:space="preserve"> </v>
      </c>
      <c r="AB646" s="53"/>
      <c r="AC646" s="126"/>
    </row>
    <row r="647" spans="2:29" s="28" customFormat="1" ht="74.25" customHeight="1" x14ac:dyDescent="0.35">
      <c r="B647" s="77"/>
      <c r="C647" s="50"/>
      <c r="D647" s="123"/>
      <c r="E647" s="51"/>
      <c r="F647" s="123"/>
      <c r="G647" s="123"/>
      <c r="H647" s="97"/>
      <c r="I647" s="124"/>
      <c r="J647" s="124"/>
      <c r="K647" s="52"/>
      <c r="L647" s="53"/>
      <c r="M647" s="123"/>
      <c r="N647" s="53"/>
      <c r="O647" s="51"/>
      <c r="P647" s="125" t="str">
        <f>IFERROR(VLOOKUP(C647,TD!$B$32:$F$36,2,0)," ")</f>
        <v xml:space="preserve"> </v>
      </c>
      <c r="Q647" s="125" t="str">
        <f>IFERROR(VLOOKUP(C647,TD!$B$32:$F$36,3,0)," ")</f>
        <v xml:space="preserve"> </v>
      </c>
      <c r="R647" s="125" t="str">
        <f>IFERROR(VLOOKUP(C647,TD!$B$32:$F$36,4,0)," ")</f>
        <v xml:space="preserve"> </v>
      </c>
      <c r="S647" s="51"/>
      <c r="T647" s="125" t="str">
        <f>IFERROR(VLOOKUP(S647,TD!$J$33:$K$43,2,0)," ")</f>
        <v xml:space="preserve"> </v>
      </c>
      <c r="U647" s="127" t="str">
        <f>CONCATENATE(S647,"-",T647)</f>
        <v xml:space="preserve">- </v>
      </c>
      <c r="V647" s="51"/>
      <c r="W647" s="125" t="str">
        <f>IFERROR(VLOOKUP(V647,TD!$N$33:$O$45,2,0)," ")</f>
        <v xml:space="preserve"> </v>
      </c>
      <c r="X647" s="127" t="str">
        <f>CONCATENATE(V647,"_",W647)</f>
        <v xml:space="preserve">_ </v>
      </c>
      <c r="Y647" s="127" t="str">
        <f>CONCATENATE(U647," ",X647)</f>
        <v xml:space="preserve">-  _ </v>
      </c>
      <c r="Z647" s="125" t="str">
        <f>CONCATENATE(P647,Q647,R647,S647,V647)</f>
        <v xml:space="preserve">   </v>
      </c>
      <c r="AA647" s="125" t="str">
        <f>IFERROR(VLOOKUP(Y647,TD!$K$46:$L$64,2,0)," ")</f>
        <v xml:space="preserve"> </v>
      </c>
      <c r="AB647" s="53"/>
      <c r="AC647" s="126"/>
    </row>
    <row r="648" spans="2:29" s="28" customFormat="1" ht="74.25" customHeight="1" x14ac:dyDescent="0.35">
      <c r="B648" s="77"/>
      <c r="C648" s="50"/>
      <c r="D648" s="123"/>
      <c r="E648" s="51"/>
      <c r="F648" s="123"/>
      <c r="G648" s="123"/>
      <c r="H648" s="97"/>
      <c r="I648" s="124"/>
      <c r="J648" s="124"/>
      <c r="K648" s="52"/>
      <c r="L648" s="53"/>
      <c r="M648" s="123"/>
      <c r="N648" s="53"/>
      <c r="O648" s="51"/>
      <c r="P648" s="125" t="str">
        <f>IFERROR(VLOOKUP(C648,TD!$B$32:$F$36,2,0)," ")</f>
        <v xml:space="preserve"> </v>
      </c>
      <c r="Q648" s="125" t="str">
        <f>IFERROR(VLOOKUP(C648,TD!$B$32:$F$36,3,0)," ")</f>
        <v xml:space="preserve"> </v>
      </c>
      <c r="R648" s="125" t="str">
        <f>IFERROR(VLOOKUP(C648,TD!$B$32:$F$36,4,0)," ")</f>
        <v xml:space="preserve"> </v>
      </c>
      <c r="S648" s="51"/>
      <c r="T648" s="125" t="str">
        <f>IFERROR(VLOOKUP(S648,TD!$J$33:$K$43,2,0)," ")</f>
        <v xml:space="preserve"> </v>
      </c>
      <c r="U648" s="127" t="str">
        <f>CONCATENATE(S648,"-",T648)</f>
        <v xml:space="preserve">- </v>
      </c>
      <c r="V648" s="51"/>
      <c r="W648" s="125" t="str">
        <f>IFERROR(VLOOKUP(V648,TD!$N$33:$O$45,2,0)," ")</f>
        <v xml:space="preserve"> </v>
      </c>
      <c r="X648" s="127" t="str">
        <f>CONCATENATE(V648,"_",W648)</f>
        <v xml:space="preserve">_ </v>
      </c>
      <c r="Y648" s="127" t="str">
        <f>CONCATENATE(U648," ",X648)</f>
        <v xml:space="preserve">-  _ </v>
      </c>
      <c r="Z648" s="125" t="str">
        <f>CONCATENATE(P648,Q648,R648,S648,V648)</f>
        <v xml:space="preserve">   </v>
      </c>
      <c r="AA648" s="125" t="str">
        <f>IFERROR(VLOOKUP(Y648,TD!$K$46:$L$64,2,0)," ")</f>
        <v xml:space="preserve"> </v>
      </c>
      <c r="AB648" s="53"/>
      <c r="AC648" s="126"/>
    </row>
    <row r="649" spans="2:29" s="28" customFormat="1" ht="74.25" customHeight="1" x14ac:dyDescent="0.35">
      <c r="B649" s="77"/>
      <c r="C649" s="50"/>
      <c r="D649" s="123"/>
      <c r="E649" s="51"/>
      <c r="F649" s="123"/>
      <c r="G649" s="123"/>
      <c r="H649" s="97"/>
      <c r="I649" s="124"/>
      <c r="J649" s="124"/>
      <c r="K649" s="52"/>
      <c r="L649" s="53"/>
      <c r="M649" s="123"/>
      <c r="N649" s="53"/>
      <c r="O649" s="51"/>
      <c r="P649" s="125" t="str">
        <f>IFERROR(VLOOKUP(C649,TD!$B$32:$F$36,2,0)," ")</f>
        <v xml:space="preserve"> </v>
      </c>
      <c r="Q649" s="125" t="str">
        <f>IFERROR(VLOOKUP(C649,TD!$B$32:$F$36,3,0)," ")</f>
        <v xml:space="preserve"> </v>
      </c>
      <c r="R649" s="125" t="str">
        <f>IFERROR(VLOOKUP(C649,TD!$B$32:$F$36,4,0)," ")</f>
        <v xml:space="preserve"> </v>
      </c>
      <c r="S649" s="51"/>
      <c r="T649" s="125" t="str">
        <f>IFERROR(VLOOKUP(S649,TD!$J$33:$K$43,2,0)," ")</f>
        <v xml:space="preserve"> </v>
      </c>
      <c r="U649" s="127" t="str">
        <f>CONCATENATE(S649,"-",T649)</f>
        <v xml:space="preserve">- </v>
      </c>
      <c r="V649" s="51"/>
      <c r="W649" s="125" t="str">
        <f>IFERROR(VLOOKUP(V649,TD!$N$33:$O$45,2,0)," ")</f>
        <v xml:space="preserve"> </v>
      </c>
      <c r="X649" s="127" t="str">
        <f>CONCATENATE(V649,"_",W649)</f>
        <v xml:space="preserve">_ </v>
      </c>
      <c r="Y649" s="127" t="str">
        <f>CONCATENATE(U649," ",X649)</f>
        <v xml:space="preserve">-  _ </v>
      </c>
      <c r="Z649" s="125" t="str">
        <f>CONCATENATE(P649,Q649,R649,S649,V649)</f>
        <v xml:space="preserve">   </v>
      </c>
      <c r="AA649" s="125" t="str">
        <f>IFERROR(VLOOKUP(Y649,TD!$K$46:$L$64,2,0)," ")</f>
        <v xml:space="preserve"> </v>
      </c>
      <c r="AB649" s="53"/>
      <c r="AC649" s="126"/>
    </row>
    <row r="650" spans="2:29" s="28" customFormat="1" ht="74.25" customHeight="1" x14ac:dyDescent="0.35">
      <c r="B650" s="77"/>
      <c r="C650" s="50"/>
      <c r="D650" s="123"/>
      <c r="E650" s="51"/>
      <c r="F650" s="123"/>
      <c r="G650" s="123"/>
      <c r="H650" s="97"/>
      <c r="I650" s="124"/>
      <c r="J650" s="124"/>
      <c r="K650" s="52"/>
      <c r="L650" s="53"/>
      <c r="M650" s="123"/>
      <c r="N650" s="53"/>
      <c r="O650" s="51"/>
      <c r="P650" s="125" t="str">
        <f>IFERROR(VLOOKUP(C650,TD!$B$32:$F$36,2,0)," ")</f>
        <v xml:space="preserve"> </v>
      </c>
      <c r="Q650" s="125" t="str">
        <f>IFERROR(VLOOKUP(C650,TD!$B$32:$F$36,3,0)," ")</f>
        <v xml:space="preserve"> </v>
      </c>
      <c r="R650" s="125" t="str">
        <f>IFERROR(VLOOKUP(C650,TD!$B$32:$F$36,4,0)," ")</f>
        <v xml:space="preserve"> </v>
      </c>
      <c r="S650" s="51"/>
      <c r="T650" s="125" t="str">
        <f>IFERROR(VLOOKUP(S650,TD!$J$33:$K$43,2,0)," ")</f>
        <v xml:space="preserve"> </v>
      </c>
      <c r="U650" s="127" t="str">
        <f>CONCATENATE(S650,"-",T650)</f>
        <v xml:space="preserve">- </v>
      </c>
      <c r="V650" s="51"/>
      <c r="W650" s="125" t="str">
        <f>IFERROR(VLOOKUP(V650,TD!$N$33:$O$45,2,0)," ")</f>
        <v xml:space="preserve"> </v>
      </c>
      <c r="X650" s="127" t="str">
        <f>CONCATENATE(V650,"_",W650)</f>
        <v xml:space="preserve">_ </v>
      </c>
      <c r="Y650" s="127" t="str">
        <f>CONCATENATE(U650," ",X650)</f>
        <v xml:space="preserve">-  _ </v>
      </c>
      <c r="Z650" s="125" t="str">
        <f>CONCATENATE(P650,Q650,R650,S650,V650)</f>
        <v xml:space="preserve">   </v>
      </c>
      <c r="AA650" s="125" t="str">
        <f>IFERROR(VLOOKUP(Y650,TD!$K$46:$L$64,2,0)," ")</f>
        <v xml:space="preserve"> </v>
      </c>
      <c r="AB650" s="53"/>
      <c r="AC650" s="126"/>
    </row>
    <row r="651" spans="2:29" s="28" customFormat="1" ht="74.25" customHeight="1" x14ac:dyDescent="0.35">
      <c r="B651" s="77"/>
      <c r="C651" s="50"/>
      <c r="D651" s="123"/>
      <c r="E651" s="51"/>
      <c r="F651" s="50"/>
      <c r="G651" s="123"/>
      <c r="H651" s="97"/>
      <c r="I651" s="124"/>
      <c r="J651" s="124"/>
      <c r="K651" s="52"/>
      <c r="L651" s="53"/>
      <c r="M651" s="123"/>
      <c r="N651" s="53"/>
      <c r="O651" s="51"/>
      <c r="P651" s="125" t="str">
        <f>IFERROR(VLOOKUP(C651,TD!$B$32:$F$36,2,0)," ")</f>
        <v xml:space="preserve"> </v>
      </c>
      <c r="Q651" s="125" t="str">
        <f>IFERROR(VLOOKUP(C651,TD!$B$32:$F$36,3,0)," ")</f>
        <v xml:space="preserve"> </v>
      </c>
      <c r="R651" s="125" t="str">
        <f>IFERROR(VLOOKUP(C651,TD!$B$32:$F$36,4,0)," ")</f>
        <v xml:space="preserve"> </v>
      </c>
      <c r="S651" s="51"/>
      <c r="T651" s="125" t="str">
        <f>IFERROR(VLOOKUP(S651,TD!$J$33:$K$43,2,0)," ")</f>
        <v xml:space="preserve"> </v>
      </c>
      <c r="U651" s="127" t="str">
        <f>CONCATENATE(S651,"-",T651)</f>
        <v xml:space="preserve">- </v>
      </c>
      <c r="V651" s="51"/>
      <c r="W651" s="125" t="str">
        <f>IFERROR(VLOOKUP(V651,TD!$N$33:$O$45,2,0)," ")</f>
        <v xml:space="preserve"> </v>
      </c>
      <c r="X651" s="127" t="str">
        <f>CONCATENATE(V651,"_",W651)</f>
        <v xml:space="preserve">_ </v>
      </c>
      <c r="Y651" s="127" t="str">
        <f>CONCATENATE(U651," ",X651)</f>
        <v xml:space="preserve">-  _ </v>
      </c>
      <c r="Z651" s="125" t="str">
        <f>CONCATENATE(P651,Q651,R651,S651,V651)</f>
        <v xml:space="preserve">   </v>
      </c>
      <c r="AA651" s="125" t="str">
        <f>IFERROR(VLOOKUP(Y651,TD!$K$46:$L$64,2,0)," ")</f>
        <v xml:space="preserve"> </v>
      </c>
      <c r="AB651" s="53"/>
      <c r="AC651" s="126"/>
    </row>
    <row r="652" spans="2:29" s="28" customFormat="1" ht="74.25" customHeight="1" x14ac:dyDescent="0.35">
      <c r="B652" s="77"/>
      <c r="C652" s="50"/>
      <c r="D652" s="123"/>
      <c r="E652" s="51"/>
      <c r="F652" s="123"/>
      <c r="G652" s="123"/>
      <c r="H652" s="97"/>
      <c r="I652" s="124"/>
      <c r="J652" s="124"/>
      <c r="K652" s="52"/>
      <c r="L652" s="53"/>
      <c r="M652" s="123"/>
      <c r="N652" s="53"/>
      <c r="O652" s="51"/>
      <c r="P652" s="125" t="str">
        <f>IFERROR(VLOOKUP(C652,TD!$B$32:$F$36,2,0)," ")</f>
        <v xml:space="preserve"> </v>
      </c>
      <c r="Q652" s="125" t="str">
        <f>IFERROR(VLOOKUP(C652,TD!$B$32:$F$36,3,0)," ")</f>
        <v xml:space="preserve"> </v>
      </c>
      <c r="R652" s="125" t="str">
        <f>IFERROR(VLOOKUP(C652,TD!$B$32:$F$36,4,0)," ")</f>
        <v xml:space="preserve"> </v>
      </c>
      <c r="S652" s="51"/>
      <c r="T652" s="125" t="str">
        <f>IFERROR(VLOOKUP(S652,TD!$J$33:$K$43,2,0)," ")</f>
        <v xml:space="preserve"> </v>
      </c>
      <c r="U652" s="127" t="str">
        <f>CONCATENATE(S652,"-",T652)</f>
        <v xml:space="preserve">- </v>
      </c>
      <c r="V652" s="51"/>
      <c r="W652" s="125" t="str">
        <f>IFERROR(VLOOKUP(V652,TD!$N$33:$O$45,2,0)," ")</f>
        <v xml:space="preserve"> </v>
      </c>
      <c r="X652" s="127" t="str">
        <f>CONCATENATE(V652,"_",W652)</f>
        <v xml:space="preserve">_ </v>
      </c>
      <c r="Y652" s="127" t="str">
        <f>CONCATENATE(U652," ",X652)</f>
        <v xml:space="preserve">-  _ </v>
      </c>
      <c r="Z652" s="125" t="str">
        <f>CONCATENATE(P652,Q652,R652,S652,V652)</f>
        <v xml:space="preserve">   </v>
      </c>
      <c r="AA652" s="125" t="str">
        <f>IFERROR(VLOOKUP(Y652,TD!$K$46:$L$64,2,0)," ")</f>
        <v xml:space="preserve"> </v>
      </c>
      <c r="AB652" s="53"/>
      <c r="AC652" s="126"/>
    </row>
    <row r="653" spans="2:29" s="28" customFormat="1" ht="74.25" customHeight="1" x14ac:dyDescent="0.35">
      <c r="B653" s="77"/>
      <c r="C653" s="50"/>
      <c r="D653" s="123"/>
      <c r="E653" s="51"/>
      <c r="F653" s="123"/>
      <c r="G653" s="123"/>
      <c r="H653" s="97"/>
      <c r="I653" s="124"/>
      <c r="J653" s="124"/>
      <c r="K653" s="52"/>
      <c r="L653" s="53"/>
      <c r="M653" s="123"/>
      <c r="N653" s="53"/>
      <c r="O653" s="51"/>
      <c r="P653" s="125" t="str">
        <f>IFERROR(VLOOKUP(C653,TD!$B$32:$F$36,2,0)," ")</f>
        <v xml:space="preserve"> </v>
      </c>
      <c r="Q653" s="125" t="str">
        <f>IFERROR(VLOOKUP(C653,TD!$B$32:$F$36,3,0)," ")</f>
        <v xml:space="preserve"> </v>
      </c>
      <c r="R653" s="125" t="str">
        <f>IFERROR(VLOOKUP(C653,TD!$B$32:$F$36,4,0)," ")</f>
        <v xml:space="preserve"> </v>
      </c>
      <c r="S653" s="51"/>
      <c r="T653" s="125" t="str">
        <f>IFERROR(VLOOKUP(S653,TD!$J$33:$K$43,2,0)," ")</f>
        <v xml:space="preserve"> </v>
      </c>
      <c r="U653" s="127" t="str">
        <f>CONCATENATE(S653,"-",T653)</f>
        <v xml:space="preserve">- </v>
      </c>
      <c r="V653" s="51"/>
      <c r="W653" s="125" t="str">
        <f>IFERROR(VLOOKUP(V653,TD!$N$33:$O$45,2,0)," ")</f>
        <v xml:space="preserve"> </v>
      </c>
      <c r="X653" s="127" t="str">
        <f>CONCATENATE(V653,"_",W653)</f>
        <v xml:space="preserve">_ </v>
      </c>
      <c r="Y653" s="127" t="str">
        <f>CONCATENATE(U653," ",X653)</f>
        <v xml:space="preserve">-  _ </v>
      </c>
      <c r="Z653" s="125" t="str">
        <f>CONCATENATE(P653,Q653,R653,S653,V653)</f>
        <v xml:space="preserve">   </v>
      </c>
      <c r="AA653" s="125" t="str">
        <f>IFERROR(VLOOKUP(Y653,TD!$K$46:$L$64,2,0)," ")</f>
        <v xml:space="preserve"> </v>
      </c>
      <c r="AB653" s="53"/>
      <c r="AC653" s="126"/>
    </row>
    <row r="654" spans="2:29" s="28" customFormat="1" ht="74.25" customHeight="1" x14ac:dyDescent="0.35">
      <c r="B654" s="77"/>
      <c r="C654" s="50"/>
      <c r="D654" s="123"/>
      <c r="E654" s="51"/>
      <c r="F654" s="123"/>
      <c r="G654" s="123"/>
      <c r="H654" s="97"/>
      <c r="I654" s="124"/>
      <c r="J654" s="124"/>
      <c r="K654" s="52"/>
      <c r="L654" s="53"/>
      <c r="M654" s="123"/>
      <c r="N654" s="53"/>
      <c r="O654" s="51"/>
      <c r="P654" s="125" t="str">
        <f>IFERROR(VLOOKUP(C654,TD!$B$32:$F$36,2,0)," ")</f>
        <v xml:space="preserve"> </v>
      </c>
      <c r="Q654" s="125" t="str">
        <f>IFERROR(VLOOKUP(C654,TD!$B$32:$F$36,3,0)," ")</f>
        <v xml:space="preserve"> </v>
      </c>
      <c r="R654" s="125" t="str">
        <f>IFERROR(VLOOKUP(C654,TD!$B$32:$F$36,4,0)," ")</f>
        <v xml:space="preserve"> </v>
      </c>
      <c r="S654" s="51"/>
      <c r="T654" s="125" t="str">
        <f>IFERROR(VLOOKUP(S654,TD!$J$33:$K$43,2,0)," ")</f>
        <v xml:space="preserve"> </v>
      </c>
      <c r="U654" s="127" t="str">
        <f>CONCATENATE(S654,"-",T654)</f>
        <v xml:space="preserve">- </v>
      </c>
      <c r="V654" s="51"/>
      <c r="W654" s="125" t="str">
        <f>IFERROR(VLOOKUP(V654,TD!$N$33:$O$45,2,0)," ")</f>
        <v xml:space="preserve"> </v>
      </c>
      <c r="X654" s="127" t="str">
        <f>CONCATENATE(V654,"_",W654)</f>
        <v xml:space="preserve">_ </v>
      </c>
      <c r="Y654" s="127" t="str">
        <f>CONCATENATE(U654," ",X654)</f>
        <v xml:space="preserve">-  _ </v>
      </c>
      <c r="Z654" s="125" t="str">
        <f>CONCATENATE(P654,Q654,R654,S654,V654)</f>
        <v xml:space="preserve">   </v>
      </c>
      <c r="AA654" s="125" t="str">
        <f>IFERROR(VLOOKUP(Y654,TD!$K$46:$L$64,2,0)," ")</f>
        <v xml:space="preserve"> </v>
      </c>
      <c r="AB654" s="53"/>
      <c r="AC654" s="126"/>
    </row>
    <row r="655" spans="2:29" s="28" customFormat="1" ht="74.25" customHeight="1" x14ac:dyDescent="0.35">
      <c r="B655" s="77"/>
      <c r="C655" s="50"/>
      <c r="D655" s="123"/>
      <c r="E655" s="51"/>
      <c r="F655" s="123"/>
      <c r="G655" s="123"/>
      <c r="H655" s="97"/>
      <c r="I655" s="124"/>
      <c r="J655" s="124"/>
      <c r="K655" s="52"/>
      <c r="L655" s="53"/>
      <c r="M655" s="123"/>
      <c r="N655" s="53"/>
      <c r="O655" s="51"/>
      <c r="P655" s="125" t="str">
        <f>IFERROR(VLOOKUP(C655,TD!$B$32:$F$36,2,0)," ")</f>
        <v xml:space="preserve"> </v>
      </c>
      <c r="Q655" s="125" t="str">
        <f>IFERROR(VLOOKUP(C655,TD!$B$32:$F$36,3,0)," ")</f>
        <v xml:space="preserve"> </v>
      </c>
      <c r="R655" s="125" t="str">
        <f>IFERROR(VLOOKUP(C655,TD!$B$32:$F$36,4,0)," ")</f>
        <v xml:space="preserve"> </v>
      </c>
      <c r="S655" s="51"/>
      <c r="T655" s="125" t="str">
        <f>IFERROR(VLOOKUP(S655,TD!$J$33:$K$43,2,0)," ")</f>
        <v xml:space="preserve"> </v>
      </c>
      <c r="U655" s="127" t="str">
        <f>CONCATENATE(S655,"-",T655)</f>
        <v xml:space="preserve">- </v>
      </c>
      <c r="V655" s="51"/>
      <c r="W655" s="125" t="str">
        <f>IFERROR(VLOOKUP(V655,TD!$N$33:$O$45,2,0)," ")</f>
        <v xml:space="preserve"> </v>
      </c>
      <c r="X655" s="127" t="str">
        <f>CONCATENATE(V655,"_",W655)</f>
        <v xml:space="preserve">_ </v>
      </c>
      <c r="Y655" s="127" t="str">
        <f>CONCATENATE(U655," ",X655)</f>
        <v xml:space="preserve">-  _ </v>
      </c>
      <c r="Z655" s="125" t="str">
        <f>CONCATENATE(P655,Q655,R655,S655,V655)</f>
        <v xml:space="preserve">   </v>
      </c>
      <c r="AA655" s="125" t="str">
        <f>IFERROR(VLOOKUP(Y655,TD!$K$46:$L$64,2,0)," ")</f>
        <v xml:space="preserve"> </v>
      </c>
      <c r="AB655" s="53"/>
      <c r="AC655" s="126"/>
    </row>
    <row r="656" spans="2:29" s="28" customFormat="1" ht="74.25" customHeight="1" x14ac:dyDescent="0.35">
      <c r="B656" s="77"/>
      <c r="C656" s="50"/>
      <c r="D656" s="123"/>
      <c r="E656" s="51"/>
      <c r="F656" s="123"/>
      <c r="G656" s="123"/>
      <c r="H656" s="97"/>
      <c r="I656" s="124"/>
      <c r="J656" s="124"/>
      <c r="K656" s="52"/>
      <c r="L656" s="53"/>
      <c r="M656" s="123"/>
      <c r="N656" s="53"/>
      <c r="O656" s="51"/>
      <c r="P656" s="125" t="str">
        <f>IFERROR(VLOOKUP(C656,TD!$B$32:$F$36,2,0)," ")</f>
        <v xml:space="preserve"> </v>
      </c>
      <c r="Q656" s="125" t="str">
        <f>IFERROR(VLOOKUP(C656,TD!$B$32:$F$36,3,0)," ")</f>
        <v xml:space="preserve"> </v>
      </c>
      <c r="R656" s="125" t="str">
        <f>IFERROR(VLOOKUP(C656,TD!$B$32:$F$36,4,0)," ")</f>
        <v xml:space="preserve"> </v>
      </c>
      <c r="S656" s="51"/>
      <c r="T656" s="125" t="str">
        <f>IFERROR(VLOOKUP(S656,TD!$J$33:$K$43,2,0)," ")</f>
        <v xml:space="preserve"> </v>
      </c>
      <c r="U656" s="127" t="str">
        <f>CONCATENATE(S656,"-",T656)</f>
        <v xml:space="preserve">- </v>
      </c>
      <c r="V656" s="51"/>
      <c r="W656" s="125" t="str">
        <f>IFERROR(VLOOKUP(V656,TD!$N$33:$O$45,2,0)," ")</f>
        <v xml:space="preserve"> </v>
      </c>
      <c r="X656" s="127" t="str">
        <f>CONCATENATE(V656,"_",W656)</f>
        <v xml:space="preserve">_ </v>
      </c>
      <c r="Y656" s="127" t="str">
        <f>CONCATENATE(U656," ",X656)</f>
        <v xml:space="preserve">-  _ </v>
      </c>
      <c r="Z656" s="125" t="str">
        <f>CONCATENATE(P656,Q656,R656,S656,V656)</f>
        <v xml:space="preserve">   </v>
      </c>
      <c r="AA656" s="125" t="str">
        <f>IFERROR(VLOOKUP(Y656,TD!$K$46:$L$64,2,0)," ")</f>
        <v xml:space="preserve"> </v>
      </c>
      <c r="AB656" s="53"/>
      <c r="AC656" s="126"/>
    </row>
    <row r="657" spans="2:29" s="28" customFormat="1" ht="74.25" customHeight="1" x14ac:dyDescent="0.35">
      <c r="B657" s="77"/>
      <c r="C657" s="50"/>
      <c r="D657" s="123"/>
      <c r="E657" s="51"/>
      <c r="F657" s="123"/>
      <c r="G657" s="123"/>
      <c r="H657" s="97"/>
      <c r="I657" s="124"/>
      <c r="J657" s="124"/>
      <c r="K657" s="52"/>
      <c r="L657" s="53"/>
      <c r="M657" s="123"/>
      <c r="N657" s="53"/>
      <c r="O657" s="51"/>
      <c r="P657" s="125" t="str">
        <f>IFERROR(VLOOKUP(C657,TD!$B$32:$F$36,2,0)," ")</f>
        <v xml:space="preserve"> </v>
      </c>
      <c r="Q657" s="125" t="str">
        <f>IFERROR(VLOOKUP(C657,TD!$B$32:$F$36,3,0)," ")</f>
        <v xml:space="preserve"> </v>
      </c>
      <c r="R657" s="125" t="str">
        <f>IFERROR(VLOOKUP(C657,TD!$B$32:$F$36,4,0)," ")</f>
        <v xml:space="preserve"> </v>
      </c>
      <c r="S657" s="51"/>
      <c r="T657" s="125" t="str">
        <f>IFERROR(VLOOKUP(S657,TD!$J$33:$K$43,2,0)," ")</f>
        <v xml:space="preserve"> </v>
      </c>
      <c r="U657" s="127" t="str">
        <f>CONCATENATE(S657,"-",T657)</f>
        <v xml:space="preserve">- </v>
      </c>
      <c r="V657" s="51"/>
      <c r="W657" s="125" t="str">
        <f>IFERROR(VLOOKUP(V657,TD!$N$33:$O$45,2,0)," ")</f>
        <v xml:space="preserve"> </v>
      </c>
      <c r="X657" s="127" t="str">
        <f>CONCATENATE(V657,"_",W657)</f>
        <v xml:space="preserve">_ </v>
      </c>
      <c r="Y657" s="127" t="str">
        <f>CONCATENATE(U657," ",X657)</f>
        <v xml:space="preserve">-  _ </v>
      </c>
      <c r="Z657" s="125" t="str">
        <f>CONCATENATE(P657,Q657,R657,S657,V657)</f>
        <v xml:space="preserve">   </v>
      </c>
      <c r="AA657" s="125" t="str">
        <f>IFERROR(VLOOKUP(Y657,TD!$K$46:$L$64,2,0)," ")</f>
        <v xml:space="preserve"> </v>
      </c>
      <c r="AB657" s="53"/>
      <c r="AC657" s="126"/>
    </row>
    <row r="658" spans="2:29" s="28" customFormat="1" ht="74.25" customHeight="1" x14ac:dyDescent="0.35">
      <c r="B658" s="77"/>
      <c r="C658" s="50"/>
      <c r="D658" s="123"/>
      <c r="E658" s="51"/>
      <c r="F658" s="123"/>
      <c r="G658" s="123"/>
      <c r="H658" s="97"/>
      <c r="I658" s="124"/>
      <c r="J658" s="124"/>
      <c r="K658" s="52"/>
      <c r="L658" s="53"/>
      <c r="M658" s="123"/>
      <c r="N658" s="53"/>
      <c r="O658" s="51"/>
      <c r="P658" s="125" t="str">
        <f>IFERROR(VLOOKUP(C658,TD!$B$32:$F$36,2,0)," ")</f>
        <v xml:space="preserve"> </v>
      </c>
      <c r="Q658" s="125" t="str">
        <f>IFERROR(VLOOKUP(C658,TD!$B$32:$F$36,3,0)," ")</f>
        <v xml:space="preserve"> </v>
      </c>
      <c r="R658" s="125" t="str">
        <f>IFERROR(VLOOKUP(C658,TD!$B$32:$F$36,4,0)," ")</f>
        <v xml:space="preserve"> </v>
      </c>
      <c r="S658" s="51"/>
      <c r="T658" s="125" t="str">
        <f>IFERROR(VLOOKUP(S658,TD!$J$33:$K$43,2,0)," ")</f>
        <v xml:space="preserve"> </v>
      </c>
      <c r="U658" s="127" t="str">
        <f>CONCATENATE(S658,"-",T658)</f>
        <v xml:space="preserve">- </v>
      </c>
      <c r="V658" s="51"/>
      <c r="W658" s="125" t="str">
        <f>IFERROR(VLOOKUP(V658,TD!$N$33:$O$45,2,0)," ")</f>
        <v xml:space="preserve"> </v>
      </c>
      <c r="X658" s="127" t="str">
        <f>CONCATENATE(V658,"_",W658)</f>
        <v xml:space="preserve">_ </v>
      </c>
      <c r="Y658" s="127" t="str">
        <f>CONCATENATE(U658," ",X658)</f>
        <v xml:space="preserve">-  _ </v>
      </c>
      <c r="Z658" s="125" t="str">
        <f>CONCATENATE(P658,Q658,R658,S658,V658)</f>
        <v xml:space="preserve">   </v>
      </c>
      <c r="AA658" s="125" t="str">
        <f>IFERROR(VLOOKUP(Y658,TD!$K$46:$L$64,2,0)," ")</f>
        <v xml:space="preserve"> </v>
      </c>
      <c r="AB658" s="53"/>
      <c r="AC658" s="126"/>
    </row>
    <row r="659" spans="2:29" s="28" customFormat="1" ht="74.25" customHeight="1" x14ac:dyDescent="0.35">
      <c r="B659" s="77"/>
      <c r="C659" s="50"/>
      <c r="D659" s="123"/>
      <c r="E659" s="51"/>
      <c r="F659" s="123"/>
      <c r="G659" s="123"/>
      <c r="H659" s="97"/>
      <c r="I659" s="124"/>
      <c r="J659" s="124"/>
      <c r="K659" s="52"/>
      <c r="L659" s="53"/>
      <c r="M659" s="123"/>
      <c r="N659" s="53"/>
      <c r="O659" s="51"/>
      <c r="P659" s="125" t="str">
        <f>IFERROR(VLOOKUP(C659,TD!$B$32:$F$36,2,0)," ")</f>
        <v xml:space="preserve"> </v>
      </c>
      <c r="Q659" s="125" t="str">
        <f>IFERROR(VLOOKUP(C659,TD!$B$32:$F$36,3,0)," ")</f>
        <v xml:space="preserve"> </v>
      </c>
      <c r="R659" s="125" t="str">
        <f>IFERROR(VLOOKUP(C659,TD!$B$32:$F$36,4,0)," ")</f>
        <v xml:space="preserve"> </v>
      </c>
      <c r="S659" s="51"/>
      <c r="T659" s="125" t="str">
        <f>IFERROR(VLOOKUP(S659,TD!$J$33:$K$43,2,0)," ")</f>
        <v xml:space="preserve"> </v>
      </c>
      <c r="U659" s="127" t="str">
        <f>CONCATENATE(S659,"-",T659)</f>
        <v xml:space="preserve">- </v>
      </c>
      <c r="V659" s="51"/>
      <c r="W659" s="125" t="str">
        <f>IFERROR(VLOOKUP(V659,TD!$N$33:$O$45,2,0)," ")</f>
        <v xml:space="preserve"> </v>
      </c>
      <c r="X659" s="127" t="str">
        <f>CONCATENATE(V659,"_",W659)</f>
        <v xml:space="preserve">_ </v>
      </c>
      <c r="Y659" s="127" t="str">
        <f>CONCATENATE(U659," ",X659)</f>
        <v xml:space="preserve">-  _ </v>
      </c>
      <c r="Z659" s="125" t="str">
        <f>CONCATENATE(P659,Q659,R659,S659,V659)</f>
        <v xml:space="preserve">   </v>
      </c>
      <c r="AA659" s="125" t="str">
        <f>IFERROR(VLOOKUP(Y659,TD!$K$46:$L$64,2,0)," ")</f>
        <v xml:space="preserve"> </v>
      </c>
      <c r="AB659" s="53"/>
      <c r="AC659" s="126"/>
    </row>
    <row r="660" spans="2:29" s="28" customFormat="1" ht="74.25" customHeight="1" x14ac:dyDescent="0.35">
      <c r="B660" s="77"/>
      <c r="C660" s="50"/>
      <c r="D660" s="123"/>
      <c r="E660" s="51"/>
      <c r="F660" s="123"/>
      <c r="G660" s="123"/>
      <c r="H660" s="97"/>
      <c r="I660" s="124"/>
      <c r="J660" s="124"/>
      <c r="K660" s="52"/>
      <c r="L660" s="53"/>
      <c r="M660" s="123"/>
      <c r="N660" s="53"/>
      <c r="O660" s="51"/>
      <c r="P660" s="125" t="str">
        <f>IFERROR(VLOOKUP(C660,TD!$B$32:$F$36,2,0)," ")</f>
        <v xml:space="preserve"> </v>
      </c>
      <c r="Q660" s="125" t="str">
        <f>IFERROR(VLOOKUP(C660,TD!$B$32:$F$36,3,0)," ")</f>
        <v xml:space="preserve"> </v>
      </c>
      <c r="R660" s="125" t="str">
        <f>IFERROR(VLOOKUP(C660,TD!$B$32:$F$36,4,0)," ")</f>
        <v xml:space="preserve"> </v>
      </c>
      <c r="S660" s="51"/>
      <c r="T660" s="125" t="str">
        <f>IFERROR(VLOOKUP(S660,TD!$J$33:$K$43,2,0)," ")</f>
        <v xml:space="preserve"> </v>
      </c>
      <c r="U660" s="127" t="str">
        <f>CONCATENATE(S660,"-",T660)</f>
        <v xml:space="preserve">- </v>
      </c>
      <c r="V660" s="51"/>
      <c r="W660" s="125" t="str">
        <f>IFERROR(VLOOKUP(V660,TD!$N$33:$O$45,2,0)," ")</f>
        <v xml:space="preserve"> </v>
      </c>
      <c r="X660" s="127" t="str">
        <f>CONCATENATE(V660,"_",W660)</f>
        <v xml:space="preserve">_ </v>
      </c>
      <c r="Y660" s="127" t="str">
        <f>CONCATENATE(U660," ",X660)</f>
        <v xml:space="preserve">-  _ </v>
      </c>
      <c r="Z660" s="125" t="str">
        <f>CONCATENATE(P660,Q660,R660,S660,V660)</f>
        <v xml:space="preserve">   </v>
      </c>
      <c r="AA660" s="125" t="str">
        <f>IFERROR(VLOOKUP(Y660,TD!$K$46:$L$64,2,0)," ")</f>
        <v xml:space="preserve"> </v>
      </c>
      <c r="AB660" s="53"/>
      <c r="AC660" s="126"/>
    </row>
    <row r="661" spans="2:29" s="28" customFormat="1" ht="74.25" customHeight="1" x14ac:dyDescent="0.35">
      <c r="B661" s="77"/>
      <c r="C661" s="50"/>
      <c r="D661" s="123"/>
      <c r="E661" s="51"/>
      <c r="F661" s="123"/>
      <c r="G661" s="123"/>
      <c r="H661" s="97"/>
      <c r="I661" s="124"/>
      <c r="J661" s="124"/>
      <c r="K661" s="52"/>
      <c r="L661" s="53"/>
      <c r="M661" s="123"/>
      <c r="N661" s="53"/>
      <c r="O661" s="51"/>
      <c r="P661" s="125" t="str">
        <f>IFERROR(VLOOKUP(C661,TD!$B$32:$F$36,2,0)," ")</f>
        <v xml:space="preserve"> </v>
      </c>
      <c r="Q661" s="125" t="str">
        <f>IFERROR(VLOOKUP(C661,TD!$B$32:$F$36,3,0)," ")</f>
        <v xml:space="preserve"> </v>
      </c>
      <c r="R661" s="125" t="str">
        <f>IFERROR(VLOOKUP(C661,TD!$B$32:$F$36,4,0)," ")</f>
        <v xml:space="preserve"> </v>
      </c>
      <c r="S661" s="51"/>
      <c r="T661" s="125" t="str">
        <f>IFERROR(VLOOKUP(S661,TD!$J$33:$K$43,2,0)," ")</f>
        <v xml:space="preserve"> </v>
      </c>
      <c r="U661" s="127" t="str">
        <f>CONCATENATE(S661,"-",T661)</f>
        <v xml:space="preserve">- </v>
      </c>
      <c r="V661" s="51"/>
      <c r="W661" s="125" t="str">
        <f>IFERROR(VLOOKUP(V661,TD!$N$33:$O$45,2,0)," ")</f>
        <v xml:space="preserve"> </v>
      </c>
      <c r="X661" s="127" t="str">
        <f>CONCATENATE(V661,"_",W661)</f>
        <v xml:space="preserve">_ </v>
      </c>
      <c r="Y661" s="127" t="str">
        <f>CONCATENATE(U661," ",X661)</f>
        <v xml:space="preserve">-  _ </v>
      </c>
      <c r="Z661" s="125" t="str">
        <f>CONCATENATE(P661,Q661,R661,S661,V661)</f>
        <v xml:space="preserve">   </v>
      </c>
      <c r="AA661" s="125" t="str">
        <f>IFERROR(VLOOKUP(Y661,TD!$K$46:$L$64,2,0)," ")</f>
        <v xml:space="preserve"> </v>
      </c>
      <c r="AB661" s="53"/>
      <c r="AC661" s="126"/>
    </row>
    <row r="662" spans="2:29" s="28" customFormat="1" ht="74.25" customHeight="1" x14ac:dyDescent="0.35">
      <c r="B662" s="77"/>
      <c r="C662" s="50"/>
      <c r="D662" s="123"/>
      <c r="E662" s="51"/>
      <c r="F662" s="123"/>
      <c r="G662" s="123"/>
      <c r="H662" s="97"/>
      <c r="I662" s="124"/>
      <c r="J662" s="124"/>
      <c r="K662" s="52"/>
      <c r="L662" s="53"/>
      <c r="M662" s="123"/>
      <c r="N662" s="53"/>
      <c r="O662" s="51"/>
      <c r="P662" s="125" t="str">
        <f>IFERROR(VLOOKUP(C662,TD!$B$32:$F$36,2,0)," ")</f>
        <v xml:space="preserve"> </v>
      </c>
      <c r="Q662" s="125" t="str">
        <f>IFERROR(VLOOKUP(C662,TD!$B$32:$F$36,3,0)," ")</f>
        <v xml:space="preserve"> </v>
      </c>
      <c r="R662" s="125" t="str">
        <f>IFERROR(VLOOKUP(C662,TD!$B$32:$F$36,4,0)," ")</f>
        <v xml:space="preserve"> </v>
      </c>
      <c r="S662" s="51"/>
      <c r="T662" s="125" t="str">
        <f>IFERROR(VLOOKUP(S662,TD!$J$33:$K$43,2,0)," ")</f>
        <v xml:space="preserve"> </v>
      </c>
      <c r="U662" s="127" t="str">
        <f>CONCATENATE(S662,"-",T662)</f>
        <v xml:space="preserve">- </v>
      </c>
      <c r="V662" s="51"/>
      <c r="W662" s="125" t="str">
        <f>IFERROR(VLOOKUP(V662,TD!$N$33:$O$45,2,0)," ")</f>
        <v xml:space="preserve"> </v>
      </c>
      <c r="X662" s="127" t="str">
        <f>CONCATENATE(V662,"_",W662)</f>
        <v xml:space="preserve">_ </v>
      </c>
      <c r="Y662" s="127" t="str">
        <f>CONCATENATE(U662," ",X662)</f>
        <v xml:space="preserve">-  _ </v>
      </c>
      <c r="Z662" s="125" t="str">
        <f>CONCATENATE(P662,Q662,R662,S662,V662)</f>
        <v xml:space="preserve">   </v>
      </c>
      <c r="AA662" s="125" t="str">
        <f>IFERROR(VLOOKUP(Y662,TD!$K$46:$L$64,2,0)," ")</f>
        <v xml:space="preserve"> </v>
      </c>
      <c r="AB662" s="53"/>
      <c r="AC662" s="126"/>
    </row>
    <row r="663" spans="2:29" s="28" customFormat="1" ht="74.25" customHeight="1" x14ac:dyDescent="0.35">
      <c r="B663" s="77"/>
      <c r="C663" s="50"/>
      <c r="D663" s="123"/>
      <c r="E663" s="51"/>
      <c r="F663" s="123"/>
      <c r="G663" s="123"/>
      <c r="H663" s="97"/>
      <c r="I663" s="124"/>
      <c r="J663" s="124"/>
      <c r="K663" s="52"/>
      <c r="L663" s="53"/>
      <c r="M663" s="123"/>
      <c r="N663" s="53"/>
      <c r="O663" s="51"/>
      <c r="P663" s="125" t="str">
        <f>IFERROR(VLOOKUP(C663,TD!$B$32:$F$36,2,0)," ")</f>
        <v xml:space="preserve"> </v>
      </c>
      <c r="Q663" s="125" t="str">
        <f>IFERROR(VLOOKUP(C663,TD!$B$32:$F$36,3,0)," ")</f>
        <v xml:space="preserve"> </v>
      </c>
      <c r="R663" s="125" t="str">
        <f>IFERROR(VLOOKUP(C663,TD!$B$32:$F$36,4,0)," ")</f>
        <v xml:space="preserve"> </v>
      </c>
      <c r="S663" s="51"/>
      <c r="T663" s="125" t="str">
        <f>IFERROR(VLOOKUP(S663,TD!$J$33:$K$43,2,0)," ")</f>
        <v xml:space="preserve"> </v>
      </c>
      <c r="U663" s="127" t="str">
        <f>CONCATENATE(S663,"-",T663)</f>
        <v xml:space="preserve">- </v>
      </c>
      <c r="V663" s="51"/>
      <c r="W663" s="125" t="str">
        <f>IFERROR(VLOOKUP(V663,TD!$N$33:$O$45,2,0)," ")</f>
        <v xml:space="preserve"> </v>
      </c>
      <c r="X663" s="127" t="str">
        <f>CONCATENATE(V663,"_",W663)</f>
        <v xml:space="preserve">_ </v>
      </c>
      <c r="Y663" s="127" t="str">
        <f>CONCATENATE(U663," ",X663)</f>
        <v xml:space="preserve">-  _ </v>
      </c>
      <c r="Z663" s="125" t="str">
        <f>CONCATENATE(P663,Q663,R663,S663,V663)</f>
        <v xml:space="preserve">   </v>
      </c>
      <c r="AA663" s="125" t="str">
        <f>IFERROR(VLOOKUP(Y663,TD!$K$46:$L$64,2,0)," ")</f>
        <v xml:space="preserve"> </v>
      </c>
      <c r="AB663" s="53"/>
      <c r="AC663" s="126"/>
    </row>
    <row r="664" spans="2:29" s="28" customFormat="1" ht="74.25" customHeight="1" x14ac:dyDescent="0.35">
      <c r="B664" s="77"/>
      <c r="C664" s="50"/>
      <c r="D664" s="123"/>
      <c r="E664" s="51"/>
      <c r="F664" s="123"/>
      <c r="G664" s="123"/>
      <c r="H664" s="97"/>
      <c r="I664" s="124"/>
      <c r="J664" s="124"/>
      <c r="K664" s="52"/>
      <c r="L664" s="53"/>
      <c r="M664" s="123"/>
      <c r="N664" s="53"/>
      <c r="O664" s="51"/>
      <c r="P664" s="125" t="str">
        <f>IFERROR(VLOOKUP(C664,TD!$B$32:$F$36,2,0)," ")</f>
        <v xml:space="preserve"> </v>
      </c>
      <c r="Q664" s="125" t="str">
        <f>IFERROR(VLOOKUP(C664,TD!$B$32:$F$36,3,0)," ")</f>
        <v xml:space="preserve"> </v>
      </c>
      <c r="R664" s="125" t="str">
        <f>IFERROR(VLOOKUP(C664,TD!$B$32:$F$36,4,0)," ")</f>
        <v xml:space="preserve"> </v>
      </c>
      <c r="S664" s="51"/>
      <c r="T664" s="125" t="str">
        <f>IFERROR(VLOOKUP(S664,TD!$J$33:$K$43,2,0)," ")</f>
        <v xml:space="preserve"> </v>
      </c>
      <c r="U664" s="127" t="str">
        <f>CONCATENATE(S664,"-",T664)</f>
        <v xml:space="preserve">- </v>
      </c>
      <c r="V664" s="51"/>
      <c r="W664" s="125" t="str">
        <f>IFERROR(VLOOKUP(V664,TD!$N$33:$O$45,2,0)," ")</f>
        <v xml:space="preserve"> </v>
      </c>
      <c r="X664" s="127" t="str">
        <f>CONCATENATE(V664,"_",W664)</f>
        <v xml:space="preserve">_ </v>
      </c>
      <c r="Y664" s="127" t="str">
        <f>CONCATENATE(U664," ",X664)</f>
        <v xml:space="preserve">-  _ </v>
      </c>
      <c r="Z664" s="125" t="str">
        <f>CONCATENATE(P664,Q664,R664,S664,V664)</f>
        <v xml:space="preserve">   </v>
      </c>
      <c r="AA664" s="125" t="str">
        <f>IFERROR(VLOOKUP(Y664,TD!$K$46:$L$64,2,0)," ")</f>
        <v xml:space="preserve"> </v>
      </c>
      <c r="AB664" s="53"/>
      <c r="AC664" s="126"/>
    </row>
    <row r="665" spans="2:29" s="28" customFormat="1" ht="74.25" customHeight="1" x14ac:dyDescent="0.35">
      <c r="B665" s="77"/>
      <c r="C665" s="50"/>
      <c r="D665" s="123"/>
      <c r="E665" s="51"/>
      <c r="F665" s="123"/>
      <c r="G665" s="123"/>
      <c r="H665" s="97"/>
      <c r="I665" s="124"/>
      <c r="J665" s="124"/>
      <c r="K665" s="52"/>
      <c r="L665" s="53"/>
      <c r="M665" s="123"/>
      <c r="N665" s="53"/>
      <c r="O665" s="51"/>
      <c r="P665" s="125" t="str">
        <f>IFERROR(VLOOKUP(C665,TD!$B$32:$F$36,2,0)," ")</f>
        <v xml:space="preserve"> </v>
      </c>
      <c r="Q665" s="125" t="str">
        <f>IFERROR(VLOOKUP(C665,TD!$B$32:$F$36,3,0)," ")</f>
        <v xml:space="preserve"> </v>
      </c>
      <c r="R665" s="125" t="str">
        <f>IFERROR(VLOOKUP(C665,TD!$B$32:$F$36,4,0)," ")</f>
        <v xml:space="preserve"> </v>
      </c>
      <c r="S665" s="51"/>
      <c r="T665" s="125" t="str">
        <f>IFERROR(VLOOKUP(S665,TD!$J$33:$K$43,2,0)," ")</f>
        <v xml:space="preserve"> </v>
      </c>
      <c r="U665" s="127" t="str">
        <f>CONCATENATE(S665,"-",T665)</f>
        <v xml:space="preserve">- </v>
      </c>
      <c r="V665" s="51"/>
      <c r="W665" s="125" t="str">
        <f>IFERROR(VLOOKUP(V665,TD!$N$33:$O$45,2,0)," ")</f>
        <v xml:space="preserve"> </v>
      </c>
      <c r="X665" s="127" t="str">
        <f>CONCATENATE(V665,"_",W665)</f>
        <v xml:space="preserve">_ </v>
      </c>
      <c r="Y665" s="127" t="str">
        <f>CONCATENATE(U665," ",X665)</f>
        <v xml:space="preserve">-  _ </v>
      </c>
      <c r="Z665" s="125" t="str">
        <f>CONCATENATE(P665,Q665,R665,S665,V665)</f>
        <v xml:space="preserve">   </v>
      </c>
      <c r="AA665" s="125" t="str">
        <f>IFERROR(VLOOKUP(Y665,TD!$K$46:$L$64,2,0)," ")</f>
        <v xml:space="preserve"> </v>
      </c>
      <c r="AB665" s="53"/>
      <c r="AC665" s="126"/>
    </row>
    <row r="666" spans="2:29" s="28" customFormat="1" ht="74.25" customHeight="1" x14ac:dyDescent="0.35">
      <c r="B666" s="77"/>
      <c r="C666" s="50"/>
      <c r="D666" s="123"/>
      <c r="E666" s="51"/>
      <c r="F666" s="123"/>
      <c r="G666" s="123"/>
      <c r="H666" s="97"/>
      <c r="I666" s="124"/>
      <c r="J666" s="124"/>
      <c r="K666" s="52"/>
      <c r="L666" s="53"/>
      <c r="M666" s="123"/>
      <c r="N666" s="53"/>
      <c r="O666" s="51"/>
      <c r="P666" s="125" t="str">
        <f>IFERROR(VLOOKUP(C666,TD!$B$32:$F$36,2,0)," ")</f>
        <v xml:space="preserve"> </v>
      </c>
      <c r="Q666" s="125" t="str">
        <f>IFERROR(VLOOKUP(C666,TD!$B$32:$F$36,3,0)," ")</f>
        <v xml:space="preserve"> </v>
      </c>
      <c r="R666" s="125" t="str">
        <f>IFERROR(VLOOKUP(C666,TD!$B$32:$F$36,4,0)," ")</f>
        <v xml:space="preserve"> </v>
      </c>
      <c r="S666" s="51"/>
      <c r="T666" s="125" t="str">
        <f>IFERROR(VLOOKUP(S666,TD!$J$33:$K$43,2,0)," ")</f>
        <v xml:space="preserve"> </v>
      </c>
      <c r="U666" s="127" t="str">
        <f>CONCATENATE(S666,"-",T666)</f>
        <v xml:space="preserve">- </v>
      </c>
      <c r="V666" s="51"/>
      <c r="W666" s="125" t="str">
        <f>IFERROR(VLOOKUP(V666,TD!$N$33:$O$45,2,0)," ")</f>
        <v xml:space="preserve"> </v>
      </c>
      <c r="X666" s="127" t="str">
        <f>CONCATENATE(V666,"_",W666)</f>
        <v xml:space="preserve">_ </v>
      </c>
      <c r="Y666" s="127" t="str">
        <f>CONCATENATE(U666," ",X666)</f>
        <v xml:space="preserve">-  _ </v>
      </c>
      <c r="Z666" s="125" t="str">
        <f>CONCATENATE(P666,Q666,R666,S666,V666)</f>
        <v xml:space="preserve">   </v>
      </c>
      <c r="AA666" s="125" t="str">
        <f>IFERROR(VLOOKUP(Y666,TD!$K$46:$L$64,2,0)," ")</f>
        <v xml:space="preserve"> </v>
      </c>
      <c r="AB666" s="53"/>
      <c r="AC666" s="126"/>
    </row>
    <row r="667" spans="2:29" s="28" customFormat="1" ht="74.25" customHeight="1" x14ac:dyDescent="0.35">
      <c r="B667" s="77"/>
      <c r="C667" s="50"/>
      <c r="D667" s="123"/>
      <c r="E667" s="51"/>
      <c r="F667" s="123"/>
      <c r="G667" s="123"/>
      <c r="H667" s="97"/>
      <c r="I667" s="124"/>
      <c r="J667" s="124"/>
      <c r="K667" s="52"/>
      <c r="L667" s="53"/>
      <c r="M667" s="123"/>
      <c r="N667" s="53"/>
      <c r="O667" s="51"/>
      <c r="P667" s="125" t="str">
        <f>IFERROR(VLOOKUP(C667,TD!$B$32:$F$36,2,0)," ")</f>
        <v xml:space="preserve"> </v>
      </c>
      <c r="Q667" s="125" t="str">
        <f>IFERROR(VLOOKUP(C667,TD!$B$32:$F$36,3,0)," ")</f>
        <v xml:space="preserve"> </v>
      </c>
      <c r="R667" s="125" t="str">
        <f>IFERROR(VLOOKUP(C667,TD!$B$32:$F$36,4,0)," ")</f>
        <v xml:space="preserve"> </v>
      </c>
      <c r="S667" s="51"/>
      <c r="T667" s="125" t="str">
        <f>IFERROR(VLOOKUP(S667,TD!$J$33:$K$43,2,0)," ")</f>
        <v xml:space="preserve"> </v>
      </c>
      <c r="U667" s="127" t="str">
        <f>CONCATENATE(S667,"-",T667)</f>
        <v xml:space="preserve">- </v>
      </c>
      <c r="V667" s="51"/>
      <c r="W667" s="125" t="str">
        <f>IFERROR(VLOOKUP(V667,TD!$N$33:$O$45,2,0)," ")</f>
        <v xml:space="preserve"> </v>
      </c>
      <c r="X667" s="127" t="str">
        <f>CONCATENATE(V667,"_",W667)</f>
        <v xml:space="preserve">_ </v>
      </c>
      <c r="Y667" s="127" t="str">
        <f>CONCATENATE(U667," ",X667)</f>
        <v xml:space="preserve">-  _ </v>
      </c>
      <c r="Z667" s="125" t="str">
        <f>CONCATENATE(P667,Q667,R667,S667,V667)</f>
        <v xml:space="preserve">   </v>
      </c>
      <c r="AA667" s="125" t="str">
        <f>IFERROR(VLOOKUP(Y667,TD!$K$46:$L$64,2,0)," ")</f>
        <v xml:space="preserve"> </v>
      </c>
      <c r="AB667" s="53"/>
      <c r="AC667" s="126"/>
    </row>
    <row r="668" spans="2:29" s="28" customFormat="1" ht="74.25" customHeight="1" x14ac:dyDescent="0.35">
      <c r="B668" s="77"/>
      <c r="C668" s="50"/>
      <c r="D668" s="123"/>
      <c r="E668" s="51"/>
      <c r="F668" s="123"/>
      <c r="G668" s="123"/>
      <c r="H668" s="97"/>
      <c r="I668" s="124"/>
      <c r="J668" s="124"/>
      <c r="K668" s="52"/>
      <c r="L668" s="53"/>
      <c r="M668" s="123"/>
      <c r="N668" s="53"/>
      <c r="O668" s="51"/>
      <c r="P668" s="125" t="str">
        <f>IFERROR(VLOOKUP(C668,TD!$B$32:$F$36,2,0)," ")</f>
        <v xml:space="preserve"> </v>
      </c>
      <c r="Q668" s="125" t="str">
        <f>IFERROR(VLOOKUP(C668,TD!$B$32:$F$36,3,0)," ")</f>
        <v xml:space="preserve"> </v>
      </c>
      <c r="R668" s="125" t="str">
        <f>IFERROR(VLOOKUP(C668,TD!$B$32:$F$36,4,0)," ")</f>
        <v xml:space="preserve"> </v>
      </c>
      <c r="S668" s="51"/>
      <c r="T668" s="125" t="str">
        <f>IFERROR(VLOOKUP(S668,TD!$J$33:$K$43,2,0)," ")</f>
        <v xml:space="preserve"> </v>
      </c>
      <c r="U668" s="127" t="str">
        <f>CONCATENATE(S668,"-",T668)</f>
        <v xml:space="preserve">- </v>
      </c>
      <c r="V668" s="51"/>
      <c r="W668" s="125" t="str">
        <f>IFERROR(VLOOKUP(V668,TD!$N$33:$O$45,2,0)," ")</f>
        <v xml:space="preserve"> </v>
      </c>
      <c r="X668" s="127" t="str">
        <f>CONCATENATE(V668,"_",W668)</f>
        <v xml:space="preserve">_ </v>
      </c>
      <c r="Y668" s="127" t="str">
        <f>CONCATENATE(U668," ",X668)</f>
        <v xml:space="preserve">-  _ </v>
      </c>
      <c r="Z668" s="125" t="str">
        <f>CONCATENATE(P668,Q668,R668,S668,V668)</f>
        <v xml:space="preserve">   </v>
      </c>
      <c r="AA668" s="125" t="str">
        <f>IFERROR(VLOOKUP(Y668,TD!$K$46:$L$64,2,0)," ")</f>
        <v xml:space="preserve"> </v>
      </c>
      <c r="AB668" s="53"/>
      <c r="AC668" s="126"/>
    </row>
    <row r="669" spans="2:29" s="28" customFormat="1" ht="74.25" customHeight="1" x14ac:dyDescent="0.35">
      <c r="B669" s="77"/>
      <c r="C669" s="50"/>
      <c r="D669" s="123"/>
      <c r="E669" s="51"/>
      <c r="F669" s="123"/>
      <c r="G669" s="123"/>
      <c r="H669" s="97"/>
      <c r="I669" s="124"/>
      <c r="J669" s="124"/>
      <c r="K669" s="52"/>
      <c r="L669" s="53"/>
      <c r="M669" s="123"/>
      <c r="N669" s="53"/>
      <c r="O669" s="51"/>
      <c r="P669" s="125" t="str">
        <f>IFERROR(VLOOKUP(C669,TD!$B$32:$F$36,2,0)," ")</f>
        <v xml:space="preserve"> </v>
      </c>
      <c r="Q669" s="125" t="str">
        <f>IFERROR(VLOOKUP(C669,TD!$B$32:$F$36,3,0)," ")</f>
        <v xml:space="preserve"> </v>
      </c>
      <c r="R669" s="125" t="str">
        <f>IFERROR(VLOOKUP(C669,TD!$B$32:$F$36,4,0)," ")</f>
        <v xml:space="preserve"> </v>
      </c>
      <c r="S669" s="51"/>
      <c r="T669" s="125" t="str">
        <f>IFERROR(VLOOKUP(S669,TD!$J$33:$K$43,2,0)," ")</f>
        <v xml:space="preserve"> </v>
      </c>
      <c r="U669" s="127" t="str">
        <f>CONCATENATE(S669,"-",T669)</f>
        <v xml:space="preserve">- </v>
      </c>
      <c r="V669" s="51"/>
      <c r="W669" s="125" t="str">
        <f>IFERROR(VLOOKUP(V669,TD!$N$33:$O$45,2,0)," ")</f>
        <v xml:space="preserve"> </v>
      </c>
      <c r="X669" s="127" t="str">
        <f>CONCATENATE(V669,"_",W669)</f>
        <v xml:space="preserve">_ </v>
      </c>
      <c r="Y669" s="127" t="str">
        <f>CONCATENATE(U669," ",X669)</f>
        <v xml:space="preserve">-  _ </v>
      </c>
      <c r="Z669" s="125" t="str">
        <f>CONCATENATE(P669,Q669,R669,S669,V669)</f>
        <v xml:space="preserve">   </v>
      </c>
      <c r="AA669" s="125" t="str">
        <f>IFERROR(VLOOKUP(Y669,TD!$K$46:$L$64,2,0)," ")</f>
        <v xml:space="preserve"> </v>
      </c>
      <c r="AB669" s="53"/>
      <c r="AC669" s="126"/>
    </row>
    <row r="670" spans="2:29" s="28" customFormat="1" ht="74.25" customHeight="1" x14ac:dyDescent="0.35">
      <c r="B670" s="77"/>
      <c r="C670" s="50"/>
      <c r="D670" s="123"/>
      <c r="E670" s="51"/>
      <c r="F670" s="123"/>
      <c r="G670" s="123"/>
      <c r="H670" s="97"/>
      <c r="I670" s="124"/>
      <c r="J670" s="124"/>
      <c r="K670" s="52"/>
      <c r="L670" s="53"/>
      <c r="M670" s="123"/>
      <c r="N670" s="53"/>
      <c r="O670" s="51"/>
      <c r="P670" s="125" t="str">
        <f>IFERROR(VLOOKUP(C670,TD!$B$32:$F$36,2,0)," ")</f>
        <v xml:space="preserve"> </v>
      </c>
      <c r="Q670" s="125" t="str">
        <f>IFERROR(VLOOKUP(C670,TD!$B$32:$F$36,3,0)," ")</f>
        <v xml:space="preserve"> </v>
      </c>
      <c r="R670" s="125" t="str">
        <f>IFERROR(VLOOKUP(C670,TD!$B$32:$F$36,4,0)," ")</f>
        <v xml:space="preserve"> </v>
      </c>
      <c r="S670" s="51"/>
      <c r="T670" s="125" t="str">
        <f>IFERROR(VLOOKUP(S670,TD!$J$33:$K$43,2,0)," ")</f>
        <v xml:space="preserve"> </v>
      </c>
      <c r="U670" s="127" t="str">
        <f>CONCATENATE(S670,"-",T670)</f>
        <v xml:space="preserve">- </v>
      </c>
      <c r="V670" s="51"/>
      <c r="W670" s="125" t="str">
        <f>IFERROR(VLOOKUP(V670,TD!$N$33:$O$45,2,0)," ")</f>
        <v xml:space="preserve"> </v>
      </c>
      <c r="X670" s="127" t="str">
        <f>CONCATENATE(V670,"_",W670)</f>
        <v xml:space="preserve">_ </v>
      </c>
      <c r="Y670" s="127" t="str">
        <f>CONCATENATE(U670," ",X670)</f>
        <v xml:space="preserve">-  _ </v>
      </c>
      <c r="Z670" s="125" t="str">
        <f>CONCATENATE(P670,Q670,R670,S670,V670)</f>
        <v xml:space="preserve">   </v>
      </c>
      <c r="AA670" s="125" t="str">
        <f>IFERROR(VLOOKUP(Y670,TD!$K$46:$L$64,2,0)," ")</f>
        <v xml:space="preserve"> </v>
      </c>
      <c r="AB670" s="53"/>
      <c r="AC670" s="126"/>
    </row>
    <row r="671" spans="2:29" s="28" customFormat="1" ht="74.25" customHeight="1" x14ac:dyDescent="0.35">
      <c r="B671" s="77"/>
      <c r="C671" s="50"/>
      <c r="D671" s="123"/>
      <c r="E671" s="51"/>
      <c r="F671" s="123"/>
      <c r="G671" s="123"/>
      <c r="H671" s="97"/>
      <c r="I671" s="124"/>
      <c r="J671" s="124"/>
      <c r="K671" s="52"/>
      <c r="L671" s="53"/>
      <c r="M671" s="123"/>
      <c r="N671" s="53"/>
      <c r="O671" s="51"/>
      <c r="P671" s="125" t="str">
        <f>IFERROR(VLOOKUP(C671,TD!$B$32:$F$36,2,0)," ")</f>
        <v xml:space="preserve"> </v>
      </c>
      <c r="Q671" s="125" t="str">
        <f>IFERROR(VLOOKUP(C671,TD!$B$32:$F$36,3,0)," ")</f>
        <v xml:space="preserve"> </v>
      </c>
      <c r="R671" s="125" t="str">
        <f>IFERROR(VLOOKUP(C671,TD!$B$32:$F$36,4,0)," ")</f>
        <v xml:space="preserve"> </v>
      </c>
      <c r="S671" s="51"/>
      <c r="T671" s="125" t="str">
        <f>IFERROR(VLOOKUP(S671,TD!$J$33:$K$43,2,0)," ")</f>
        <v xml:space="preserve"> </v>
      </c>
      <c r="U671" s="127" t="str">
        <f>CONCATENATE(S671,"-",T671)</f>
        <v xml:space="preserve">- </v>
      </c>
      <c r="V671" s="51"/>
      <c r="W671" s="125" t="str">
        <f>IFERROR(VLOOKUP(V671,TD!$N$33:$O$45,2,0)," ")</f>
        <v xml:space="preserve"> </v>
      </c>
      <c r="X671" s="127" t="str">
        <f>CONCATENATE(V671,"_",W671)</f>
        <v xml:space="preserve">_ </v>
      </c>
      <c r="Y671" s="127" t="str">
        <f>CONCATENATE(U671," ",X671)</f>
        <v xml:space="preserve">-  _ </v>
      </c>
      <c r="Z671" s="125" t="str">
        <f>CONCATENATE(P671,Q671,R671,S671,V671)</f>
        <v xml:space="preserve">   </v>
      </c>
      <c r="AA671" s="125" t="str">
        <f>IFERROR(VLOOKUP(Y671,TD!$K$46:$L$64,2,0)," ")</f>
        <v xml:space="preserve"> </v>
      </c>
      <c r="AB671" s="53"/>
      <c r="AC671" s="126"/>
    </row>
    <row r="672" spans="2:29" s="28" customFormat="1" ht="74.25" customHeight="1" x14ac:dyDescent="0.35">
      <c r="B672" s="77"/>
      <c r="C672" s="50"/>
      <c r="D672" s="123"/>
      <c r="E672" s="51"/>
      <c r="F672" s="123"/>
      <c r="G672" s="123"/>
      <c r="H672" s="97"/>
      <c r="I672" s="124"/>
      <c r="J672" s="124"/>
      <c r="K672" s="52"/>
      <c r="L672" s="53"/>
      <c r="M672" s="123"/>
      <c r="N672" s="53"/>
      <c r="O672" s="51"/>
      <c r="P672" s="125" t="str">
        <f>IFERROR(VLOOKUP(C672,TD!$B$32:$F$36,2,0)," ")</f>
        <v xml:space="preserve"> </v>
      </c>
      <c r="Q672" s="125" t="str">
        <f>IFERROR(VLOOKUP(C672,TD!$B$32:$F$36,3,0)," ")</f>
        <v xml:space="preserve"> </v>
      </c>
      <c r="R672" s="125" t="str">
        <f>IFERROR(VLOOKUP(C672,TD!$B$32:$F$36,4,0)," ")</f>
        <v xml:space="preserve"> </v>
      </c>
      <c r="S672" s="51"/>
      <c r="T672" s="125" t="str">
        <f>IFERROR(VLOOKUP(S672,TD!$J$33:$K$43,2,0)," ")</f>
        <v xml:space="preserve"> </v>
      </c>
      <c r="U672" s="127" t="str">
        <f>CONCATENATE(S672,"-",T672)</f>
        <v xml:space="preserve">- </v>
      </c>
      <c r="V672" s="51"/>
      <c r="W672" s="125" t="str">
        <f>IFERROR(VLOOKUP(V672,TD!$N$33:$O$45,2,0)," ")</f>
        <v xml:space="preserve"> </v>
      </c>
      <c r="X672" s="127" t="str">
        <f>CONCATENATE(V672,"_",W672)</f>
        <v xml:space="preserve">_ </v>
      </c>
      <c r="Y672" s="127" t="str">
        <f>CONCATENATE(U672," ",X672)</f>
        <v xml:space="preserve">-  _ </v>
      </c>
      <c r="Z672" s="125" t="str">
        <f>CONCATENATE(P672,Q672,R672,S672,V672)</f>
        <v xml:space="preserve">   </v>
      </c>
      <c r="AA672" s="125" t="str">
        <f>IFERROR(VLOOKUP(Y672,TD!$K$46:$L$64,2,0)," ")</f>
        <v xml:space="preserve"> </v>
      </c>
      <c r="AB672" s="53"/>
      <c r="AC672" s="126"/>
    </row>
    <row r="673" spans="2:29" s="28" customFormat="1" ht="74.25" customHeight="1" x14ac:dyDescent="0.35">
      <c r="B673" s="77"/>
      <c r="C673" s="50"/>
      <c r="D673" s="123"/>
      <c r="E673" s="51"/>
      <c r="F673" s="123"/>
      <c r="G673" s="123"/>
      <c r="H673" s="97"/>
      <c r="I673" s="124"/>
      <c r="J673" s="124"/>
      <c r="K673" s="52"/>
      <c r="L673" s="53"/>
      <c r="M673" s="123"/>
      <c r="N673" s="53"/>
      <c r="O673" s="51"/>
      <c r="P673" s="125" t="str">
        <f>IFERROR(VLOOKUP(C673,TD!$B$32:$F$36,2,0)," ")</f>
        <v xml:space="preserve"> </v>
      </c>
      <c r="Q673" s="125" t="str">
        <f>IFERROR(VLOOKUP(C673,TD!$B$32:$F$36,3,0)," ")</f>
        <v xml:space="preserve"> </v>
      </c>
      <c r="R673" s="125" t="str">
        <f>IFERROR(VLOOKUP(C673,TD!$B$32:$F$36,4,0)," ")</f>
        <v xml:space="preserve"> </v>
      </c>
      <c r="S673" s="51"/>
      <c r="T673" s="125" t="str">
        <f>IFERROR(VLOOKUP(S673,TD!$J$33:$K$43,2,0)," ")</f>
        <v xml:space="preserve"> </v>
      </c>
      <c r="U673" s="127" t="str">
        <f>CONCATENATE(S673,"-",T673)</f>
        <v xml:space="preserve">- </v>
      </c>
      <c r="V673" s="51"/>
      <c r="W673" s="125" t="str">
        <f>IFERROR(VLOOKUP(V673,TD!$N$33:$O$45,2,0)," ")</f>
        <v xml:space="preserve"> </v>
      </c>
      <c r="X673" s="127" t="str">
        <f>CONCATENATE(V673,"_",W673)</f>
        <v xml:space="preserve">_ </v>
      </c>
      <c r="Y673" s="127" t="str">
        <f>CONCATENATE(U673," ",X673)</f>
        <v xml:space="preserve">-  _ </v>
      </c>
      <c r="Z673" s="125" t="str">
        <f>CONCATENATE(P673,Q673,R673,S673,V673)</f>
        <v xml:space="preserve">   </v>
      </c>
      <c r="AA673" s="125" t="str">
        <f>IFERROR(VLOOKUP(Y673,TD!$K$46:$L$64,2,0)," ")</f>
        <v xml:space="preserve"> </v>
      </c>
      <c r="AB673" s="53"/>
      <c r="AC673" s="126"/>
    </row>
    <row r="674" spans="2:29" s="28" customFormat="1" ht="74.25" customHeight="1" x14ac:dyDescent="0.35">
      <c r="B674" s="77"/>
      <c r="C674" s="50"/>
      <c r="D674" s="123"/>
      <c r="E674" s="51"/>
      <c r="F674" s="123"/>
      <c r="G674" s="123"/>
      <c r="H674" s="97"/>
      <c r="I674" s="124"/>
      <c r="J674" s="124"/>
      <c r="K674" s="52"/>
      <c r="L674" s="53"/>
      <c r="M674" s="123"/>
      <c r="N674" s="53"/>
      <c r="O674" s="51"/>
      <c r="P674" s="125" t="str">
        <f>IFERROR(VLOOKUP(C674,TD!$B$32:$F$36,2,0)," ")</f>
        <v xml:space="preserve"> </v>
      </c>
      <c r="Q674" s="125" t="str">
        <f>IFERROR(VLOOKUP(C674,TD!$B$32:$F$36,3,0)," ")</f>
        <v xml:space="preserve"> </v>
      </c>
      <c r="R674" s="125" t="str">
        <f>IFERROR(VLOOKUP(C674,TD!$B$32:$F$36,4,0)," ")</f>
        <v xml:space="preserve"> </v>
      </c>
      <c r="S674" s="51"/>
      <c r="T674" s="125" t="str">
        <f>IFERROR(VLOOKUP(S674,TD!$J$33:$K$43,2,0)," ")</f>
        <v xml:space="preserve"> </v>
      </c>
      <c r="U674" s="127" t="str">
        <f>CONCATENATE(S674,"-",T674)</f>
        <v xml:space="preserve">- </v>
      </c>
      <c r="V674" s="51"/>
      <c r="W674" s="125" t="str">
        <f>IFERROR(VLOOKUP(V674,TD!$N$33:$O$45,2,0)," ")</f>
        <v xml:space="preserve"> </v>
      </c>
      <c r="X674" s="127" t="str">
        <f>CONCATENATE(V674,"_",W674)</f>
        <v xml:space="preserve">_ </v>
      </c>
      <c r="Y674" s="127" t="str">
        <f>CONCATENATE(U674," ",X674)</f>
        <v xml:space="preserve">-  _ </v>
      </c>
      <c r="Z674" s="125" t="str">
        <f>CONCATENATE(P674,Q674,R674,S674,V674)</f>
        <v xml:space="preserve">   </v>
      </c>
      <c r="AA674" s="125" t="str">
        <f>IFERROR(VLOOKUP(Y674,TD!$K$46:$L$64,2,0)," ")</f>
        <v xml:space="preserve"> </v>
      </c>
      <c r="AB674" s="53"/>
      <c r="AC674" s="126"/>
    </row>
    <row r="675" spans="2:29" s="28" customFormat="1" ht="74.25" customHeight="1" x14ac:dyDescent="0.35">
      <c r="B675" s="77"/>
      <c r="C675" s="50"/>
      <c r="D675" s="123"/>
      <c r="E675" s="51"/>
      <c r="F675" s="123"/>
      <c r="G675" s="123"/>
      <c r="H675" s="97"/>
      <c r="I675" s="124"/>
      <c r="J675" s="124"/>
      <c r="K675" s="52"/>
      <c r="L675" s="53"/>
      <c r="M675" s="123"/>
      <c r="N675" s="53"/>
      <c r="O675" s="51"/>
      <c r="P675" s="125" t="str">
        <f>IFERROR(VLOOKUP(C675,TD!$B$32:$F$36,2,0)," ")</f>
        <v xml:space="preserve"> </v>
      </c>
      <c r="Q675" s="125" t="str">
        <f>IFERROR(VLOOKUP(C675,TD!$B$32:$F$36,3,0)," ")</f>
        <v xml:space="preserve"> </v>
      </c>
      <c r="R675" s="125" t="str">
        <f>IFERROR(VLOOKUP(C675,TD!$B$32:$F$36,4,0)," ")</f>
        <v xml:space="preserve"> </v>
      </c>
      <c r="S675" s="51"/>
      <c r="T675" s="125" t="str">
        <f>IFERROR(VLOOKUP(S675,TD!$J$33:$K$43,2,0)," ")</f>
        <v xml:space="preserve"> </v>
      </c>
      <c r="U675" s="127" t="str">
        <f>CONCATENATE(S675,"-",T675)</f>
        <v xml:space="preserve">- </v>
      </c>
      <c r="V675" s="51"/>
      <c r="W675" s="125" t="str">
        <f>IFERROR(VLOOKUP(V675,TD!$N$33:$O$45,2,0)," ")</f>
        <v xml:space="preserve"> </v>
      </c>
      <c r="X675" s="127" t="str">
        <f>CONCATENATE(V675,"_",W675)</f>
        <v xml:space="preserve">_ </v>
      </c>
      <c r="Y675" s="127" t="str">
        <f>CONCATENATE(U675," ",X675)</f>
        <v xml:space="preserve">-  _ </v>
      </c>
      <c r="Z675" s="125" t="str">
        <f>CONCATENATE(P675,Q675,R675,S675,V675)</f>
        <v xml:space="preserve">   </v>
      </c>
      <c r="AA675" s="125" t="str">
        <f>IFERROR(VLOOKUP(Y675,TD!$K$46:$L$64,2,0)," ")</f>
        <v xml:space="preserve"> </v>
      </c>
      <c r="AB675" s="53"/>
      <c r="AC675" s="126"/>
    </row>
    <row r="676" spans="2:29" s="28" customFormat="1" ht="74.25" customHeight="1" x14ac:dyDescent="0.35">
      <c r="B676" s="77"/>
      <c r="C676" s="50"/>
      <c r="D676" s="123"/>
      <c r="E676" s="51"/>
      <c r="F676" s="123"/>
      <c r="G676" s="123"/>
      <c r="H676" s="97"/>
      <c r="I676" s="124"/>
      <c r="J676" s="124"/>
      <c r="K676" s="52"/>
      <c r="L676" s="53"/>
      <c r="M676" s="123"/>
      <c r="N676" s="53"/>
      <c r="O676" s="51"/>
      <c r="P676" s="125" t="str">
        <f>IFERROR(VLOOKUP(C676,TD!$B$32:$F$36,2,0)," ")</f>
        <v xml:space="preserve"> </v>
      </c>
      <c r="Q676" s="125" t="str">
        <f>IFERROR(VLOOKUP(C676,TD!$B$32:$F$36,3,0)," ")</f>
        <v xml:space="preserve"> </v>
      </c>
      <c r="R676" s="125" t="str">
        <f>IFERROR(VLOOKUP(C676,TD!$B$32:$F$36,4,0)," ")</f>
        <v xml:space="preserve"> </v>
      </c>
      <c r="S676" s="51"/>
      <c r="T676" s="125" t="str">
        <f>IFERROR(VLOOKUP(S676,TD!$J$33:$K$43,2,0)," ")</f>
        <v xml:space="preserve"> </v>
      </c>
      <c r="U676" s="127" t="str">
        <f>CONCATENATE(S676,"-",T676)</f>
        <v xml:space="preserve">- </v>
      </c>
      <c r="V676" s="51"/>
      <c r="W676" s="125" t="str">
        <f>IFERROR(VLOOKUP(V676,TD!$N$33:$O$45,2,0)," ")</f>
        <v xml:space="preserve"> </v>
      </c>
      <c r="X676" s="127" t="str">
        <f>CONCATENATE(V676,"_",W676)</f>
        <v xml:space="preserve">_ </v>
      </c>
      <c r="Y676" s="127" t="str">
        <f>CONCATENATE(U676," ",X676)</f>
        <v xml:space="preserve">-  _ </v>
      </c>
      <c r="Z676" s="125" t="str">
        <f>CONCATENATE(P676,Q676,R676,S676,V676)</f>
        <v xml:space="preserve">   </v>
      </c>
      <c r="AA676" s="125" t="str">
        <f>IFERROR(VLOOKUP(Y676,TD!$K$46:$L$64,2,0)," ")</f>
        <v xml:space="preserve"> </v>
      </c>
      <c r="AB676" s="53"/>
      <c r="AC676" s="126"/>
    </row>
    <row r="677" spans="2:29" s="28" customFormat="1" ht="74.25" customHeight="1" x14ac:dyDescent="0.35">
      <c r="B677" s="77"/>
      <c r="C677" s="50"/>
      <c r="D677" s="123"/>
      <c r="E677" s="51"/>
      <c r="F677" s="123"/>
      <c r="G677" s="123"/>
      <c r="H677" s="97"/>
      <c r="I677" s="124"/>
      <c r="J677" s="124"/>
      <c r="K677" s="52"/>
      <c r="L677" s="53"/>
      <c r="M677" s="123"/>
      <c r="N677" s="53"/>
      <c r="O677" s="51"/>
      <c r="P677" s="125" t="str">
        <f>IFERROR(VLOOKUP(C677,TD!$B$32:$F$36,2,0)," ")</f>
        <v xml:space="preserve"> </v>
      </c>
      <c r="Q677" s="125" t="str">
        <f>IFERROR(VLOOKUP(C677,TD!$B$32:$F$36,3,0)," ")</f>
        <v xml:space="preserve"> </v>
      </c>
      <c r="R677" s="125" t="str">
        <f>IFERROR(VLOOKUP(C677,TD!$B$32:$F$36,4,0)," ")</f>
        <v xml:space="preserve"> </v>
      </c>
      <c r="S677" s="51"/>
      <c r="T677" s="125" t="str">
        <f>IFERROR(VLOOKUP(S677,TD!$J$33:$K$43,2,0)," ")</f>
        <v xml:space="preserve"> </v>
      </c>
      <c r="U677" s="127" t="str">
        <f>CONCATENATE(S677,"-",T677)</f>
        <v xml:space="preserve">- </v>
      </c>
      <c r="V677" s="51"/>
      <c r="W677" s="125" t="str">
        <f>IFERROR(VLOOKUP(V677,TD!$N$33:$O$45,2,0)," ")</f>
        <v xml:space="preserve"> </v>
      </c>
      <c r="X677" s="127" t="str">
        <f>CONCATENATE(V677,"_",W677)</f>
        <v xml:space="preserve">_ </v>
      </c>
      <c r="Y677" s="127" t="str">
        <f>CONCATENATE(U677," ",X677)</f>
        <v xml:space="preserve">-  _ </v>
      </c>
      <c r="Z677" s="125" t="str">
        <f>CONCATENATE(P677,Q677,R677,S677,V677)</f>
        <v xml:space="preserve">   </v>
      </c>
      <c r="AA677" s="125" t="str">
        <f>IFERROR(VLOOKUP(Y677,TD!$K$46:$L$64,2,0)," ")</f>
        <v xml:space="preserve"> </v>
      </c>
      <c r="AB677" s="53"/>
      <c r="AC677" s="126"/>
    </row>
    <row r="678" spans="2:29" s="28" customFormat="1" ht="74.25" customHeight="1" x14ac:dyDescent="0.35">
      <c r="B678" s="77"/>
      <c r="C678" s="50"/>
      <c r="D678" s="123"/>
      <c r="E678" s="51"/>
      <c r="F678" s="123"/>
      <c r="G678" s="123"/>
      <c r="H678" s="97"/>
      <c r="I678" s="124"/>
      <c r="J678" s="124"/>
      <c r="K678" s="52"/>
      <c r="L678" s="53"/>
      <c r="M678" s="123"/>
      <c r="N678" s="53"/>
      <c r="O678" s="51"/>
      <c r="P678" s="125" t="str">
        <f>IFERROR(VLOOKUP(C678,TD!$B$32:$F$36,2,0)," ")</f>
        <v xml:space="preserve"> </v>
      </c>
      <c r="Q678" s="125" t="str">
        <f>IFERROR(VLOOKUP(C678,TD!$B$32:$F$36,3,0)," ")</f>
        <v xml:space="preserve"> </v>
      </c>
      <c r="R678" s="125" t="str">
        <f>IFERROR(VLOOKUP(C678,TD!$B$32:$F$36,4,0)," ")</f>
        <v xml:space="preserve"> </v>
      </c>
      <c r="S678" s="51"/>
      <c r="T678" s="125" t="str">
        <f>IFERROR(VLOOKUP(S678,TD!$J$33:$K$43,2,0)," ")</f>
        <v xml:space="preserve"> </v>
      </c>
      <c r="U678" s="127" t="str">
        <f>CONCATENATE(S678,"-",T678)</f>
        <v xml:space="preserve">- </v>
      </c>
      <c r="V678" s="51"/>
      <c r="W678" s="125" t="str">
        <f>IFERROR(VLOOKUP(V678,TD!$N$33:$O$45,2,0)," ")</f>
        <v xml:space="preserve"> </v>
      </c>
      <c r="X678" s="127" t="str">
        <f>CONCATENATE(V678,"_",W678)</f>
        <v xml:space="preserve">_ </v>
      </c>
      <c r="Y678" s="127" t="str">
        <f>CONCATENATE(U678," ",X678)</f>
        <v xml:space="preserve">-  _ </v>
      </c>
      <c r="Z678" s="125" t="str">
        <f>CONCATENATE(P678,Q678,R678,S678,V678)</f>
        <v xml:space="preserve">   </v>
      </c>
      <c r="AA678" s="125" t="str">
        <f>IFERROR(VLOOKUP(Y678,TD!$K$46:$L$64,2,0)," ")</f>
        <v xml:space="preserve"> </v>
      </c>
      <c r="AB678" s="53"/>
      <c r="AC678" s="126"/>
    </row>
    <row r="679" spans="2:29" s="28" customFormat="1" ht="74.25" customHeight="1" x14ac:dyDescent="0.35">
      <c r="B679" s="77"/>
      <c r="C679" s="50"/>
      <c r="D679" s="123"/>
      <c r="E679" s="51"/>
      <c r="F679" s="123"/>
      <c r="G679" s="123"/>
      <c r="H679" s="97"/>
      <c r="I679" s="124"/>
      <c r="J679" s="124"/>
      <c r="K679" s="52"/>
      <c r="L679" s="53"/>
      <c r="M679" s="123"/>
      <c r="N679" s="53"/>
      <c r="O679" s="51"/>
      <c r="P679" s="125" t="str">
        <f>IFERROR(VLOOKUP(C679,TD!$B$32:$F$36,2,0)," ")</f>
        <v xml:space="preserve"> </v>
      </c>
      <c r="Q679" s="125" t="str">
        <f>IFERROR(VLOOKUP(C679,TD!$B$32:$F$36,3,0)," ")</f>
        <v xml:space="preserve"> </v>
      </c>
      <c r="R679" s="125" t="str">
        <f>IFERROR(VLOOKUP(C679,TD!$B$32:$F$36,4,0)," ")</f>
        <v xml:space="preserve"> </v>
      </c>
      <c r="S679" s="51"/>
      <c r="T679" s="125" t="str">
        <f>IFERROR(VLOOKUP(S679,TD!$J$33:$K$43,2,0)," ")</f>
        <v xml:space="preserve"> </v>
      </c>
      <c r="U679" s="127" t="str">
        <f>CONCATENATE(S679,"-",T679)</f>
        <v xml:space="preserve">- </v>
      </c>
      <c r="V679" s="51"/>
      <c r="W679" s="125" t="str">
        <f>IFERROR(VLOOKUP(V679,TD!$N$33:$O$45,2,0)," ")</f>
        <v xml:space="preserve"> </v>
      </c>
      <c r="X679" s="127" t="str">
        <f>CONCATENATE(V679,"_",W679)</f>
        <v xml:space="preserve">_ </v>
      </c>
      <c r="Y679" s="127" t="str">
        <f>CONCATENATE(U679," ",X679)</f>
        <v xml:space="preserve">-  _ </v>
      </c>
      <c r="Z679" s="125" t="str">
        <f>CONCATENATE(P679,Q679,R679,S679,V679)</f>
        <v xml:space="preserve">   </v>
      </c>
      <c r="AA679" s="125" t="str">
        <f>IFERROR(VLOOKUP(Y679,TD!$K$46:$L$64,2,0)," ")</f>
        <v xml:space="preserve"> </v>
      </c>
      <c r="AB679" s="53"/>
      <c r="AC679" s="126"/>
    </row>
    <row r="680" spans="2:29" s="28" customFormat="1" ht="74.25" customHeight="1" x14ac:dyDescent="0.35">
      <c r="B680" s="77"/>
      <c r="C680" s="50"/>
      <c r="D680" s="123"/>
      <c r="E680" s="51"/>
      <c r="F680" s="123"/>
      <c r="G680" s="123"/>
      <c r="H680" s="97"/>
      <c r="I680" s="124"/>
      <c r="J680" s="124"/>
      <c r="K680" s="52"/>
      <c r="L680" s="53"/>
      <c r="M680" s="123"/>
      <c r="N680" s="53"/>
      <c r="O680" s="51"/>
      <c r="P680" s="125" t="str">
        <f>IFERROR(VLOOKUP(C680,TD!$B$32:$F$36,2,0)," ")</f>
        <v xml:space="preserve"> </v>
      </c>
      <c r="Q680" s="125" t="str">
        <f>IFERROR(VLOOKUP(C680,TD!$B$32:$F$36,3,0)," ")</f>
        <v xml:space="preserve"> </v>
      </c>
      <c r="R680" s="125" t="str">
        <f>IFERROR(VLOOKUP(C680,TD!$B$32:$F$36,4,0)," ")</f>
        <v xml:space="preserve"> </v>
      </c>
      <c r="S680" s="51"/>
      <c r="T680" s="125" t="str">
        <f>IFERROR(VLOOKUP(S680,TD!$J$33:$K$43,2,0)," ")</f>
        <v xml:space="preserve"> </v>
      </c>
      <c r="U680" s="127" t="str">
        <f>CONCATENATE(S680,"-",T680)</f>
        <v xml:space="preserve">- </v>
      </c>
      <c r="V680" s="51"/>
      <c r="W680" s="125" t="str">
        <f>IFERROR(VLOOKUP(V680,TD!$N$33:$O$45,2,0)," ")</f>
        <v xml:space="preserve"> </v>
      </c>
      <c r="X680" s="127" t="str">
        <f>CONCATENATE(V680,"_",W680)</f>
        <v xml:space="preserve">_ </v>
      </c>
      <c r="Y680" s="127" t="str">
        <f>CONCATENATE(U680," ",X680)</f>
        <v xml:space="preserve">-  _ </v>
      </c>
      <c r="Z680" s="125" t="str">
        <f>CONCATENATE(P680,Q680,R680,S680,V680)</f>
        <v xml:space="preserve">   </v>
      </c>
      <c r="AA680" s="125" t="str">
        <f>IFERROR(VLOOKUP(Y680,TD!$K$46:$L$64,2,0)," ")</f>
        <v xml:space="preserve"> </v>
      </c>
      <c r="AB680" s="53"/>
      <c r="AC680" s="126"/>
    </row>
    <row r="681" spans="2:29" s="28" customFormat="1" ht="74.25" customHeight="1" x14ac:dyDescent="0.35">
      <c r="B681" s="77"/>
      <c r="C681" s="50"/>
      <c r="D681" s="123"/>
      <c r="E681" s="51"/>
      <c r="F681" s="123"/>
      <c r="G681" s="123"/>
      <c r="H681" s="97"/>
      <c r="I681" s="124"/>
      <c r="J681" s="124"/>
      <c r="K681" s="52"/>
      <c r="L681" s="53"/>
      <c r="M681" s="123"/>
      <c r="N681" s="53"/>
      <c r="O681" s="51"/>
      <c r="P681" s="125" t="str">
        <f>IFERROR(VLOOKUP(C681,TD!$B$32:$F$36,2,0)," ")</f>
        <v xml:space="preserve"> </v>
      </c>
      <c r="Q681" s="125" t="str">
        <f>IFERROR(VLOOKUP(C681,TD!$B$32:$F$36,3,0)," ")</f>
        <v xml:space="preserve"> </v>
      </c>
      <c r="R681" s="125" t="str">
        <f>IFERROR(VLOOKUP(C681,TD!$B$32:$F$36,4,0)," ")</f>
        <v xml:space="preserve"> </v>
      </c>
      <c r="S681" s="51"/>
      <c r="T681" s="125" t="str">
        <f>IFERROR(VLOOKUP(S681,TD!$J$33:$K$43,2,0)," ")</f>
        <v xml:space="preserve"> </v>
      </c>
      <c r="U681" s="127" t="str">
        <f>CONCATENATE(S681,"-",T681)</f>
        <v xml:space="preserve">- </v>
      </c>
      <c r="V681" s="51"/>
      <c r="W681" s="125" t="str">
        <f>IFERROR(VLOOKUP(V681,TD!$N$33:$O$45,2,0)," ")</f>
        <v xml:space="preserve"> </v>
      </c>
      <c r="X681" s="127" t="str">
        <f>CONCATENATE(V681,"_",W681)</f>
        <v xml:space="preserve">_ </v>
      </c>
      <c r="Y681" s="127" t="str">
        <f>CONCATENATE(U681," ",X681)</f>
        <v xml:space="preserve">-  _ </v>
      </c>
      <c r="Z681" s="125" t="str">
        <f>CONCATENATE(P681,Q681,R681,S681,V681)</f>
        <v xml:space="preserve">   </v>
      </c>
      <c r="AA681" s="125" t="str">
        <f>IFERROR(VLOOKUP(Y681,TD!$K$46:$L$64,2,0)," ")</f>
        <v xml:space="preserve"> </v>
      </c>
      <c r="AB681" s="53"/>
      <c r="AC681" s="126"/>
    </row>
    <row r="682" spans="2:29" s="28" customFormat="1" ht="74.25" customHeight="1" x14ac:dyDescent="0.35">
      <c r="B682" s="77"/>
      <c r="C682" s="50"/>
      <c r="D682" s="123"/>
      <c r="E682" s="51"/>
      <c r="F682" s="123"/>
      <c r="G682" s="123"/>
      <c r="H682" s="97"/>
      <c r="I682" s="124"/>
      <c r="J682" s="124"/>
      <c r="K682" s="52"/>
      <c r="L682" s="53"/>
      <c r="M682" s="123"/>
      <c r="N682" s="53"/>
      <c r="O682" s="51"/>
      <c r="P682" s="125" t="str">
        <f>IFERROR(VLOOKUP(C682,TD!$B$32:$F$36,2,0)," ")</f>
        <v xml:space="preserve"> </v>
      </c>
      <c r="Q682" s="125" t="str">
        <f>IFERROR(VLOOKUP(C682,TD!$B$32:$F$36,3,0)," ")</f>
        <v xml:space="preserve"> </v>
      </c>
      <c r="R682" s="125" t="str">
        <f>IFERROR(VLOOKUP(C682,TD!$B$32:$F$36,4,0)," ")</f>
        <v xml:space="preserve"> </v>
      </c>
      <c r="S682" s="51"/>
      <c r="T682" s="125" t="str">
        <f>IFERROR(VLOOKUP(S682,TD!$J$33:$K$43,2,0)," ")</f>
        <v xml:space="preserve"> </v>
      </c>
      <c r="U682" s="127" t="str">
        <f>CONCATENATE(S682,"-",T682)</f>
        <v xml:space="preserve">- </v>
      </c>
      <c r="V682" s="51"/>
      <c r="W682" s="125" t="str">
        <f>IFERROR(VLOOKUP(V682,TD!$N$33:$O$45,2,0)," ")</f>
        <v xml:space="preserve"> </v>
      </c>
      <c r="X682" s="127" t="str">
        <f>CONCATENATE(V682,"_",W682)</f>
        <v xml:space="preserve">_ </v>
      </c>
      <c r="Y682" s="127" t="str">
        <f>CONCATENATE(U682," ",X682)</f>
        <v xml:space="preserve">-  _ </v>
      </c>
      <c r="Z682" s="125" t="str">
        <f>CONCATENATE(P682,Q682,R682,S682,V682)</f>
        <v xml:space="preserve">   </v>
      </c>
      <c r="AA682" s="125" t="str">
        <f>IFERROR(VLOOKUP(Y682,TD!$K$46:$L$64,2,0)," ")</f>
        <v xml:space="preserve"> </v>
      </c>
      <c r="AB682" s="53"/>
      <c r="AC682" s="126"/>
    </row>
    <row r="683" spans="2:29" s="28" customFormat="1" ht="74.25" customHeight="1" x14ac:dyDescent="0.35">
      <c r="B683" s="77"/>
      <c r="C683" s="50"/>
      <c r="D683" s="123"/>
      <c r="E683" s="51"/>
      <c r="F683" s="123"/>
      <c r="G683" s="123"/>
      <c r="H683" s="97"/>
      <c r="I683" s="124"/>
      <c r="J683" s="124"/>
      <c r="K683" s="52"/>
      <c r="L683" s="53"/>
      <c r="M683" s="123"/>
      <c r="N683" s="53"/>
      <c r="O683" s="51"/>
      <c r="P683" s="125" t="str">
        <f>IFERROR(VLOOKUP(C683,TD!$B$32:$F$36,2,0)," ")</f>
        <v xml:space="preserve"> </v>
      </c>
      <c r="Q683" s="125" t="str">
        <f>IFERROR(VLOOKUP(C683,TD!$B$32:$F$36,3,0)," ")</f>
        <v xml:space="preserve"> </v>
      </c>
      <c r="R683" s="125" t="str">
        <f>IFERROR(VLOOKUP(C683,TD!$B$32:$F$36,4,0)," ")</f>
        <v xml:space="preserve"> </v>
      </c>
      <c r="S683" s="51"/>
      <c r="T683" s="125" t="str">
        <f>IFERROR(VLOOKUP(S683,TD!$J$33:$K$43,2,0)," ")</f>
        <v xml:space="preserve"> </v>
      </c>
      <c r="U683" s="127" t="str">
        <f>CONCATENATE(S683,"-",T683)</f>
        <v xml:space="preserve">- </v>
      </c>
      <c r="V683" s="51"/>
      <c r="W683" s="125" t="str">
        <f>IFERROR(VLOOKUP(V683,TD!$N$33:$O$45,2,0)," ")</f>
        <v xml:space="preserve"> </v>
      </c>
      <c r="X683" s="127" t="str">
        <f>CONCATENATE(V683,"_",W683)</f>
        <v xml:space="preserve">_ </v>
      </c>
      <c r="Y683" s="127" t="str">
        <f>CONCATENATE(U683," ",X683)</f>
        <v xml:space="preserve">-  _ </v>
      </c>
      <c r="Z683" s="125" t="str">
        <f>CONCATENATE(P683,Q683,R683,S683,V683)</f>
        <v xml:space="preserve">   </v>
      </c>
      <c r="AA683" s="125" t="str">
        <f>IFERROR(VLOOKUP(Y683,TD!$K$46:$L$64,2,0)," ")</f>
        <v xml:space="preserve"> </v>
      </c>
      <c r="AB683" s="53"/>
      <c r="AC683" s="126"/>
    </row>
    <row r="684" spans="2:29" s="28" customFormat="1" ht="74.25" customHeight="1" x14ac:dyDescent="0.35">
      <c r="B684" s="77"/>
      <c r="C684" s="50"/>
      <c r="D684" s="123"/>
      <c r="E684" s="51"/>
      <c r="F684" s="123"/>
      <c r="G684" s="123"/>
      <c r="H684" s="97"/>
      <c r="I684" s="124"/>
      <c r="J684" s="124"/>
      <c r="K684" s="52"/>
      <c r="L684" s="53"/>
      <c r="M684" s="123"/>
      <c r="N684" s="53"/>
      <c r="O684" s="51"/>
      <c r="P684" s="125" t="str">
        <f>IFERROR(VLOOKUP(C684,TD!$B$32:$F$36,2,0)," ")</f>
        <v xml:space="preserve"> </v>
      </c>
      <c r="Q684" s="125" t="str">
        <f>IFERROR(VLOOKUP(C684,TD!$B$32:$F$36,3,0)," ")</f>
        <v xml:space="preserve"> </v>
      </c>
      <c r="R684" s="125" t="str">
        <f>IFERROR(VLOOKUP(C684,TD!$B$32:$F$36,4,0)," ")</f>
        <v xml:space="preserve"> </v>
      </c>
      <c r="S684" s="51"/>
      <c r="T684" s="125" t="str">
        <f>IFERROR(VLOOKUP(S684,TD!$J$33:$K$43,2,0)," ")</f>
        <v xml:space="preserve"> </v>
      </c>
      <c r="U684" s="127" t="str">
        <f>CONCATENATE(S684,"-",T684)</f>
        <v xml:space="preserve">- </v>
      </c>
      <c r="V684" s="51"/>
      <c r="W684" s="125" t="str">
        <f>IFERROR(VLOOKUP(V684,TD!$N$33:$O$45,2,0)," ")</f>
        <v xml:space="preserve"> </v>
      </c>
      <c r="X684" s="127" t="str">
        <f>CONCATENATE(V684,"_",W684)</f>
        <v xml:space="preserve">_ </v>
      </c>
      <c r="Y684" s="127" t="str">
        <f>CONCATENATE(U684," ",X684)</f>
        <v xml:space="preserve">-  _ </v>
      </c>
      <c r="Z684" s="125" t="str">
        <f>CONCATENATE(P684,Q684,R684,S684,V684)</f>
        <v xml:space="preserve">   </v>
      </c>
      <c r="AA684" s="125" t="str">
        <f>IFERROR(VLOOKUP(Y684,TD!$K$46:$L$64,2,0)," ")</f>
        <v xml:space="preserve"> </v>
      </c>
      <c r="AB684" s="53"/>
      <c r="AC684" s="126"/>
    </row>
    <row r="685" spans="2:29" s="28" customFormat="1" ht="74.25" customHeight="1" x14ac:dyDescent="0.35">
      <c r="B685" s="77"/>
      <c r="C685" s="50"/>
      <c r="D685" s="123"/>
      <c r="E685" s="51"/>
      <c r="F685" s="123"/>
      <c r="G685" s="123"/>
      <c r="H685" s="97"/>
      <c r="I685" s="124"/>
      <c r="J685" s="124"/>
      <c r="K685" s="52"/>
      <c r="L685" s="53"/>
      <c r="M685" s="123"/>
      <c r="N685" s="53"/>
      <c r="O685" s="51"/>
      <c r="P685" s="125" t="str">
        <f>IFERROR(VLOOKUP(C685,TD!$B$32:$F$36,2,0)," ")</f>
        <v xml:space="preserve"> </v>
      </c>
      <c r="Q685" s="125" t="str">
        <f>IFERROR(VLOOKUP(C685,TD!$B$32:$F$36,3,0)," ")</f>
        <v xml:space="preserve"> </v>
      </c>
      <c r="R685" s="125" t="str">
        <f>IFERROR(VLOOKUP(C685,TD!$B$32:$F$36,4,0)," ")</f>
        <v xml:space="preserve"> </v>
      </c>
      <c r="S685" s="51"/>
      <c r="T685" s="125" t="str">
        <f>IFERROR(VLOOKUP(S685,TD!$J$33:$K$43,2,0)," ")</f>
        <v xml:space="preserve"> </v>
      </c>
      <c r="U685" s="127" t="str">
        <f>CONCATENATE(S685,"-",T685)</f>
        <v xml:space="preserve">- </v>
      </c>
      <c r="V685" s="51"/>
      <c r="W685" s="125" t="str">
        <f>IFERROR(VLOOKUP(V685,TD!$N$33:$O$45,2,0)," ")</f>
        <v xml:space="preserve"> </v>
      </c>
      <c r="X685" s="127" t="str">
        <f>CONCATENATE(V685,"_",W685)</f>
        <v xml:space="preserve">_ </v>
      </c>
      <c r="Y685" s="127" t="str">
        <f>CONCATENATE(U685," ",X685)</f>
        <v xml:space="preserve">-  _ </v>
      </c>
      <c r="Z685" s="125" t="str">
        <f>CONCATENATE(P685,Q685,R685,S685,V685)</f>
        <v xml:space="preserve">   </v>
      </c>
      <c r="AA685" s="125" t="str">
        <f>IFERROR(VLOOKUP(Y685,TD!$K$46:$L$64,2,0)," ")</f>
        <v xml:space="preserve"> </v>
      </c>
      <c r="AB685" s="53"/>
      <c r="AC685" s="126"/>
    </row>
    <row r="686" spans="2:29" s="28" customFormat="1" ht="74.25" customHeight="1" x14ac:dyDescent="0.35">
      <c r="B686" s="77"/>
      <c r="C686" s="50"/>
      <c r="D686" s="123"/>
      <c r="E686" s="51"/>
      <c r="F686" s="123"/>
      <c r="G686" s="123"/>
      <c r="H686" s="97"/>
      <c r="I686" s="124"/>
      <c r="J686" s="124"/>
      <c r="K686" s="52"/>
      <c r="L686" s="53"/>
      <c r="M686" s="123"/>
      <c r="N686" s="53"/>
      <c r="O686" s="51"/>
      <c r="P686" s="125" t="str">
        <f>IFERROR(VLOOKUP(C686,TD!$B$32:$F$36,2,0)," ")</f>
        <v xml:space="preserve"> </v>
      </c>
      <c r="Q686" s="125" t="str">
        <f>IFERROR(VLOOKUP(C686,TD!$B$32:$F$36,3,0)," ")</f>
        <v xml:space="preserve"> </v>
      </c>
      <c r="R686" s="125" t="str">
        <f>IFERROR(VLOOKUP(C686,TD!$B$32:$F$36,4,0)," ")</f>
        <v xml:space="preserve"> </v>
      </c>
      <c r="S686" s="51"/>
      <c r="T686" s="125" t="str">
        <f>IFERROR(VLOOKUP(S686,TD!$J$33:$K$43,2,0)," ")</f>
        <v xml:space="preserve"> </v>
      </c>
      <c r="U686" s="127" t="str">
        <f>CONCATENATE(S686,"-",T686)</f>
        <v xml:space="preserve">- </v>
      </c>
      <c r="V686" s="51"/>
      <c r="W686" s="125" t="str">
        <f>IFERROR(VLOOKUP(V686,TD!$N$33:$O$45,2,0)," ")</f>
        <v xml:space="preserve"> </v>
      </c>
      <c r="X686" s="127" t="str">
        <f>CONCATENATE(V686,"_",W686)</f>
        <v xml:space="preserve">_ </v>
      </c>
      <c r="Y686" s="127" t="str">
        <f>CONCATENATE(U686," ",X686)</f>
        <v xml:space="preserve">-  _ </v>
      </c>
      <c r="Z686" s="125" t="str">
        <f>CONCATENATE(P686,Q686,R686,S686,V686)</f>
        <v xml:space="preserve">   </v>
      </c>
      <c r="AA686" s="125" t="str">
        <f>IFERROR(VLOOKUP(Y686,TD!$K$46:$L$64,2,0)," ")</f>
        <v xml:space="preserve"> </v>
      </c>
      <c r="AB686" s="53"/>
      <c r="AC686" s="126"/>
    </row>
    <row r="687" spans="2:29" s="28" customFormat="1" ht="74.25" customHeight="1" x14ac:dyDescent="0.35">
      <c r="B687" s="77"/>
      <c r="C687" s="50"/>
      <c r="D687" s="123"/>
      <c r="E687" s="51"/>
      <c r="F687" s="123"/>
      <c r="G687" s="123"/>
      <c r="H687" s="97"/>
      <c r="I687" s="124"/>
      <c r="J687" s="124"/>
      <c r="K687" s="52"/>
      <c r="L687" s="53"/>
      <c r="M687" s="123"/>
      <c r="N687" s="53"/>
      <c r="O687" s="51"/>
      <c r="P687" s="125" t="str">
        <f>IFERROR(VLOOKUP(C687,TD!$B$32:$F$36,2,0)," ")</f>
        <v xml:space="preserve"> </v>
      </c>
      <c r="Q687" s="125" t="str">
        <f>IFERROR(VLOOKUP(C687,TD!$B$32:$F$36,3,0)," ")</f>
        <v xml:space="preserve"> </v>
      </c>
      <c r="R687" s="125" t="str">
        <f>IFERROR(VLOOKUP(C687,TD!$B$32:$F$36,4,0)," ")</f>
        <v xml:space="preserve"> </v>
      </c>
      <c r="S687" s="51"/>
      <c r="T687" s="125" t="str">
        <f>IFERROR(VLOOKUP(S687,TD!$J$33:$K$43,2,0)," ")</f>
        <v xml:space="preserve"> </v>
      </c>
      <c r="U687" s="127" t="str">
        <f>CONCATENATE(S687,"-",T687)</f>
        <v xml:space="preserve">- </v>
      </c>
      <c r="V687" s="51"/>
      <c r="W687" s="125" t="str">
        <f>IFERROR(VLOOKUP(V687,TD!$N$33:$O$45,2,0)," ")</f>
        <v xml:space="preserve"> </v>
      </c>
      <c r="X687" s="127" t="str">
        <f>CONCATENATE(V687,"_",W687)</f>
        <v xml:space="preserve">_ </v>
      </c>
      <c r="Y687" s="127" t="str">
        <f>CONCATENATE(U687," ",X687)</f>
        <v xml:space="preserve">-  _ </v>
      </c>
      <c r="Z687" s="125" t="str">
        <f>CONCATENATE(P687,Q687,R687,S687,V687)</f>
        <v xml:space="preserve">   </v>
      </c>
      <c r="AA687" s="125" t="str">
        <f>IFERROR(VLOOKUP(Y687,TD!$K$46:$L$64,2,0)," ")</f>
        <v xml:space="preserve"> </v>
      </c>
      <c r="AB687" s="53"/>
      <c r="AC687" s="126"/>
    </row>
    <row r="688" spans="2:29" s="28" customFormat="1" ht="74.25" customHeight="1" x14ac:dyDescent="0.35">
      <c r="B688" s="77"/>
      <c r="C688" s="50"/>
      <c r="D688" s="123"/>
      <c r="E688" s="51"/>
      <c r="F688" s="123"/>
      <c r="G688" s="123"/>
      <c r="H688" s="97"/>
      <c r="I688" s="124"/>
      <c r="J688" s="124"/>
      <c r="K688" s="52"/>
      <c r="L688" s="53"/>
      <c r="M688" s="123"/>
      <c r="N688" s="53"/>
      <c r="O688" s="51"/>
      <c r="P688" s="125" t="str">
        <f>IFERROR(VLOOKUP(C688,TD!$B$32:$F$36,2,0)," ")</f>
        <v xml:space="preserve"> </v>
      </c>
      <c r="Q688" s="125" t="str">
        <f>IFERROR(VLOOKUP(C688,TD!$B$32:$F$36,3,0)," ")</f>
        <v xml:space="preserve"> </v>
      </c>
      <c r="R688" s="125" t="str">
        <f>IFERROR(VLOOKUP(C688,TD!$B$32:$F$36,4,0)," ")</f>
        <v xml:space="preserve"> </v>
      </c>
      <c r="S688" s="51"/>
      <c r="T688" s="125" t="str">
        <f>IFERROR(VLOOKUP(S688,TD!$J$33:$K$43,2,0)," ")</f>
        <v xml:space="preserve"> </v>
      </c>
      <c r="U688" s="127" t="str">
        <f>CONCATENATE(S688,"-",T688)</f>
        <v xml:space="preserve">- </v>
      </c>
      <c r="V688" s="51"/>
      <c r="W688" s="125" t="str">
        <f>IFERROR(VLOOKUP(V688,TD!$N$33:$O$45,2,0)," ")</f>
        <v xml:space="preserve"> </v>
      </c>
      <c r="X688" s="127" t="str">
        <f>CONCATENATE(V688,"_",W688)</f>
        <v xml:space="preserve">_ </v>
      </c>
      <c r="Y688" s="127" t="str">
        <f>CONCATENATE(U688," ",X688)</f>
        <v xml:space="preserve">-  _ </v>
      </c>
      <c r="Z688" s="125" t="str">
        <f>CONCATENATE(P688,Q688,R688,S688,V688)</f>
        <v xml:space="preserve">   </v>
      </c>
      <c r="AA688" s="125" t="str">
        <f>IFERROR(VLOOKUP(Y688,TD!$K$46:$L$64,2,0)," ")</f>
        <v xml:space="preserve"> </v>
      </c>
      <c r="AB688" s="53"/>
      <c r="AC688" s="126"/>
    </row>
    <row r="689" spans="2:29" s="28" customFormat="1" ht="74.25" customHeight="1" x14ac:dyDescent="0.35">
      <c r="B689" s="77"/>
      <c r="C689" s="50"/>
      <c r="D689" s="123"/>
      <c r="E689" s="51"/>
      <c r="F689" s="123"/>
      <c r="G689" s="123"/>
      <c r="H689" s="97"/>
      <c r="I689" s="124"/>
      <c r="J689" s="124"/>
      <c r="K689" s="52"/>
      <c r="L689" s="53"/>
      <c r="M689" s="123"/>
      <c r="N689" s="53"/>
      <c r="O689" s="51"/>
      <c r="P689" s="125" t="str">
        <f>IFERROR(VLOOKUP(C689,TD!$B$32:$F$36,2,0)," ")</f>
        <v xml:space="preserve"> </v>
      </c>
      <c r="Q689" s="125" t="str">
        <f>IFERROR(VLOOKUP(C689,TD!$B$32:$F$36,3,0)," ")</f>
        <v xml:space="preserve"> </v>
      </c>
      <c r="R689" s="125" t="str">
        <f>IFERROR(VLOOKUP(C689,TD!$B$32:$F$36,4,0)," ")</f>
        <v xml:space="preserve"> </v>
      </c>
      <c r="S689" s="51"/>
      <c r="T689" s="125" t="str">
        <f>IFERROR(VLOOKUP(S689,TD!$J$33:$K$43,2,0)," ")</f>
        <v xml:space="preserve"> </v>
      </c>
      <c r="U689" s="127" t="str">
        <f>CONCATENATE(S689,"-",T689)</f>
        <v xml:space="preserve">- </v>
      </c>
      <c r="V689" s="51"/>
      <c r="W689" s="125" t="str">
        <f>IFERROR(VLOOKUP(V689,TD!$N$33:$O$45,2,0)," ")</f>
        <v xml:space="preserve"> </v>
      </c>
      <c r="X689" s="127" t="str">
        <f>CONCATENATE(V689,"_",W689)</f>
        <v xml:space="preserve">_ </v>
      </c>
      <c r="Y689" s="127" t="str">
        <f>CONCATENATE(U689," ",X689)</f>
        <v xml:space="preserve">-  _ </v>
      </c>
      <c r="Z689" s="125" t="str">
        <f>CONCATENATE(P689,Q689,R689,S689,V689)</f>
        <v xml:space="preserve">   </v>
      </c>
      <c r="AA689" s="125" t="str">
        <f>IFERROR(VLOOKUP(Y689,TD!$K$46:$L$64,2,0)," ")</f>
        <v xml:space="preserve"> </v>
      </c>
      <c r="AB689" s="53"/>
      <c r="AC689" s="126"/>
    </row>
    <row r="690" spans="2:29" s="28" customFormat="1" ht="74.25" customHeight="1" x14ac:dyDescent="0.35">
      <c r="B690" s="77"/>
      <c r="C690" s="50"/>
      <c r="D690" s="123"/>
      <c r="E690" s="51"/>
      <c r="F690" s="123"/>
      <c r="G690" s="123"/>
      <c r="H690" s="97"/>
      <c r="I690" s="124"/>
      <c r="J690" s="124"/>
      <c r="K690" s="52"/>
      <c r="L690" s="53"/>
      <c r="M690" s="123"/>
      <c r="N690" s="53"/>
      <c r="O690" s="51"/>
      <c r="P690" s="125" t="str">
        <f>IFERROR(VLOOKUP(C690,TD!$B$32:$F$36,2,0)," ")</f>
        <v xml:space="preserve"> </v>
      </c>
      <c r="Q690" s="125" t="str">
        <f>IFERROR(VLOOKUP(C690,TD!$B$32:$F$36,3,0)," ")</f>
        <v xml:space="preserve"> </v>
      </c>
      <c r="R690" s="125" t="str">
        <f>IFERROR(VLOOKUP(C690,TD!$B$32:$F$36,4,0)," ")</f>
        <v xml:space="preserve"> </v>
      </c>
      <c r="S690" s="51"/>
      <c r="T690" s="125" t="str">
        <f>IFERROR(VLOOKUP(S690,TD!$J$33:$K$43,2,0)," ")</f>
        <v xml:space="preserve"> </v>
      </c>
      <c r="U690" s="127" t="str">
        <f>CONCATENATE(S690,"-",T690)</f>
        <v xml:space="preserve">- </v>
      </c>
      <c r="V690" s="51"/>
      <c r="W690" s="125" t="str">
        <f>IFERROR(VLOOKUP(V690,TD!$N$33:$O$45,2,0)," ")</f>
        <v xml:space="preserve"> </v>
      </c>
      <c r="X690" s="127" t="str">
        <f>CONCATENATE(V690,"_",W690)</f>
        <v xml:space="preserve">_ </v>
      </c>
      <c r="Y690" s="127" t="str">
        <f>CONCATENATE(U690," ",X690)</f>
        <v xml:space="preserve">-  _ </v>
      </c>
      <c r="Z690" s="125" t="str">
        <f>CONCATENATE(P690,Q690,R690,S690,V690)</f>
        <v xml:space="preserve">   </v>
      </c>
      <c r="AA690" s="125" t="str">
        <f>IFERROR(VLOOKUP(Y690,TD!$K$46:$L$64,2,0)," ")</f>
        <v xml:space="preserve"> </v>
      </c>
      <c r="AB690" s="53"/>
      <c r="AC690" s="126"/>
    </row>
    <row r="691" spans="2:29" s="28" customFormat="1" ht="74.25" customHeight="1" x14ac:dyDescent="0.35">
      <c r="B691" s="77"/>
      <c r="C691" s="50"/>
      <c r="D691" s="123"/>
      <c r="E691" s="51"/>
      <c r="F691" s="123"/>
      <c r="G691" s="123"/>
      <c r="H691" s="97"/>
      <c r="I691" s="124"/>
      <c r="J691" s="124"/>
      <c r="K691" s="52"/>
      <c r="L691" s="53"/>
      <c r="M691" s="123"/>
      <c r="N691" s="53"/>
      <c r="O691" s="51"/>
      <c r="P691" s="125" t="str">
        <f>IFERROR(VLOOKUP(C691,TD!$B$32:$F$36,2,0)," ")</f>
        <v xml:space="preserve"> </v>
      </c>
      <c r="Q691" s="125" t="str">
        <f>IFERROR(VLOOKUP(C691,TD!$B$32:$F$36,3,0)," ")</f>
        <v xml:space="preserve"> </v>
      </c>
      <c r="R691" s="125" t="str">
        <f>IFERROR(VLOOKUP(C691,TD!$B$32:$F$36,4,0)," ")</f>
        <v xml:space="preserve"> </v>
      </c>
      <c r="S691" s="51"/>
      <c r="T691" s="125" t="str">
        <f>IFERROR(VLOOKUP(S691,TD!$J$33:$K$43,2,0)," ")</f>
        <v xml:space="preserve"> </v>
      </c>
      <c r="U691" s="127" t="str">
        <f>CONCATENATE(S691,"-",T691)</f>
        <v xml:space="preserve">- </v>
      </c>
      <c r="V691" s="51"/>
      <c r="W691" s="125" t="str">
        <f>IFERROR(VLOOKUP(V691,TD!$N$33:$O$45,2,0)," ")</f>
        <v xml:space="preserve"> </v>
      </c>
      <c r="X691" s="127" t="str">
        <f>CONCATENATE(V691,"_",W691)</f>
        <v xml:space="preserve">_ </v>
      </c>
      <c r="Y691" s="127" t="str">
        <f>CONCATENATE(U691," ",X691)</f>
        <v xml:space="preserve">-  _ </v>
      </c>
      <c r="Z691" s="125" t="str">
        <f>CONCATENATE(P691,Q691,R691,S691,V691)</f>
        <v xml:space="preserve">   </v>
      </c>
      <c r="AA691" s="125" t="str">
        <f>IFERROR(VLOOKUP(Y691,TD!$K$46:$L$64,2,0)," ")</f>
        <v xml:space="preserve"> </v>
      </c>
      <c r="AB691" s="53"/>
      <c r="AC691" s="126"/>
    </row>
    <row r="692" spans="2:29" s="28" customFormat="1" ht="74.25" customHeight="1" x14ac:dyDescent="0.35">
      <c r="B692" s="77"/>
      <c r="C692" s="50"/>
      <c r="D692" s="123"/>
      <c r="E692" s="51"/>
      <c r="F692" s="123"/>
      <c r="G692" s="123"/>
      <c r="H692" s="97"/>
      <c r="I692" s="124"/>
      <c r="J692" s="124"/>
      <c r="K692" s="52"/>
      <c r="L692" s="53"/>
      <c r="M692" s="123"/>
      <c r="N692" s="53"/>
      <c r="O692" s="51"/>
      <c r="P692" s="125" t="str">
        <f>IFERROR(VLOOKUP(C692,TD!$B$32:$F$36,2,0)," ")</f>
        <v xml:space="preserve"> </v>
      </c>
      <c r="Q692" s="125" t="str">
        <f>IFERROR(VLOOKUP(C692,TD!$B$32:$F$36,3,0)," ")</f>
        <v xml:space="preserve"> </v>
      </c>
      <c r="R692" s="125" t="str">
        <f>IFERROR(VLOOKUP(C692,TD!$B$32:$F$36,4,0)," ")</f>
        <v xml:space="preserve"> </v>
      </c>
      <c r="S692" s="51"/>
      <c r="T692" s="125" t="str">
        <f>IFERROR(VLOOKUP(S692,TD!$J$33:$K$43,2,0)," ")</f>
        <v xml:space="preserve"> </v>
      </c>
      <c r="U692" s="127" t="str">
        <f>CONCATENATE(S692,"-",T692)</f>
        <v xml:space="preserve">- </v>
      </c>
      <c r="V692" s="51"/>
      <c r="W692" s="125" t="str">
        <f>IFERROR(VLOOKUP(V692,TD!$N$33:$O$45,2,0)," ")</f>
        <v xml:space="preserve"> </v>
      </c>
      <c r="X692" s="127" t="str">
        <f>CONCATENATE(V692,"_",W692)</f>
        <v xml:space="preserve">_ </v>
      </c>
      <c r="Y692" s="127" t="str">
        <f>CONCATENATE(U692," ",X692)</f>
        <v xml:space="preserve">-  _ </v>
      </c>
      <c r="Z692" s="125" t="str">
        <f>CONCATENATE(P692,Q692,R692,S692,V692)</f>
        <v xml:space="preserve">   </v>
      </c>
      <c r="AA692" s="125" t="str">
        <f>IFERROR(VLOOKUP(Y692,TD!$K$46:$L$64,2,0)," ")</f>
        <v xml:space="preserve"> </v>
      </c>
      <c r="AB692" s="53"/>
      <c r="AC692" s="126"/>
    </row>
    <row r="693" spans="2:29" s="28" customFormat="1" ht="74.25" customHeight="1" x14ac:dyDescent="0.35">
      <c r="B693" s="77"/>
      <c r="C693" s="50"/>
      <c r="D693" s="123"/>
      <c r="E693" s="51"/>
      <c r="F693" s="123"/>
      <c r="G693" s="123"/>
      <c r="H693" s="97"/>
      <c r="I693" s="124"/>
      <c r="J693" s="124"/>
      <c r="K693" s="52"/>
      <c r="L693" s="53"/>
      <c r="M693" s="123"/>
      <c r="N693" s="53"/>
      <c r="O693" s="51"/>
      <c r="P693" s="125" t="str">
        <f>IFERROR(VLOOKUP(C693,TD!$B$32:$F$36,2,0)," ")</f>
        <v xml:space="preserve"> </v>
      </c>
      <c r="Q693" s="125" t="str">
        <f>IFERROR(VLOOKUP(C693,TD!$B$32:$F$36,3,0)," ")</f>
        <v xml:space="preserve"> </v>
      </c>
      <c r="R693" s="125" t="str">
        <f>IFERROR(VLOOKUP(C693,TD!$B$32:$F$36,4,0)," ")</f>
        <v xml:space="preserve"> </v>
      </c>
      <c r="S693" s="51"/>
      <c r="T693" s="125" t="str">
        <f>IFERROR(VLOOKUP(S693,TD!$J$33:$K$43,2,0)," ")</f>
        <v xml:space="preserve"> </v>
      </c>
      <c r="U693" s="127" t="str">
        <f>CONCATENATE(S693,"-",T693)</f>
        <v xml:space="preserve">- </v>
      </c>
      <c r="V693" s="51"/>
      <c r="W693" s="125" t="str">
        <f>IFERROR(VLOOKUP(V693,TD!$N$33:$O$45,2,0)," ")</f>
        <v xml:space="preserve"> </v>
      </c>
      <c r="X693" s="127" t="str">
        <f>CONCATENATE(V693,"_",W693)</f>
        <v xml:space="preserve">_ </v>
      </c>
      <c r="Y693" s="127" t="str">
        <f>CONCATENATE(U693," ",X693)</f>
        <v xml:space="preserve">-  _ </v>
      </c>
      <c r="Z693" s="125" t="str">
        <f>CONCATENATE(P693,Q693,R693,S693,V693)</f>
        <v xml:space="preserve">   </v>
      </c>
      <c r="AA693" s="125" t="str">
        <f>IFERROR(VLOOKUP(Y693,TD!$K$46:$L$64,2,0)," ")</f>
        <v xml:space="preserve"> </v>
      </c>
      <c r="AB693" s="53"/>
      <c r="AC693" s="126"/>
    </row>
    <row r="694" spans="2:29" s="28" customFormat="1" ht="74.25" customHeight="1" x14ac:dyDescent="0.35">
      <c r="B694" s="77"/>
      <c r="C694" s="50"/>
      <c r="D694" s="123"/>
      <c r="E694" s="51"/>
      <c r="F694" s="123"/>
      <c r="G694" s="123"/>
      <c r="H694" s="97"/>
      <c r="I694" s="124"/>
      <c r="J694" s="124"/>
      <c r="K694" s="52"/>
      <c r="L694" s="53"/>
      <c r="M694" s="123"/>
      <c r="N694" s="53"/>
      <c r="O694" s="51"/>
      <c r="P694" s="125" t="str">
        <f>IFERROR(VLOOKUP(C694,TD!$B$32:$F$36,2,0)," ")</f>
        <v xml:space="preserve"> </v>
      </c>
      <c r="Q694" s="125" t="str">
        <f>IFERROR(VLOOKUP(C694,TD!$B$32:$F$36,3,0)," ")</f>
        <v xml:space="preserve"> </v>
      </c>
      <c r="R694" s="125" t="str">
        <f>IFERROR(VLOOKUP(C694,TD!$B$32:$F$36,4,0)," ")</f>
        <v xml:space="preserve"> </v>
      </c>
      <c r="S694" s="51"/>
      <c r="T694" s="125" t="str">
        <f>IFERROR(VLOOKUP(S694,TD!$J$33:$K$43,2,0)," ")</f>
        <v xml:space="preserve"> </v>
      </c>
      <c r="U694" s="127" t="str">
        <f>CONCATENATE(S694,"-",T694)</f>
        <v xml:space="preserve">- </v>
      </c>
      <c r="V694" s="51"/>
      <c r="W694" s="125" t="str">
        <f>IFERROR(VLOOKUP(V694,TD!$N$33:$O$45,2,0)," ")</f>
        <v xml:space="preserve"> </v>
      </c>
      <c r="X694" s="127" t="str">
        <f>CONCATENATE(V694,"_",W694)</f>
        <v xml:space="preserve">_ </v>
      </c>
      <c r="Y694" s="127" t="str">
        <f>CONCATENATE(U694," ",X694)</f>
        <v xml:space="preserve">-  _ </v>
      </c>
      <c r="Z694" s="125" t="str">
        <f>CONCATENATE(P694,Q694,R694,S694,V694)</f>
        <v xml:space="preserve">   </v>
      </c>
      <c r="AA694" s="125" t="str">
        <f>IFERROR(VLOOKUP(Y694,TD!$K$46:$L$64,2,0)," ")</f>
        <v xml:space="preserve"> </v>
      </c>
      <c r="AB694" s="53"/>
      <c r="AC694" s="126"/>
    </row>
    <row r="695" spans="2:29" s="28" customFormat="1" ht="74.25" customHeight="1" x14ac:dyDescent="0.35">
      <c r="B695" s="77"/>
      <c r="C695" s="50"/>
      <c r="D695" s="123"/>
      <c r="E695" s="51"/>
      <c r="F695" s="123"/>
      <c r="G695" s="123"/>
      <c r="H695" s="97"/>
      <c r="I695" s="124"/>
      <c r="J695" s="124"/>
      <c r="K695" s="52"/>
      <c r="L695" s="53"/>
      <c r="M695" s="123"/>
      <c r="N695" s="53"/>
      <c r="O695" s="51"/>
      <c r="P695" s="125" t="str">
        <f>IFERROR(VLOOKUP(C695,TD!$B$32:$F$36,2,0)," ")</f>
        <v xml:space="preserve"> </v>
      </c>
      <c r="Q695" s="125" t="str">
        <f>IFERROR(VLOOKUP(C695,TD!$B$32:$F$36,3,0)," ")</f>
        <v xml:space="preserve"> </v>
      </c>
      <c r="R695" s="125" t="str">
        <f>IFERROR(VLOOKUP(C695,TD!$B$32:$F$36,4,0)," ")</f>
        <v xml:space="preserve"> </v>
      </c>
      <c r="S695" s="51"/>
      <c r="T695" s="125" t="str">
        <f>IFERROR(VLOOKUP(S695,TD!$J$33:$K$43,2,0)," ")</f>
        <v xml:space="preserve"> </v>
      </c>
      <c r="U695" s="127" t="str">
        <f>CONCATENATE(S695,"-",T695)</f>
        <v xml:space="preserve">- </v>
      </c>
      <c r="V695" s="51"/>
      <c r="W695" s="125" t="str">
        <f>IFERROR(VLOOKUP(V695,TD!$N$33:$O$45,2,0)," ")</f>
        <v xml:space="preserve"> </v>
      </c>
      <c r="X695" s="127" t="str">
        <f>CONCATENATE(V695,"_",W695)</f>
        <v xml:space="preserve">_ </v>
      </c>
      <c r="Y695" s="127" t="str">
        <f>CONCATENATE(U695," ",X695)</f>
        <v xml:space="preserve">-  _ </v>
      </c>
      <c r="Z695" s="125" t="str">
        <f>CONCATENATE(P695,Q695,R695,S695,V695)</f>
        <v xml:space="preserve">   </v>
      </c>
      <c r="AA695" s="125" t="str">
        <f>IFERROR(VLOOKUP(Y695,TD!$K$46:$L$64,2,0)," ")</f>
        <v xml:space="preserve"> </v>
      </c>
      <c r="AB695" s="53"/>
      <c r="AC695" s="126"/>
    </row>
    <row r="696" spans="2:29" s="28" customFormat="1" ht="74.25" customHeight="1" x14ac:dyDescent="0.35">
      <c r="B696" s="77"/>
      <c r="C696" s="50"/>
      <c r="D696" s="123"/>
      <c r="E696" s="51"/>
      <c r="F696" s="123"/>
      <c r="G696" s="123"/>
      <c r="H696" s="97"/>
      <c r="I696" s="124"/>
      <c r="J696" s="124"/>
      <c r="K696" s="52"/>
      <c r="L696" s="53"/>
      <c r="M696" s="123"/>
      <c r="N696" s="53"/>
      <c r="O696" s="51"/>
      <c r="P696" s="125" t="str">
        <f>IFERROR(VLOOKUP(C696,TD!$B$32:$F$36,2,0)," ")</f>
        <v xml:space="preserve"> </v>
      </c>
      <c r="Q696" s="125" t="str">
        <f>IFERROR(VLOOKUP(C696,TD!$B$32:$F$36,3,0)," ")</f>
        <v xml:space="preserve"> </v>
      </c>
      <c r="R696" s="125" t="str">
        <f>IFERROR(VLOOKUP(C696,TD!$B$32:$F$36,4,0)," ")</f>
        <v xml:space="preserve"> </v>
      </c>
      <c r="S696" s="51"/>
      <c r="T696" s="125" t="str">
        <f>IFERROR(VLOOKUP(S696,TD!$J$33:$K$43,2,0)," ")</f>
        <v xml:space="preserve"> </v>
      </c>
      <c r="U696" s="127" t="str">
        <f>CONCATENATE(S696,"-",T696)</f>
        <v xml:space="preserve">- </v>
      </c>
      <c r="V696" s="51"/>
      <c r="W696" s="125" t="str">
        <f>IFERROR(VLOOKUP(V696,TD!$N$33:$O$45,2,0)," ")</f>
        <v xml:space="preserve"> </v>
      </c>
      <c r="X696" s="127" t="str">
        <f>CONCATENATE(V696,"_",W696)</f>
        <v xml:space="preserve">_ </v>
      </c>
      <c r="Y696" s="127" t="str">
        <f>CONCATENATE(U696," ",X696)</f>
        <v xml:space="preserve">-  _ </v>
      </c>
      <c r="Z696" s="125" t="str">
        <f>CONCATENATE(P696,Q696,R696,S696,V696)</f>
        <v xml:space="preserve">   </v>
      </c>
      <c r="AA696" s="125" t="str">
        <f>IFERROR(VLOOKUP(Y696,TD!$K$46:$L$64,2,0)," ")</f>
        <v xml:space="preserve"> </v>
      </c>
      <c r="AB696" s="53"/>
      <c r="AC696" s="126"/>
    </row>
    <row r="697" spans="2:29" s="28" customFormat="1" ht="74.25" customHeight="1" x14ac:dyDescent="0.35">
      <c r="B697" s="77"/>
      <c r="C697" s="50"/>
      <c r="D697" s="123"/>
      <c r="E697" s="51"/>
      <c r="F697" s="123"/>
      <c r="G697" s="123"/>
      <c r="H697" s="97"/>
      <c r="I697" s="124"/>
      <c r="J697" s="124"/>
      <c r="K697" s="52"/>
      <c r="L697" s="53"/>
      <c r="M697" s="123"/>
      <c r="N697" s="53"/>
      <c r="O697" s="51"/>
      <c r="P697" s="125" t="str">
        <f>IFERROR(VLOOKUP(C697,TD!$B$32:$F$36,2,0)," ")</f>
        <v xml:space="preserve"> </v>
      </c>
      <c r="Q697" s="125" t="str">
        <f>IFERROR(VLOOKUP(C697,TD!$B$32:$F$36,3,0)," ")</f>
        <v xml:space="preserve"> </v>
      </c>
      <c r="R697" s="125" t="str">
        <f>IFERROR(VLOOKUP(C697,TD!$B$32:$F$36,4,0)," ")</f>
        <v xml:space="preserve"> </v>
      </c>
      <c r="S697" s="51"/>
      <c r="T697" s="125" t="str">
        <f>IFERROR(VLOOKUP(S697,TD!$J$33:$K$43,2,0)," ")</f>
        <v xml:space="preserve"> </v>
      </c>
      <c r="U697" s="127" t="str">
        <f>CONCATENATE(S697,"-",T697)</f>
        <v xml:space="preserve">- </v>
      </c>
      <c r="V697" s="51"/>
      <c r="W697" s="125" t="str">
        <f>IFERROR(VLOOKUP(V697,TD!$N$33:$O$45,2,0)," ")</f>
        <v xml:space="preserve"> </v>
      </c>
      <c r="X697" s="127" t="str">
        <f>CONCATENATE(V697,"_",W697)</f>
        <v xml:space="preserve">_ </v>
      </c>
      <c r="Y697" s="127" t="str">
        <f>CONCATENATE(U697," ",X697)</f>
        <v xml:space="preserve">-  _ </v>
      </c>
      <c r="Z697" s="125" t="str">
        <f>CONCATENATE(P697,Q697,R697,S697,V697)</f>
        <v xml:space="preserve">   </v>
      </c>
      <c r="AA697" s="125" t="str">
        <f>IFERROR(VLOOKUP(Y697,TD!$K$46:$L$64,2,0)," ")</f>
        <v xml:space="preserve"> </v>
      </c>
      <c r="AB697" s="53"/>
      <c r="AC697" s="126"/>
    </row>
    <row r="698" spans="2:29" s="28" customFormat="1" ht="74.25" customHeight="1" x14ac:dyDescent="0.35">
      <c r="B698" s="77"/>
      <c r="C698" s="50"/>
      <c r="D698" s="123"/>
      <c r="E698" s="51"/>
      <c r="F698" s="123"/>
      <c r="G698" s="123"/>
      <c r="H698" s="97"/>
      <c r="I698" s="124"/>
      <c r="J698" s="124"/>
      <c r="K698" s="52"/>
      <c r="L698" s="53"/>
      <c r="M698" s="123"/>
      <c r="N698" s="53"/>
      <c r="O698" s="51"/>
      <c r="P698" s="125" t="str">
        <f>IFERROR(VLOOKUP(C698,TD!$B$32:$F$36,2,0)," ")</f>
        <v xml:space="preserve"> </v>
      </c>
      <c r="Q698" s="125" t="str">
        <f>IFERROR(VLOOKUP(C698,TD!$B$32:$F$36,3,0)," ")</f>
        <v xml:space="preserve"> </v>
      </c>
      <c r="R698" s="125" t="str">
        <f>IFERROR(VLOOKUP(C698,TD!$B$32:$F$36,4,0)," ")</f>
        <v xml:space="preserve"> </v>
      </c>
      <c r="S698" s="51"/>
      <c r="T698" s="125" t="str">
        <f>IFERROR(VLOOKUP(S698,TD!$J$33:$K$43,2,0)," ")</f>
        <v xml:space="preserve"> </v>
      </c>
      <c r="U698" s="127" t="str">
        <f>CONCATENATE(S698,"-",T698)</f>
        <v xml:space="preserve">- </v>
      </c>
      <c r="V698" s="51"/>
      <c r="W698" s="125" t="str">
        <f>IFERROR(VLOOKUP(V698,TD!$N$33:$O$45,2,0)," ")</f>
        <v xml:space="preserve"> </v>
      </c>
      <c r="X698" s="127" t="str">
        <f>CONCATENATE(V698,"_",W698)</f>
        <v xml:space="preserve">_ </v>
      </c>
      <c r="Y698" s="127" t="str">
        <f>CONCATENATE(U698," ",X698)</f>
        <v xml:space="preserve">-  _ </v>
      </c>
      <c r="Z698" s="125" t="str">
        <f>CONCATENATE(P698,Q698,R698,S698,V698)</f>
        <v xml:space="preserve">   </v>
      </c>
      <c r="AA698" s="125" t="str">
        <f>IFERROR(VLOOKUP(Y698,TD!$K$46:$L$64,2,0)," ")</f>
        <v xml:space="preserve"> </v>
      </c>
      <c r="AB698" s="53"/>
      <c r="AC698" s="126"/>
    </row>
    <row r="699" spans="2:29" s="28" customFormat="1" ht="74.25" customHeight="1" x14ac:dyDescent="0.35">
      <c r="B699" s="77"/>
      <c r="C699" s="50"/>
      <c r="D699" s="123"/>
      <c r="E699" s="51"/>
      <c r="F699" s="123"/>
      <c r="G699" s="123"/>
      <c r="H699" s="97"/>
      <c r="I699" s="124"/>
      <c r="J699" s="124"/>
      <c r="K699" s="52"/>
      <c r="L699" s="53"/>
      <c r="M699" s="123"/>
      <c r="N699" s="53"/>
      <c r="O699" s="51"/>
      <c r="P699" s="125" t="str">
        <f>IFERROR(VLOOKUP(C699,TD!$B$32:$F$36,2,0)," ")</f>
        <v xml:space="preserve"> </v>
      </c>
      <c r="Q699" s="125" t="str">
        <f>IFERROR(VLOOKUP(C699,TD!$B$32:$F$36,3,0)," ")</f>
        <v xml:space="preserve"> </v>
      </c>
      <c r="R699" s="125" t="str">
        <f>IFERROR(VLOOKUP(C699,TD!$B$32:$F$36,4,0)," ")</f>
        <v xml:space="preserve"> </v>
      </c>
      <c r="S699" s="51"/>
      <c r="T699" s="125" t="str">
        <f>IFERROR(VLOOKUP(S699,TD!$J$33:$K$43,2,0)," ")</f>
        <v xml:space="preserve"> </v>
      </c>
      <c r="U699" s="127" t="str">
        <f>CONCATENATE(S699,"-",T699)</f>
        <v xml:space="preserve">- </v>
      </c>
      <c r="V699" s="51"/>
      <c r="W699" s="125" t="str">
        <f>IFERROR(VLOOKUP(V699,TD!$N$33:$O$45,2,0)," ")</f>
        <v xml:space="preserve"> </v>
      </c>
      <c r="X699" s="127" t="str">
        <f>CONCATENATE(V699,"_",W699)</f>
        <v xml:space="preserve">_ </v>
      </c>
      <c r="Y699" s="127" t="str">
        <f>CONCATENATE(U699," ",X699)</f>
        <v xml:space="preserve">-  _ </v>
      </c>
      <c r="Z699" s="125" t="str">
        <f>CONCATENATE(P699,Q699,R699,S699,V699)</f>
        <v xml:space="preserve">   </v>
      </c>
      <c r="AA699" s="125" t="str">
        <f>IFERROR(VLOOKUP(Y699,TD!$K$46:$L$64,2,0)," ")</f>
        <v xml:space="preserve"> </v>
      </c>
      <c r="AB699" s="53"/>
      <c r="AC699" s="126"/>
    </row>
    <row r="700" spans="2:29" s="28" customFormat="1" ht="74.25" customHeight="1" x14ac:dyDescent="0.35">
      <c r="B700" s="77"/>
      <c r="C700" s="50"/>
      <c r="D700" s="123"/>
      <c r="E700" s="51"/>
      <c r="F700" s="123"/>
      <c r="G700" s="123"/>
      <c r="H700" s="97"/>
      <c r="I700" s="124"/>
      <c r="J700" s="124"/>
      <c r="K700" s="52"/>
      <c r="L700" s="53"/>
      <c r="M700" s="123"/>
      <c r="N700" s="53"/>
      <c r="O700" s="51"/>
      <c r="P700" s="125" t="str">
        <f>IFERROR(VLOOKUP(C700,TD!$B$32:$F$36,2,0)," ")</f>
        <v xml:space="preserve"> </v>
      </c>
      <c r="Q700" s="125" t="str">
        <f>IFERROR(VLOOKUP(C700,TD!$B$32:$F$36,3,0)," ")</f>
        <v xml:space="preserve"> </v>
      </c>
      <c r="R700" s="125" t="str">
        <f>IFERROR(VLOOKUP(C700,TD!$B$32:$F$36,4,0)," ")</f>
        <v xml:space="preserve"> </v>
      </c>
      <c r="S700" s="51"/>
      <c r="T700" s="125" t="str">
        <f>IFERROR(VLOOKUP(S700,TD!$J$33:$K$43,2,0)," ")</f>
        <v xml:space="preserve"> </v>
      </c>
      <c r="U700" s="127" t="str">
        <f>CONCATENATE(S700,"-",T700)</f>
        <v xml:space="preserve">- </v>
      </c>
      <c r="V700" s="51"/>
      <c r="W700" s="125" t="str">
        <f>IFERROR(VLOOKUP(V700,TD!$N$33:$O$45,2,0)," ")</f>
        <v xml:space="preserve"> </v>
      </c>
      <c r="X700" s="127" t="str">
        <f>CONCATENATE(V700,"_",W700)</f>
        <v xml:space="preserve">_ </v>
      </c>
      <c r="Y700" s="127" t="str">
        <f>CONCATENATE(U700," ",X700)</f>
        <v xml:space="preserve">-  _ </v>
      </c>
      <c r="Z700" s="125" t="str">
        <f>CONCATENATE(P700,Q700,R700,S700,V700)</f>
        <v xml:space="preserve">   </v>
      </c>
      <c r="AA700" s="125" t="str">
        <f>IFERROR(VLOOKUP(Y700,TD!$K$46:$L$64,2,0)," ")</f>
        <v xml:space="preserve"> </v>
      </c>
      <c r="AB700" s="53"/>
      <c r="AC700" s="126"/>
    </row>
    <row r="701" spans="2:29" s="28" customFormat="1" ht="74.25" customHeight="1" x14ac:dyDescent="0.35">
      <c r="B701" s="77"/>
      <c r="C701" s="50"/>
      <c r="D701" s="123"/>
      <c r="E701" s="51"/>
      <c r="F701" s="123"/>
      <c r="G701" s="123"/>
      <c r="H701" s="97"/>
      <c r="I701" s="124"/>
      <c r="J701" s="124"/>
      <c r="K701" s="52"/>
      <c r="L701" s="53"/>
      <c r="M701" s="123"/>
      <c r="N701" s="53"/>
      <c r="O701" s="51"/>
      <c r="P701" s="125" t="str">
        <f>IFERROR(VLOOKUP(C701,TD!$B$32:$F$36,2,0)," ")</f>
        <v xml:space="preserve"> </v>
      </c>
      <c r="Q701" s="125" t="str">
        <f>IFERROR(VLOOKUP(C701,TD!$B$32:$F$36,3,0)," ")</f>
        <v xml:space="preserve"> </v>
      </c>
      <c r="R701" s="125" t="str">
        <f>IFERROR(VLOOKUP(C701,TD!$B$32:$F$36,4,0)," ")</f>
        <v xml:space="preserve"> </v>
      </c>
      <c r="S701" s="51"/>
      <c r="T701" s="125" t="str">
        <f>IFERROR(VLOOKUP(S701,TD!$J$33:$K$43,2,0)," ")</f>
        <v xml:space="preserve"> </v>
      </c>
      <c r="U701" s="127" t="str">
        <f>CONCATENATE(S701,"-",T701)</f>
        <v xml:space="preserve">- </v>
      </c>
      <c r="V701" s="51"/>
      <c r="W701" s="125" t="str">
        <f>IFERROR(VLOOKUP(V701,TD!$N$33:$O$45,2,0)," ")</f>
        <v xml:space="preserve"> </v>
      </c>
      <c r="X701" s="127" t="str">
        <f>CONCATENATE(V701,"_",W701)</f>
        <v xml:space="preserve">_ </v>
      </c>
      <c r="Y701" s="127" t="str">
        <f>CONCATENATE(U701," ",X701)</f>
        <v xml:space="preserve">-  _ </v>
      </c>
      <c r="Z701" s="125" t="str">
        <f>CONCATENATE(P701,Q701,R701,S701,V701)</f>
        <v xml:space="preserve">   </v>
      </c>
      <c r="AA701" s="125" t="str">
        <f>IFERROR(VLOOKUP(Y701,TD!$K$46:$L$64,2,0)," ")</f>
        <v xml:space="preserve"> </v>
      </c>
      <c r="AB701" s="53"/>
      <c r="AC701" s="126"/>
    </row>
    <row r="702" spans="2:29" s="28" customFormat="1" ht="74.25" customHeight="1" x14ac:dyDescent="0.35">
      <c r="B702" s="77"/>
      <c r="C702" s="50"/>
      <c r="D702" s="123"/>
      <c r="E702" s="51"/>
      <c r="F702" s="123"/>
      <c r="G702" s="123"/>
      <c r="H702" s="97"/>
      <c r="I702" s="124"/>
      <c r="J702" s="124"/>
      <c r="K702" s="52"/>
      <c r="L702" s="53"/>
      <c r="M702" s="123"/>
      <c r="N702" s="53"/>
      <c r="O702" s="51"/>
      <c r="P702" s="125" t="str">
        <f>IFERROR(VLOOKUP(C702,TD!$B$32:$F$36,2,0)," ")</f>
        <v xml:space="preserve"> </v>
      </c>
      <c r="Q702" s="125" t="str">
        <f>IFERROR(VLOOKUP(C702,TD!$B$32:$F$36,3,0)," ")</f>
        <v xml:space="preserve"> </v>
      </c>
      <c r="R702" s="125" t="str">
        <f>IFERROR(VLOOKUP(C702,TD!$B$32:$F$36,4,0)," ")</f>
        <v xml:space="preserve"> </v>
      </c>
      <c r="S702" s="51"/>
      <c r="T702" s="125" t="str">
        <f>IFERROR(VLOOKUP(S702,TD!$J$33:$K$43,2,0)," ")</f>
        <v xml:space="preserve"> </v>
      </c>
      <c r="U702" s="127" t="str">
        <f>CONCATENATE(S702,"-",T702)</f>
        <v xml:space="preserve">- </v>
      </c>
      <c r="V702" s="51"/>
      <c r="W702" s="125" t="str">
        <f>IFERROR(VLOOKUP(V702,TD!$N$33:$O$45,2,0)," ")</f>
        <v xml:space="preserve"> </v>
      </c>
      <c r="X702" s="127" t="str">
        <f>CONCATENATE(V702,"_",W702)</f>
        <v xml:space="preserve">_ </v>
      </c>
      <c r="Y702" s="127" t="str">
        <f>CONCATENATE(U702," ",X702)</f>
        <v xml:space="preserve">-  _ </v>
      </c>
      <c r="Z702" s="125" t="str">
        <f>CONCATENATE(P702,Q702,R702,S702,V702)</f>
        <v xml:space="preserve">   </v>
      </c>
      <c r="AA702" s="125" t="str">
        <f>IFERROR(VLOOKUP(Y702,TD!$K$46:$L$64,2,0)," ")</f>
        <v xml:space="preserve"> </v>
      </c>
      <c r="AB702" s="53"/>
      <c r="AC702" s="126"/>
    </row>
    <row r="703" spans="2:29" s="28" customFormat="1" ht="74.25" customHeight="1" x14ac:dyDescent="0.35">
      <c r="B703" s="77"/>
      <c r="C703" s="50"/>
      <c r="D703" s="123"/>
      <c r="E703" s="51"/>
      <c r="F703" s="123"/>
      <c r="G703" s="123"/>
      <c r="H703" s="97"/>
      <c r="I703" s="124"/>
      <c r="J703" s="124"/>
      <c r="K703" s="52"/>
      <c r="L703" s="53"/>
      <c r="M703" s="123"/>
      <c r="N703" s="53"/>
      <c r="O703" s="51"/>
      <c r="P703" s="125" t="str">
        <f>IFERROR(VLOOKUP(C703,TD!$B$32:$F$36,2,0)," ")</f>
        <v xml:space="preserve"> </v>
      </c>
      <c r="Q703" s="125" t="str">
        <f>IFERROR(VLOOKUP(C703,TD!$B$32:$F$36,3,0)," ")</f>
        <v xml:space="preserve"> </v>
      </c>
      <c r="R703" s="125" t="str">
        <f>IFERROR(VLOOKUP(C703,TD!$B$32:$F$36,4,0)," ")</f>
        <v xml:space="preserve"> </v>
      </c>
      <c r="S703" s="51"/>
      <c r="T703" s="125" t="str">
        <f>IFERROR(VLOOKUP(S703,TD!$J$33:$K$43,2,0)," ")</f>
        <v xml:space="preserve"> </v>
      </c>
      <c r="U703" s="127" t="str">
        <f>CONCATENATE(S703,"-",T703)</f>
        <v xml:space="preserve">- </v>
      </c>
      <c r="V703" s="51"/>
      <c r="W703" s="125" t="str">
        <f>IFERROR(VLOOKUP(V703,TD!$N$33:$O$45,2,0)," ")</f>
        <v xml:space="preserve"> </v>
      </c>
      <c r="X703" s="127" t="str">
        <f>CONCATENATE(V703,"_",W703)</f>
        <v xml:space="preserve">_ </v>
      </c>
      <c r="Y703" s="127" t="str">
        <f>CONCATENATE(U703," ",X703)</f>
        <v xml:space="preserve">-  _ </v>
      </c>
      <c r="Z703" s="125" t="str">
        <f>CONCATENATE(P703,Q703,R703,S703,V703)</f>
        <v xml:space="preserve">   </v>
      </c>
      <c r="AA703" s="125" t="str">
        <f>IFERROR(VLOOKUP(Y703,TD!$K$46:$L$64,2,0)," ")</f>
        <v xml:space="preserve"> </v>
      </c>
      <c r="AB703" s="53"/>
      <c r="AC703" s="126"/>
    </row>
    <row r="704" spans="2:29" s="28" customFormat="1" ht="74.25" customHeight="1" x14ac:dyDescent="0.35">
      <c r="B704" s="77"/>
      <c r="C704" s="50"/>
      <c r="D704" s="123"/>
      <c r="E704" s="51"/>
      <c r="F704" s="123"/>
      <c r="G704" s="123"/>
      <c r="H704" s="97"/>
      <c r="I704" s="124"/>
      <c r="J704" s="124"/>
      <c r="K704" s="52"/>
      <c r="L704" s="53"/>
      <c r="M704" s="123"/>
      <c r="N704" s="53"/>
      <c r="O704" s="51"/>
      <c r="P704" s="125" t="str">
        <f>IFERROR(VLOOKUP(C704,TD!$B$32:$F$36,2,0)," ")</f>
        <v xml:space="preserve"> </v>
      </c>
      <c r="Q704" s="125" t="str">
        <f>IFERROR(VLOOKUP(C704,TD!$B$32:$F$36,3,0)," ")</f>
        <v xml:space="preserve"> </v>
      </c>
      <c r="R704" s="125" t="str">
        <f>IFERROR(VLOOKUP(C704,TD!$B$32:$F$36,4,0)," ")</f>
        <v xml:space="preserve"> </v>
      </c>
      <c r="S704" s="51"/>
      <c r="T704" s="125" t="str">
        <f>IFERROR(VLOOKUP(S704,TD!$J$33:$K$43,2,0)," ")</f>
        <v xml:space="preserve"> </v>
      </c>
      <c r="U704" s="127" t="str">
        <f>CONCATENATE(S704,"-",T704)</f>
        <v xml:space="preserve">- </v>
      </c>
      <c r="V704" s="51"/>
      <c r="W704" s="125" t="str">
        <f>IFERROR(VLOOKUP(V704,TD!$N$33:$O$45,2,0)," ")</f>
        <v xml:space="preserve"> </v>
      </c>
      <c r="X704" s="127" t="str">
        <f>CONCATENATE(V704,"_",W704)</f>
        <v xml:space="preserve">_ </v>
      </c>
      <c r="Y704" s="127" t="str">
        <f>CONCATENATE(U704," ",X704)</f>
        <v xml:space="preserve">-  _ </v>
      </c>
      <c r="Z704" s="125" t="str">
        <f>CONCATENATE(P704,Q704,R704,S704,V704)</f>
        <v xml:space="preserve">   </v>
      </c>
      <c r="AA704" s="125" t="str">
        <f>IFERROR(VLOOKUP(Y704,TD!$K$46:$L$64,2,0)," ")</f>
        <v xml:space="preserve"> </v>
      </c>
      <c r="AB704" s="53"/>
      <c r="AC704" s="126"/>
    </row>
    <row r="705" spans="2:29" s="28" customFormat="1" ht="74.25" customHeight="1" x14ac:dyDescent="0.35">
      <c r="B705" s="77"/>
      <c r="C705" s="50"/>
      <c r="D705" s="123"/>
      <c r="E705" s="51"/>
      <c r="F705" s="123"/>
      <c r="G705" s="123"/>
      <c r="H705" s="97"/>
      <c r="I705" s="124"/>
      <c r="J705" s="124"/>
      <c r="K705" s="52"/>
      <c r="L705" s="53"/>
      <c r="M705" s="123"/>
      <c r="N705" s="53"/>
      <c r="O705" s="51"/>
      <c r="P705" s="125" t="str">
        <f>IFERROR(VLOOKUP(C705,TD!$B$32:$F$36,2,0)," ")</f>
        <v xml:space="preserve"> </v>
      </c>
      <c r="Q705" s="125" t="str">
        <f>IFERROR(VLOOKUP(C705,TD!$B$32:$F$36,3,0)," ")</f>
        <v xml:space="preserve"> </v>
      </c>
      <c r="R705" s="125" t="str">
        <f>IFERROR(VLOOKUP(C705,TD!$B$32:$F$36,4,0)," ")</f>
        <v xml:space="preserve"> </v>
      </c>
      <c r="S705" s="51"/>
      <c r="T705" s="125" t="str">
        <f>IFERROR(VLOOKUP(S705,TD!$J$33:$K$43,2,0)," ")</f>
        <v xml:space="preserve"> </v>
      </c>
      <c r="U705" s="127" t="str">
        <f>CONCATENATE(S705,"-",T705)</f>
        <v xml:space="preserve">- </v>
      </c>
      <c r="V705" s="51"/>
      <c r="W705" s="125" t="str">
        <f>IFERROR(VLOOKUP(V705,TD!$N$33:$O$45,2,0)," ")</f>
        <v xml:space="preserve"> </v>
      </c>
      <c r="X705" s="127" t="str">
        <f>CONCATENATE(V705,"_",W705)</f>
        <v xml:space="preserve">_ </v>
      </c>
      <c r="Y705" s="127" t="str">
        <f>CONCATENATE(U705," ",X705)</f>
        <v xml:space="preserve">-  _ </v>
      </c>
      <c r="Z705" s="125" t="str">
        <f>CONCATENATE(P705,Q705,R705,S705,V705)</f>
        <v xml:space="preserve">   </v>
      </c>
      <c r="AA705" s="125" t="str">
        <f>IFERROR(VLOOKUP(Y705,TD!$K$46:$L$64,2,0)," ")</f>
        <v xml:space="preserve"> </v>
      </c>
      <c r="AB705" s="53"/>
      <c r="AC705" s="126"/>
    </row>
    <row r="706" spans="2:29" s="28" customFormat="1" ht="74.25" customHeight="1" x14ac:dyDescent="0.35">
      <c r="B706" s="77"/>
      <c r="C706" s="50"/>
      <c r="D706" s="123"/>
      <c r="E706" s="51"/>
      <c r="F706" s="123"/>
      <c r="G706" s="123"/>
      <c r="H706" s="97"/>
      <c r="I706" s="124"/>
      <c r="J706" s="124"/>
      <c r="K706" s="52"/>
      <c r="L706" s="53"/>
      <c r="M706" s="123"/>
      <c r="N706" s="53"/>
      <c r="O706" s="51"/>
      <c r="P706" s="125" t="str">
        <f>IFERROR(VLOOKUP(C706,TD!$B$32:$F$36,2,0)," ")</f>
        <v xml:space="preserve"> </v>
      </c>
      <c r="Q706" s="125" t="str">
        <f>IFERROR(VLOOKUP(C706,TD!$B$32:$F$36,3,0)," ")</f>
        <v xml:space="preserve"> </v>
      </c>
      <c r="R706" s="125" t="str">
        <f>IFERROR(VLOOKUP(C706,TD!$B$32:$F$36,4,0)," ")</f>
        <v xml:space="preserve"> </v>
      </c>
      <c r="S706" s="51"/>
      <c r="T706" s="125" t="str">
        <f>IFERROR(VLOOKUP(S706,TD!$J$33:$K$43,2,0)," ")</f>
        <v xml:space="preserve"> </v>
      </c>
      <c r="U706" s="127" t="str">
        <f>CONCATENATE(S706,"-",T706)</f>
        <v xml:space="preserve">- </v>
      </c>
      <c r="V706" s="51"/>
      <c r="W706" s="125" t="str">
        <f>IFERROR(VLOOKUP(V706,TD!$N$33:$O$45,2,0)," ")</f>
        <v xml:space="preserve"> </v>
      </c>
      <c r="X706" s="127" t="str">
        <f>CONCATENATE(V706,"_",W706)</f>
        <v xml:space="preserve">_ </v>
      </c>
      <c r="Y706" s="127" t="str">
        <f>CONCATENATE(U706," ",X706)</f>
        <v xml:space="preserve">-  _ </v>
      </c>
      <c r="Z706" s="125" t="str">
        <f>CONCATENATE(P706,Q706,R706,S706,V706)</f>
        <v xml:space="preserve">   </v>
      </c>
      <c r="AA706" s="125" t="str">
        <f>IFERROR(VLOOKUP(Y706,TD!$K$46:$L$64,2,0)," ")</f>
        <v xml:space="preserve"> </v>
      </c>
      <c r="AB706" s="53"/>
      <c r="AC706" s="126"/>
    </row>
    <row r="707" spans="2:29" s="28" customFormat="1" ht="74.25" customHeight="1" x14ac:dyDescent="0.35">
      <c r="B707" s="77"/>
      <c r="C707" s="50"/>
      <c r="D707" s="123"/>
      <c r="E707" s="51"/>
      <c r="F707" s="123"/>
      <c r="G707" s="123"/>
      <c r="H707" s="97"/>
      <c r="I707" s="124"/>
      <c r="J707" s="124"/>
      <c r="K707" s="52"/>
      <c r="L707" s="53"/>
      <c r="M707" s="123"/>
      <c r="N707" s="53"/>
      <c r="O707" s="51"/>
      <c r="P707" s="125" t="str">
        <f>IFERROR(VLOOKUP(C707,TD!$B$32:$F$36,2,0)," ")</f>
        <v xml:space="preserve"> </v>
      </c>
      <c r="Q707" s="125" t="str">
        <f>IFERROR(VLOOKUP(C707,TD!$B$32:$F$36,3,0)," ")</f>
        <v xml:space="preserve"> </v>
      </c>
      <c r="R707" s="125" t="str">
        <f>IFERROR(VLOOKUP(C707,TD!$B$32:$F$36,4,0)," ")</f>
        <v xml:space="preserve"> </v>
      </c>
      <c r="S707" s="51"/>
      <c r="T707" s="125" t="str">
        <f>IFERROR(VLOOKUP(S707,TD!$J$33:$K$43,2,0)," ")</f>
        <v xml:space="preserve"> </v>
      </c>
      <c r="U707" s="127" t="str">
        <f>CONCATENATE(S707,"-",T707)</f>
        <v xml:space="preserve">- </v>
      </c>
      <c r="V707" s="51"/>
      <c r="W707" s="125" t="str">
        <f>IFERROR(VLOOKUP(V707,TD!$N$33:$O$45,2,0)," ")</f>
        <v xml:space="preserve"> </v>
      </c>
      <c r="X707" s="127" t="str">
        <f>CONCATENATE(V707,"_",W707)</f>
        <v xml:space="preserve">_ </v>
      </c>
      <c r="Y707" s="127" t="str">
        <f>CONCATENATE(U707," ",X707)</f>
        <v xml:space="preserve">-  _ </v>
      </c>
      <c r="Z707" s="125" t="str">
        <f>CONCATENATE(P707,Q707,R707,S707,V707)</f>
        <v xml:space="preserve">   </v>
      </c>
      <c r="AA707" s="125" t="str">
        <f>IFERROR(VLOOKUP(Y707,TD!$K$46:$L$64,2,0)," ")</f>
        <v xml:space="preserve"> </v>
      </c>
      <c r="AB707" s="53"/>
      <c r="AC707" s="126"/>
    </row>
    <row r="708" spans="2:29" s="28" customFormat="1" ht="74.25" customHeight="1" x14ac:dyDescent="0.35">
      <c r="B708" s="77"/>
      <c r="C708" s="50"/>
      <c r="D708" s="123"/>
      <c r="E708" s="51"/>
      <c r="F708" s="123"/>
      <c r="G708" s="123"/>
      <c r="H708" s="97"/>
      <c r="I708" s="124"/>
      <c r="J708" s="124"/>
      <c r="K708" s="52"/>
      <c r="L708" s="53"/>
      <c r="M708" s="123"/>
      <c r="N708" s="53"/>
      <c r="O708" s="51"/>
      <c r="P708" s="125" t="str">
        <f>IFERROR(VLOOKUP(C708,TD!$B$32:$F$36,2,0)," ")</f>
        <v xml:space="preserve"> </v>
      </c>
      <c r="Q708" s="125" t="str">
        <f>IFERROR(VLOOKUP(C708,TD!$B$32:$F$36,3,0)," ")</f>
        <v xml:space="preserve"> </v>
      </c>
      <c r="R708" s="125" t="str">
        <f>IFERROR(VLOOKUP(C708,TD!$B$32:$F$36,4,0)," ")</f>
        <v xml:space="preserve"> </v>
      </c>
      <c r="S708" s="51"/>
      <c r="T708" s="125" t="str">
        <f>IFERROR(VLOOKUP(S708,TD!$J$33:$K$43,2,0)," ")</f>
        <v xml:space="preserve"> </v>
      </c>
      <c r="U708" s="127" t="str">
        <f>CONCATENATE(S708,"-",T708)</f>
        <v xml:space="preserve">- </v>
      </c>
      <c r="V708" s="51"/>
      <c r="W708" s="125" t="str">
        <f>IFERROR(VLOOKUP(V708,TD!$N$33:$O$45,2,0)," ")</f>
        <v xml:space="preserve"> </v>
      </c>
      <c r="X708" s="127" t="str">
        <f>CONCATENATE(V708,"_",W708)</f>
        <v xml:space="preserve">_ </v>
      </c>
      <c r="Y708" s="127" t="str">
        <f>CONCATENATE(U708," ",X708)</f>
        <v xml:space="preserve">-  _ </v>
      </c>
      <c r="Z708" s="125" t="str">
        <f>CONCATENATE(P708,Q708,R708,S708,V708)</f>
        <v xml:space="preserve">   </v>
      </c>
      <c r="AA708" s="125" t="str">
        <f>IFERROR(VLOOKUP(Y708,TD!$K$46:$L$64,2,0)," ")</f>
        <v xml:space="preserve"> </v>
      </c>
      <c r="AB708" s="53"/>
      <c r="AC708" s="126"/>
    </row>
    <row r="709" spans="2:29" s="28" customFormat="1" ht="74.25" customHeight="1" x14ac:dyDescent="0.35">
      <c r="B709" s="77"/>
      <c r="C709" s="50"/>
      <c r="D709" s="123"/>
      <c r="E709" s="51"/>
      <c r="F709" s="123"/>
      <c r="G709" s="123"/>
      <c r="H709" s="97"/>
      <c r="I709" s="124"/>
      <c r="J709" s="124"/>
      <c r="K709" s="52"/>
      <c r="L709" s="53"/>
      <c r="M709" s="123"/>
      <c r="N709" s="53"/>
      <c r="O709" s="51"/>
      <c r="P709" s="125" t="str">
        <f>IFERROR(VLOOKUP(C709,TD!$B$32:$F$36,2,0)," ")</f>
        <v xml:space="preserve"> </v>
      </c>
      <c r="Q709" s="125" t="str">
        <f>IFERROR(VLOOKUP(C709,TD!$B$32:$F$36,3,0)," ")</f>
        <v xml:space="preserve"> </v>
      </c>
      <c r="R709" s="125" t="str">
        <f>IFERROR(VLOOKUP(C709,TD!$B$32:$F$36,4,0)," ")</f>
        <v xml:space="preserve"> </v>
      </c>
      <c r="S709" s="51"/>
      <c r="T709" s="125" t="str">
        <f>IFERROR(VLOOKUP(S709,TD!$J$33:$K$43,2,0)," ")</f>
        <v xml:space="preserve"> </v>
      </c>
      <c r="U709" s="127" t="str">
        <f>CONCATENATE(S709,"-",T709)</f>
        <v xml:space="preserve">- </v>
      </c>
      <c r="V709" s="51"/>
      <c r="W709" s="125" t="str">
        <f>IFERROR(VLOOKUP(V709,TD!$N$33:$O$45,2,0)," ")</f>
        <v xml:space="preserve"> </v>
      </c>
      <c r="X709" s="127" t="str">
        <f>CONCATENATE(V709,"_",W709)</f>
        <v xml:space="preserve">_ </v>
      </c>
      <c r="Y709" s="127" t="str">
        <f>CONCATENATE(U709," ",X709)</f>
        <v xml:space="preserve">-  _ </v>
      </c>
      <c r="Z709" s="125" t="str">
        <f>CONCATENATE(P709,Q709,R709,S709,V709)</f>
        <v xml:space="preserve">   </v>
      </c>
      <c r="AA709" s="125" t="str">
        <f>IFERROR(VLOOKUP(Y709,TD!$K$46:$L$64,2,0)," ")</f>
        <v xml:space="preserve"> </v>
      </c>
      <c r="AB709" s="53"/>
      <c r="AC709" s="126"/>
    </row>
    <row r="710" spans="2:29" s="28" customFormat="1" ht="74.25" customHeight="1" x14ac:dyDescent="0.35">
      <c r="B710" s="77"/>
      <c r="C710" s="50"/>
      <c r="D710" s="123"/>
      <c r="E710" s="51"/>
      <c r="F710" s="123"/>
      <c r="G710" s="123"/>
      <c r="H710" s="97"/>
      <c r="I710" s="124"/>
      <c r="J710" s="124"/>
      <c r="K710" s="52"/>
      <c r="L710" s="53"/>
      <c r="M710" s="123"/>
      <c r="N710" s="53"/>
      <c r="O710" s="51"/>
      <c r="P710" s="125" t="str">
        <f>IFERROR(VLOOKUP(C710,TD!$B$32:$F$36,2,0)," ")</f>
        <v xml:space="preserve"> </v>
      </c>
      <c r="Q710" s="125" t="str">
        <f>IFERROR(VLOOKUP(C710,TD!$B$32:$F$36,3,0)," ")</f>
        <v xml:space="preserve"> </v>
      </c>
      <c r="R710" s="125" t="str">
        <f>IFERROR(VLOOKUP(C710,TD!$B$32:$F$36,4,0)," ")</f>
        <v xml:space="preserve"> </v>
      </c>
      <c r="S710" s="51"/>
      <c r="T710" s="125" t="str">
        <f>IFERROR(VLOOKUP(S710,TD!$J$33:$K$43,2,0)," ")</f>
        <v xml:space="preserve"> </v>
      </c>
      <c r="U710" s="127" t="str">
        <f>CONCATENATE(S710,"-",T710)</f>
        <v xml:space="preserve">- </v>
      </c>
      <c r="V710" s="51"/>
      <c r="W710" s="125" t="str">
        <f>IFERROR(VLOOKUP(V710,TD!$N$33:$O$45,2,0)," ")</f>
        <v xml:space="preserve"> </v>
      </c>
      <c r="X710" s="127" t="str">
        <f>CONCATENATE(V710,"_",W710)</f>
        <v xml:space="preserve">_ </v>
      </c>
      <c r="Y710" s="127" t="str">
        <f>CONCATENATE(U710," ",X710)</f>
        <v xml:space="preserve">-  _ </v>
      </c>
      <c r="Z710" s="125" t="str">
        <f>CONCATENATE(P710,Q710,R710,S710,V710)</f>
        <v xml:space="preserve">   </v>
      </c>
      <c r="AA710" s="125" t="str">
        <f>IFERROR(VLOOKUP(Y710,TD!$K$46:$L$64,2,0)," ")</f>
        <v xml:space="preserve"> </v>
      </c>
      <c r="AB710" s="53"/>
      <c r="AC710" s="126"/>
    </row>
    <row r="711" spans="2:29" s="28" customFormat="1" ht="74.25" customHeight="1" x14ac:dyDescent="0.35">
      <c r="B711" s="77"/>
      <c r="C711" s="50"/>
      <c r="D711" s="123"/>
      <c r="E711" s="51"/>
      <c r="F711" s="123"/>
      <c r="G711" s="123"/>
      <c r="H711" s="97"/>
      <c r="I711" s="124"/>
      <c r="J711" s="124"/>
      <c r="K711" s="52"/>
      <c r="L711" s="53"/>
      <c r="M711" s="123"/>
      <c r="N711" s="53"/>
      <c r="O711" s="51"/>
      <c r="P711" s="125" t="str">
        <f>IFERROR(VLOOKUP(C711,TD!$B$32:$F$36,2,0)," ")</f>
        <v xml:space="preserve"> </v>
      </c>
      <c r="Q711" s="125" t="str">
        <f>IFERROR(VLOOKUP(C711,TD!$B$32:$F$36,3,0)," ")</f>
        <v xml:space="preserve"> </v>
      </c>
      <c r="R711" s="125" t="str">
        <f>IFERROR(VLOOKUP(C711,TD!$B$32:$F$36,4,0)," ")</f>
        <v xml:space="preserve"> </v>
      </c>
      <c r="S711" s="51"/>
      <c r="T711" s="125" t="str">
        <f>IFERROR(VLOOKUP(S711,TD!$J$33:$K$43,2,0)," ")</f>
        <v xml:space="preserve"> </v>
      </c>
      <c r="U711" s="127" t="str">
        <f>CONCATENATE(S711,"-",T711)</f>
        <v xml:space="preserve">- </v>
      </c>
      <c r="V711" s="51"/>
      <c r="W711" s="125" t="str">
        <f>IFERROR(VLOOKUP(V711,TD!$N$33:$O$45,2,0)," ")</f>
        <v xml:space="preserve"> </v>
      </c>
      <c r="X711" s="127" t="str">
        <f>CONCATENATE(V711,"_",W711)</f>
        <v xml:space="preserve">_ </v>
      </c>
      <c r="Y711" s="127" t="str">
        <f>CONCATENATE(U711," ",X711)</f>
        <v xml:space="preserve">-  _ </v>
      </c>
      <c r="Z711" s="125" t="str">
        <f>CONCATENATE(P711,Q711,R711,S711,V711)</f>
        <v xml:space="preserve">   </v>
      </c>
      <c r="AA711" s="125" t="str">
        <f>IFERROR(VLOOKUP(Y711,TD!$K$46:$L$64,2,0)," ")</f>
        <v xml:space="preserve"> </v>
      </c>
      <c r="AB711" s="53"/>
      <c r="AC711" s="126"/>
    </row>
    <row r="712" spans="2:29" s="28" customFormat="1" ht="74.25" customHeight="1" x14ac:dyDescent="0.35">
      <c r="B712" s="77"/>
      <c r="C712" s="50"/>
      <c r="D712" s="123"/>
      <c r="E712" s="51"/>
      <c r="F712" s="123"/>
      <c r="G712" s="123"/>
      <c r="H712" s="97"/>
      <c r="I712" s="124"/>
      <c r="J712" s="124"/>
      <c r="K712" s="52"/>
      <c r="L712" s="53"/>
      <c r="M712" s="123"/>
      <c r="N712" s="53"/>
      <c r="O712" s="51"/>
      <c r="P712" s="125" t="str">
        <f>IFERROR(VLOOKUP(C712,TD!$B$32:$F$36,2,0)," ")</f>
        <v xml:space="preserve"> </v>
      </c>
      <c r="Q712" s="125" t="str">
        <f>IFERROR(VLOOKUP(C712,TD!$B$32:$F$36,3,0)," ")</f>
        <v xml:space="preserve"> </v>
      </c>
      <c r="R712" s="125" t="str">
        <f>IFERROR(VLOOKUP(C712,TD!$B$32:$F$36,4,0)," ")</f>
        <v xml:space="preserve"> </v>
      </c>
      <c r="S712" s="51"/>
      <c r="T712" s="125" t="str">
        <f>IFERROR(VLOOKUP(S712,TD!$J$33:$K$43,2,0)," ")</f>
        <v xml:space="preserve"> </v>
      </c>
      <c r="U712" s="127" t="str">
        <f>CONCATENATE(S712,"-",T712)</f>
        <v xml:space="preserve">- </v>
      </c>
      <c r="V712" s="51"/>
      <c r="W712" s="125" t="str">
        <f>IFERROR(VLOOKUP(V712,TD!$N$33:$O$45,2,0)," ")</f>
        <v xml:space="preserve"> </v>
      </c>
      <c r="X712" s="127" t="str">
        <f>CONCATENATE(V712,"_",W712)</f>
        <v xml:space="preserve">_ </v>
      </c>
      <c r="Y712" s="127" t="str">
        <f>CONCATENATE(U712," ",X712)</f>
        <v xml:space="preserve">-  _ </v>
      </c>
      <c r="Z712" s="125" t="str">
        <f>CONCATENATE(P712,Q712,R712,S712,V712)</f>
        <v xml:space="preserve">   </v>
      </c>
      <c r="AA712" s="125" t="str">
        <f>IFERROR(VLOOKUP(Y712,TD!$K$46:$L$64,2,0)," ")</f>
        <v xml:space="preserve"> </v>
      </c>
      <c r="AB712" s="53"/>
      <c r="AC712" s="126"/>
    </row>
    <row r="713" spans="2:29" s="28" customFormat="1" ht="74.25" customHeight="1" x14ac:dyDescent="0.35">
      <c r="B713" s="77"/>
      <c r="C713" s="50"/>
      <c r="D713" s="123"/>
      <c r="E713" s="51"/>
      <c r="F713" s="123"/>
      <c r="G713" s="123"/>
      <c r="H713" s="97"/>
      <c r="I713" s="124"/>
      <c r="J713" s="124"/>
      <c r="K713" s="52"/>
      <c r="L713" s="53"/>
      <c r="M713" s="123"/>
      <c r="N713" s="53"/>
      <c r="O713" s="51"/>
      <c r="P713" s="125" t="str">
        <f>IFERROR(VLOOKUP(C713,TD!$B$32:$F$36,2,0)," ")</f>
        <v xml:space="preserve"> </v>
      </c>
      <c r="Q713" s="125" t="str">
        <f>IFERROR(VLOOKUP(C713,TD!$B$32:$F$36,3,0)," ")</f>
        <v xml:space="preserve"> </v>
      </c>
      <c r="R713" s="125" t="str">
        <f>IFERROR(VLOOKUP(C713,TD!$B$32:$F$36,4,0)," ")</f>
        <v xml:space="preserve"> </v>
      </c>
      <c r="S713" s="51"/>
      <c r="T713" s="125" t="str">
        <f>IFERROR(VLOOKUP(S713,TD!$J$33:$K$43,2,0)," ")</f>
        <v xml:space="preserve"> </v>
      </c>
      <c r="U713" s="127" t="str">
        <f>CONCATENATE(S713,"-",T713)</f>
        <v xml:space="preserve">- </v>
      </c>
      <c r="V713" s="51"/>
      <c r="W713" s="125" t="str">
        <f>IFERROR(VLOOKUP(V713,TD!$N$33:$O$45,2,0)," ")</f>
        <v xml:space="preserve"> </v>
      </c>
      <c r="X713" s="127" t="str">
        <f>CONCATENATE(V713,"_",W713)</f>
        <v xml:space="preserve">_ </v>
      </c>
      <c r="Y713" s="127" t="str">
        <f>CONCATENATE(U713," ",X713)</f>
        <v xml:space="preserve">-  _ </v>
      </c>
      <c r="Z713" s="125" t="str">
        <f>CONCATENATE(P713,Q713,R713,S713,V713)</f>
        <v xml:space="preserve">   </v>
      </c>
      <c r="AA713" s="125" t="str">
        <f>IFERROR(VLOOKUP(Y713,TD!$K$46:$L$64,2,0)," ")</f>
        <v xml:space="preserve"> </v>
      </c>
      <c r="AB713" s="53"/>
      <c r="AC713" s="126"/>
    </row>
    <row r="714" spans="2:29" s="28" customFormat="1" ht="74.25" customHeight="1" x14ac:dyDescent="0.35">
      <c r="B714" s="77"/>
      <c r="C714" s="50"/>
      <c r="D714" s="123"/>
      <c r="E714" s="51"/>
      <c r="F714" s="123"/>
      <c r="G714" s="123"/>
      <c r="H714" s="97"/>
      <c r="I714" s="124"/>
      <c r="J714" s="124"/>
      <c r="K714" s="52"/>
      <c r="L714" s="53"/>
      <c r="M714" s="123"/>
      <c r="N714" s="53"/>
      <c r="O714" s="51"/>
      <c r="P714" s="125" t="str">
        <f>IFERROR(VLOOKUP(C714,TD!$B$32:$F$36,2,0)," ")</f>
        <v xml:space="preserve"> </v>
      </c>
      <c r="Q714" s="125" t="str">
        <f>IFERROR(VLOOKUP(C714,TD!$B$32:$F$36,3,0)," ")</f>
        <v xml:space="preserve"> </v>
      </c>
      <c r="R714" s="125" t="str">
        <f>IFERROR(VLOOKUP(C714,TD!$B$32:$F$36,4,0)," ")</f>
        <v xml:space="preserve"> </v>
      </c>
      <c r="S714" s="51"/>
      <c r="T714" s="125" t="str">
        <f>IFERROR(VLOOKUP(S714,TD!$J$33:$K$43,2,0)," ")</f>
        <v xml:space="preserve"> </v>
      </c>
      <c r="U714" s="127" t="str">
        <f>CONCATENATE(S714,"-",T714)</f>
        <v xml:space="preserve">- </v>
      </c>
      <c r="V714" s="51"/>
      <c r="W714" s="125" t="str">
        <f>IFERROR(VLOOKUP(V714,TD!$N$33:$O$45,2,0)," ")</f>
        <v xml:space="preserve"> </v>
      </c>
      <c r="X714" s="127" t="str">
        <f>CONCATENATE(V714,"_",W714)</f>
        <v xml:space="preserve">_ </v>
      </c>
      <c r="Y714" s="127" t="str">
        <f>CONCATENATE(U714," ",X714)</f>
        <v xml:space="preserve">-  _ </v>
      </c>
      <c r="Z714" s="125" t="str">
        <f>CONCATENATE(P714,Q714,R714,S714,V714)</f>
        <v xml:space="preserve">   </v>
      </c>
      <c r="AA714" s="125" t="str">
        <f>IFERROR(VLOOKUP(Y714,TD!$K$46:$L$64,2,0)," ")</f>
        <v xml:space="preserve"> </v>
      </c>
      <c r="AB714" s="53"/>
      <c r="AC714" s="126"/>
    </row>
    <row r="715" spans="2:29" s="28" customFormat="1" ht="74.25" customHeight="1" x14ac:dyDescent="0.35">
      <c r="B715" s="77"/>
      <c r="C715" s="50"/>
      <c r="D715" s="123"/>
      <c r="E715" s="51"/>
      <c r="F715" s="123"/>
      <c r="G715" s="123"/>
      <c r="H715" s="97"/>
      <c r="I715" s="124"/>
      <c r="J715" s="124"/>
      <c r="K715" s="52"/>
      <c r="L715" s="53"/>
      <c r="M715" s="123"/>
      <c r="N715" s="53"/>
      <c r="O715" s="51"/>
      <c r="P715" s="125" t="str">
        <f>IFERROR(VLOOKUP(C715,TD!$B$32:$F$36,2,0)," ")</f>
        <v xml:space="preserve"> </v>
      </c>
      <c r="Q715" s="125" t="str">
        <f>IFERROR(VLOOKUP(C715,TD!$B$32:$F$36,3,0)," ")</f>
        <v xml:space="preserve"> </v>
      </c>
      <c r="R715" s="125" t="str">
        <f>IFERROR(VLOOKUP(C715,TD!$B$32:$F$36,4,0)," ")</f>
        <v xml:space="preserve"> </v>
      </c>
      <c r="S715" s="51"/>
      <c r="T715" s="125" t="str">
        <f>IFERROR(VLOOKUP(S715,TD!$J$33:$K$43,2,0)," ")</f>
        <v xml:space="preserve"> </v>
      </c>
      <c r="U715" s="127" t="str">
        <f>CONCATENATE(S715,"-",T715)</f>
        <v xml:space="preserve">- </v>
      </c>
      <c r="V715" s="51"/>
      <c r="W715" s="125" t="str">
        <f>IFERROR(VLOOKUP(V715,TD!$N$33:$O$45,2,0)," ")</f>
        <v xml:space="preserve"> </v>
      </c>
      <c r="X715" s="127" t="str">
        <f>CONCATENATE(V715,"_",W715)</f>
        <v xml:space="preserve">_ </v>
      </c>
      <c r="Y715" s="127" t="str">
        <f>CONCATENATE(U715," ",X715)</f>
        <v xml:space="preserve">-  _ </v>
      </c>
      <c r="Z715" s="125" t="str">
        <f>CONCATENATE(P715,Q715,R715,S715,V715)</f>
        <v xml:space="preserve">   </v>
      </c>
      <c r="AA715" s="125" t="str">
        <f>IFERROR(VLOOKUP(Y715,TD!$K$46:$L$64,2,0)," ")</f>
        <v xml:space="preserve"> </v>
      </c>
      <c r="AB715" s="53"/>
      <c r="AC715" s="126"/>
    </row>
    <row r="716" spans="2:29" s="28" customFormat="1" ht="74.25" customHeight="1" x14ac:dyDescent="0.35">
      <c r="B716" s="77"/>
      <c r="C716" s="50"/>
      <c r="D716" s="123"/>
      <c r="E716" s="51"/>
      <c r="F716" s="123"/>
      <c r="G716" s="123"/>
      <c r="H716" s="97"/>
      <c r="I716" s="124"/>
      <c r="J716" s="124"/>
      <c r="K716" s="52"/>
      <c r="L716" s="53"/>
      <c r="M716" s="123"/>
      <c r="N716" s="53"/>
      <c r="O716" s="51"/>
      <c r="P716" s="125" t="str">
        <f>IFERROR(VLOOKUP(C716,TD!$B$32:$F$36,2,0)," ")</f>
        <v xml:space="preserve"> </v>
      </c>
      <c r="Q716" s="125" t="str">
        <f>IFERROR(VLOOKUP(C716,TD!$B$32:$F$36,3,0)," ")</f>
        <v xml:space="preserve"> </v>
      </c>
      <c r="R716" s="125" t="str">
        <f>IFERROR(VLOOKUP(C716,TD!$B$32:$F$36,4,0)," ")</f>
        <v xml:space="preserve"> </v>
      </c>
      <c r="S716" s="51"/>
      <c r="T716" s="125" t="str">
        <f>IFERROR(VLOOKUP(S716,TD!$J$33:$K$43,2,0)," ")</f>
        <v xml:space="preserve"> </v>
      </c>
      <c r="U716" s="127" t="str">
        <f>CONCATENATE(S716,"-",T716)</f>
        <v xml:space="preserve">- </v>
      </c>
      <c r="V716" s="51"/>
      <c r="W716" s="125" t="str">
        <f>IFERROR(VLOOKUP(V716,TD!$N$33:$O$45,2,0)," ")</f>
        <v xml:space="preserve"> </v>
      </c>
      <c r="X716" s="127" t="str">
        <f>CONCATENATE(V716,"_",W716)</f>
        <v xml:space="preserve">_ </v>
      </c>
      <c r="Y716" s="127" t="str">
        <f>CONCATENATE(U716," ",X716)</f>
        <v xml:space="preserve">-  _ </v>
      </c>
      <c r="Z716" s="125" t="str">
        <f>CONCATENATE(P716,Q716,R716,S716,V716)</f>
        <v xml:space="preserve">   </v>
      </c>
      <c r="AA716" s="125" t="str">
        <f>IFERROR(VLOOKUP(Y716,TD!$K$46:$L$64,2,0)," ")</f>
        <v xml:space="preserve"> </v>
      </c>
      <c r="AB716" s="53"/>
      <c r="AC716" s="126"/>
    </row>
    <row r="717" spans="2:29" s="28" customFormat="1" ht="74.25" customHeight="1" x14ac:dyDescent="0.35">
      <c r="B717" s="77"/>
      <c r="C717" s="50"/>
      <c r="D717" s="123"/>
      <c r="E717" s="51"/>
      <c r="F717" s="123"/>
      <c r="G717" s="123"/>
      <c r="H717" s="97"/>
      <c r="I717" s="124"/>
      <c r="J717" s="124"/>
      <c r="K717" s="52"/>
      <c r="L717" s="53"/>
      <c r="M717" s="123"/>
      <c r="N717" s="53"/>
      <c r="O717" s="51"/>
      <c r="P717" s="125" t="str">
        <f>IFERROR(VLOOKUP(C717,TD!$B$32:$F$36,2,0)," ")</f>
        <v xml:space="preserve"> </v>
      </c>
      <c r="Q717" s="125" t="str">
        <f>IFERROR(VLOOKUP(C717,TD!$B$32:$F$36,3,0)," ")</f>
        <v xml:space="preserve"> </v>
      </c>
      <c r="R717" s="125" t="str">
        <f>IFERROR(VLOOKUP(C717,TD!$B$32:$F$36,4,0)," ")</f>
        <v xml:space="preserve"> </v>
      </c>
      <c r="S717" s="51"/>
      <c r="T717" s="125" t="str">
        <f>IFERROR(VLOOKUP(S717,TD!$J$33:$K$43,2,0)," ")</f>
        <v xml:space="preserve"> </v>
      </c>
      <c r="U717" s="127" t="str">
        <f>CONCATENATE(S717,"-",T717)</f>
        <v xml:space="preserve">- </v>
      </c>
      <c r="V717" s="51"/>
      <c r="W717" s="125" t="str">
        <f>IFERROR(VLOOKUP(V717,TD!$N$33:$O$45,2,0)," ")</f>
        <v xml:space="preserve"> </v>
      </c>
      <c r="X717" s="127" t="str">
        <f>CONCATENATE(V717,"_",W717)</f>
        <v xml:space="preserve">_ </v>
      </c>
      <c r="Y717" s="127" t="str">
        <f>CONCATENATE(U717," ",X717)</f>
        <v xml:space="preserve">-  _ </v>
      </c>
      <c r="Z717" s="125" t="str">
        <f>CONCATENATE(P717,Q717,R717,S717,V717)</f>
        <v xml:space="preserve">   </v>
      </c>
      <c r="AA717" s="125" t="str">
        <f>IFERROR(VLOOKUP(Y717,TD!$K$46:$L$64,2,0)," ")</f>
        <v xml:space="preserve"> </v>
      </c>
      <c r="AB717" s="53"/>
      <c r="AC717" s="126"/>
    </row>
    <row r="718" spans="2:29" s="28" customFormat="1" ht="74.25" customHeight="1" x14ac:dyDescent="0.35">
      <c r="B718" s="77"/>
      <c r="C718" s="50"/>
      <c r="D718" s="123"/>
      <c r="E718" s="51"/>
      <c r="F718" s="123"/>
      <c r="G718" s="123"/>
      <c r="H718" s="97"/>
      <c r="I718" s="124"/>
      <c r="J718" s="124"/>
      <c r="K718" s="52"/>
      <c r="L718" s="53"/>
      <c r="M718" s="123"/>
      <c r="N718" s="53"/>
      <c r="O718" s="51"/>
      <c r="P718" s="125" t="str">
        <f>IFERROR(VLOOKUP(C718,TD!$B$32:$F$36,2,0)," ")</f>
        <v xml:space="preserve"> </v>
      </c>
      <c r="Q718" s="125" t="str">
        <f>IFERROR(VLOOKUP(C718,TD!$B$32:$F$36,3,0)," ")</f>
        <v xml:space="preserve"> </v>
      </c>
      <c r="R718" s="125" t="str">
        <f>IFERROR(VLOOKUP(C718,TD!$B$32:$F$36,4,0)," ")</f>
        <v xml:space="preserve"> </v>
      </c>
      <c r="S718" s="51"/>
      <c r="T718" s="125" t="str">
        <f>IFERROR(VLOOKUP(S718,TD!$J$33:$K$43,2,0)," ")</f>
        <v xml:space="preserve"> </v>
      </c>
      <c r="U718" s="127" t="str">
        <f>CONCATENATE(S718,"-",T718)</f>
        <v xml:space="preserve">- </v>
      </c>
      <c r="V718" s="51"/>
      <c r="W718" s="125" t="str">
        <f>IFERROR(VLOOKUP(V718,TD!$N$33:$O$45,2,0)," ")</f>
        <v xml:space="preserve"> </v>
      </c>
      <c r="X718" s="127" t="str">
        <f>CONCATENATE(V718,"_",W718)</f>
        <v xml:space="preserve">_ </v>
      </c>
      <c r="Y718" s="127" t="str">
        <f>CONCATENATE(U718," ",X718)</f>
        <v xml:space="preserve">-  _ </v>
      </c>
      <c r="Z718" s="125" t="str">
        <f>CONCATENATE(P718,Q718,R718,S718,V718)</f>
        <v xml:space="preserve">   </v>
      </c>
      <c r="AA718" s="125" t="str">
        <f>IFERROR(VLOOKUP(Y718,TD!$K$46:$L$64,2,0)," ")</f>
        <v xml:space="preserve"> </v>
      </c>
      <c r="AB718" s="53"/>
      <c r="AC718" s="126"/>
    </row>
    <row r="719" spans="2:29" s="28" customFormat="1" ht="74.25" customHeight="1" x14ac:dyDescent="0.35">
      <c r="B719" s="77"/>
      <c r="C719" s="50"/>
      <c r="D719" s="123"/>
      <c r="E719" s="51"/>
      <c r="F719" s="123"/>
      <c r="G719" s="123"/>
      <c r="H719" s="97"/>
      <c r="I719" s="124"/>
      <c r="J719" s="124"/>
      <c r="K719" s="52"/>
      <c r="L719" s="53"/>
      <c r="M719" s="123"/>
      <c r="N719" s="53"/>
      <c r="O719" s="51"/>
      <c r="P719" s="125" t="str">
        <f>IFERROR(VLOOKUP(C719,TD!$B$32:$F$36,2,0)," ")</f>
        <v xml:space="preserve"> </v>
      </c>
      <c r="Q719" s="125" t="str">
        <f>IFERROR(VLOOKUP(C719,TD!$B$32:$F$36,3,0)," ")</f>
        <v xml:space="preserve"> </v>
      </c>
      <c r="R719" s="125" t="str">
        <f>IFERROR(VLOOKUP(C719,TD!$B$32:$F$36,4,0)," ")</f>
        <v xml:space="preserve"> </v>
      </c>
      <c r="S719" s="51"/>
      <c r="T719" s="125" t="str">
        <f>IFERROR(VLOOKUP(S719,TD!$J$33:$K$43,2,0)," ")</f>
        <v xml:space="preserve"> </v>
      </c>
      <c r="U719" s="127" t="str">
        <f>CONCATENATE(S719,"-",T719)</f>
        <v xml:space="preserve">- </v>
      </c>
      <c r="V719" s="51"/>
      <c r="W719" s="125" t="str">
        <f>IFERROR(VLOOKUP(V719,TD!$N$33:$O$45,2,0)," ")</f>
        <v xml:space="preserve"> </v>
      </c>
      <c r="X719" s="127" t="str">
        <f>CONCATENATE(V719,"_",W719)</f>
        <v xml:space="preserve">_ </v>
      </c>
      <c r="Y719" s="127" t="str">
        <f>CONCATENATE(U719," ",X719)</f>
        <v xml:space="preserve">-  _ </v>
      </c>
      <c r="Z719" s="125" t="str">
        <f>CONCATENATE(P719,Q719,R719,S719,V719)</f>
        <v xml:space="preserve">   </v>
      </c>
      <c r="AA719" s="125" t="str">
        <f>IFERROR(VLOOKUP(Y719,TD!$K$46:$L$64,2,0)," ")</f>
        <v xml:space="preserve"> </v>
      </c>
      <c r="AB719" s="53"/>
      <c r="AC719" s="126"/>
    </row>
    <row r="720" spans="2:29" s="28" customFormat="1" ht="74.25" customHeight="1" x14ac:dyDescent="0.35">
      <c r="B720" s="77"/>
      <c r="C720" s="50"/>
      <c r="D720" s="123"/>
      <c r="E720" s="51"/>
      <c r="F720" s="123"/>
      <c r="G720" s="123"/>
      <c r="H720" s="97"/>
      <c r="I720" s="124"/>
      <c r="J720" s="124"/>
      <c r="K720" s="52"/>
      <c r="L720" s="53"/>
      <c r="M720" s="123"/>
      <c r="N720" s="53"/>
      <c r="O720" s="51"/>
      <c r="P720" s="125" t="str">
        <f>IFERROR(VLOOKUP(C720,TD!$B$32:$F$36,2,0)," ")</f>
        <v xml:space="preserve"> </v>
      </c>
      <c r="Q720" s="125" t="str">
        <f>IFERROR(VLOOKUP(C720,TD!$B$32:$F$36,3,0)," ")</f>
        <v xml:space="preserve"> </v>
      </c>
      <c r="R720" s="125" t="str">
        <f>IFERROR(VLOOKUP(C720,TD!$B$32:$F$36,4,0)," ")</f>
        <v xml:space="preserve"> </v>
      </c>
      <c r="S720" s="51"/>
      <c r="T720" s="125" t="str">
        <f>IFERROR(VLOOKUP(S720,TD!$J$33:$K$43,2,0)," ")</f>
        <v xml:space="preserve"> </v>
      </c>
      <c r="U720" s="127" t="str">
        <f>CONCATENATE(S720,"-",T720)</f>
        <v xml:space="preserve">- </v>
      </c>
      <c r="V720" s="51"/>
      <c r="W720" s="125" t="str">
        <f>IFERROR(VLOOKUP(V720,TD!$N$33:$O$45,2,0)," ")</f>
        <v xml:space="preserve"> </v>
      </c>
      <c r="X720" s="127" t="str">
        <f>CONCATENATE(V720,"_",W720)</f>
        <v xml:space="preserve">_ </v>
      </c>
      <c r="Y720" s="127" t="str">
        <f>CONCATENATE(U720," ",X720)</f>
        <v xml:space="preserve">-  _ </v>
      </c>
      <c r="Z720" s="125" t="str">
        <f>CONCATENATE(P720,Q720,R720,S720,V720)</f>
        <v xml:space="preserve">   </v>
      </c>
      <c r="AA720" s="125" t="str">
        <f>IFERROR(VLOOKUP(Y720,TD!$K$46:$L$64,2,0)," ")</f>
        <v xml:space="preserve"> </v>
      </c>
      <c r="AB720" s="53"/>
      <c r="AC720" s="126"/>
    </row>
    <row r="721" spans="2:29" s="28" customFormat="1" ht="74.25" customHeight="1" x14ac:dyDescent="0.35">
      <c r="B721" s="77"/>
      <c r="C721" s="50"/>
      <c r="D721" s="123"/>
      <c r="E721" s="51"/>
      <c r="F721" s="123"/>
      <c r="G721" s="123"/>
      <c r="H721" s="97"/>
      <c r="I721" s="124"/>
      <c r="J721" s="124"/>
      <c r="K721" s="52"/>
      <c r="L721" s="53"/>
      <c r="M721" s="123"/>
      <c r="N721" s="53"/>
      <c r="O721" s="51"/>
      <c r="P721" s="125" t="str">
        <f>IFERROR(VLOOKUP(C721,TD!$B$32:$F$36,2,0)," ")</f>
        <v xml:space="preserve"> </v>
      </c>
      <c r="Q721" s="125" t="str">
        <f>IFERROR(VLOOKUP(C721,TD!$B$32:$F$36,3,0)," ")</f>
        <v xml:space="preserve"> </v>
      </c>
      <c r="R721" s="125" t="str">
        <f>IFERROR(VLOOKUP(C721,TD!$B$32:$F$36,4,0)," ")</f>
        <v xml:space="preserve"> </v>
      </c>
      <c r="S721" s="51"/>
      <c r="T721" s="125" t="str">
        <f>IFERROR(VLOOKUP(S721,TD!$J$33:$K$43,2,0)," ")</f>
        <v xml:space="preserve"> </v>
      </c>
      <c r="U721" s="127" t="str">
        <f>CONCATENATE(S721,"-",T721)</f>
        <v xml:space="preserve">- </v>
      </c>
      <c r="V721" s="51"/>
      <c r="W721" s="125" t="str">
        <f>IFERROR(VLOOKUP(V721,TD!$N$33:$O$45,2,0)," ")</f>
        <v xml:space="preserve"> </v>
      </c>
      <c r="X721" s="127" t="str">
        <f>CONCATENATE(V721,"_",W721)</f>
        <v xml:space="preserve">_ </v>
      </c>
      <c r="Y721" s="127" t="str">
        <f>CONCATENATE(U721," ",X721)</f>
        <v xml:space="preserve">-  _ </v>
      </c>
      <c r="Z721" s="125" t="str">
        <f>CONCATENATE(P721,Q721,R721,S721,V721)</f>
        <v xml:space="preserve">   </v>
      </c>
      <c r="AA721" s="125" t="str">
        <f>IFERROR(VLOOKUP(Y721,TD!$K$46:$L$64,2,0)," ")</f>
        <v xml:space="preserve"> </v>
      </c>
      <c r="AB721" s="53"/>
      <c r="AC721" s="126"/>
    </row>
    <row r="722" spans="2:29" s="28" customFormat="1" ht="74.25" customHeight="1" x14ac:dyDescent="0.35">
      <c r="B722" s="77"/>
      <c r="C722" s="50"/>
      <c r="D722" s="123"/>
      <c r="E722" s="51"/>
      <c r="F722" s="123"/>
      <c r="G722" s="123"/>
      <c r="H722" s="97"/>
      <c r="I722" s="124"/>
      <c r="J722" s="124"/>
      <c r="K722" s="52"/>
      <c r="L722" s="53"/>
      <c r="M722" s="123"/>
      <c r="N722" s="53"/>
      <c r="O722" s="51"/>
      <c r="P722" s="125" t="str">
        <f>IFERROR(VLOOKUP(C722,TD!$B$32:$F$36,2,0)," ")</f>
        <v xml:space="preserve"> </v>
      </c>
      <c r="Q722" s="125" t="str">
        <f>IFERROR(VLOOKUP(C722,TD!$B$32:$F$36,3,0)," ")</f>
        <v xml:space="preserve"> </v>
      </c>
      <c r="R722" s="125" t="str">
        <f>IFERROR(VLOOKUP(C722,TD!$B$32:$F$36,4,0)," ")</f>
        <v xml:space="preserve"> </v>
      </c>
      <c r="S722" s="51"/>
      <c r="T722" s="125" t="str">
        <f>IFERROR(VLOOKUP(S722,TD!$J$33:$K$43,2,0)," ")</f>
        <v xml:space="preserve"> </v>
      </c>
      <c r="U722" s="127" t="str">
        <f>CONCATENATE(S722,"-",T722)</f>
        <v xml:space="preserve">- </v>
      </c>
      <c r="V722" s="51"/>
      <c r="W722" s="125" t="str">
        <f>IFERROR(VLOOKUP(V722,TD!$N$33:$O$45,2,0)," ")</f>
        <v xml:space="preserve"> </v>
      </c>
      <c r="X722" s="127" t="str">
        <f>CONCATENATE(V722,"_",W722)</f>
        <v xml:space="preserve">_ </v>
      </c>
      <c r="Y722" s="127" t="str">
        <f>CONCATENATE(U722," ",X722)</f>
        <v xml:space="preserve">-  _ </v>
      </c>
      <c r="Z722" s="125" t="str">
        <f>CONCATENATE(P722,Q722,R722,S722,V722)</f>
        <v xml:space="preserve">   </v>
      </c>
      <c r="AA722" s="125" t="str">
        <f>IFERROR(VLOOKUP(Y722,TD!$K$46:$L$64,2,0)," ")</f>
        <v xml:space="preserve"> </v>
      </c>
      <c r="AB722" s="53"/>
      <c r="AC722" s="126"/>
    </row>
    <row r="723" spans="2:29" s="28" customFormat="1" ht="74.25" customHeight="1" x14ac:dyDescent="0.35">
      <c r="B723" s="77"/>
      <c r="C723" s="50"/>
      <c r="D723" s="123"/>
      <c r="E723" s="51"/>
      <c r="F723" s="123"/>
      <c r="G723" s="123"/>
      <c r="H723" s="97"/>
      <c r="I723" s="124"/>
      <c r="J723" s="124"/>
      <c r="K723" s="52"/>
      <c r="L723" s="53"/>
      <c r="M723" s="123"/>
      <c r="N723" s="53"/>
      <c r="O723" s="51"/>
      <c r="P723" s="125" t="str">
        <f>IFERROR(VLOOKUP(C723,TD!$B$32:$F$36,2,0)," ")</f>
        <v xml:space="preserve"> </v>
      </c>
      <c r="Q723" s="125" t="str">
        <f>IFERROR(VLOOKUP(C723,TD!$B$32:$F$36,3,0)," ")</f>
        <v xml:space="preserve"> </v>
      </c>
      <c r="R723" s="125" t="str">
        <f>IFERROR(VLOOKUP(C723,TD!$B$32:$F$36,4,0)," ")</f>
        <v xml:space="preserve"> </v>
      </c>
      <c r="S723" s="51"/>
      <c r="T723" s="125" t="str">
        <f>IFERROR(VLOOKUP(S723,TD!$J$33:$K$43,2,0)," ")</f>
        <v xml:space="preserve"> </v>
      </c>
      <c r="U723" s="127" t="str">
        <f>CONCATENATE(S723,"-",T723)</f>
        <v xml:space="preserve">- </v>
      </c>
      <c r="V723" s="51"/>
      <c r="W723" s="125" t="str">
        <f>IFERROR(VLOOKUP(V723,TD!$N$33:$O$45,2,0)," ")</f>
        <v xml:space="preserve"> </v>
      </c>
      <c r="X723" s="127" t="str">
        <f>CONCATENATE(V723,"_",W723)</f>
        <v xml:space="preserve">_ </v>
      </c>
      <c r="Y723" s="127" t="str">
        <f>CONCATENATE(U723," ",X723)</f>
        <v xml:space="preserve">-  _ </v>
      </c>
      <c r="Z723" s="125" t="str">
        <f>CONCATENATE(P723,Q723,R723,S723,V723)</f>
        <v xml:space="preserve">   </v>
      </c>
      <c r="AA723" s="125" t="str">
        <f>IFERROR(VLOOKUP(Y723,TD!$K$46:$L$64,2,0)," ")</f>
        <v xml:space="preserve"> </v>
      </c>
      <c r="AB723" s="53"/>
      <c r="AC723" s="126"/>
    </row>
    <row r="724" spans="2:29" s="28" customFormat="1" ht="74.25" customHeight="1" x14ac:dyDescent="0.35">
      <c r="B724" s="77"/>
      <c r="C724" s="50"/>
      <c r="D724" s="123"/>
      <c r="E724" s="51"/>
      <c r="F724" s="123"/>
      <c r="G724" s="123"/>
      <c r="H724" s="97"/>
      <c r="I724" s="124"/>
      <c r="J724" s="124"/>
      <c r="K724" s="52"/>
      <c r="L724" s="53"/>
      <c r="M724" s="123"/>
      <c r="N724" s="53"/>
      <c r="O724" s="51"/>
      <c r="P724" s="125" t="str">
        <f>IFERROR(VLOOKUP(C724,TD!$B$32:$F$36,2,0)," ")</f>
        <v xml:space="preserve"> </v>
      </c>
      <c r="Q724" s="125" t="str">
        <f>IFERROR(VLOOKUP(C724,TD!$B$32:$F$36,3,0)," ")</f>
        <v xml:space="preserve"> </v>
      </c>
      <c r="R724" s="125" t="str">
        <f>IFERROR(VLOOKUP(C724,TD!$B$32:$F$36,4,0)," ")</f>
        <v xml:space="preserve"> </v>
      </c>
      <c r="S724" s="51"/>
      <c r="T724" s="125" t="str">
        <f>IFERROR(VLOOKUP(S724,TD!$J$33:$K$43,2,0)," ")</f>
        <v xml:space="preserve"> </v>
      </c>
      <c r="U724" s="127" t="str">
        <f>CONCATENATE(S724,"-",T724)</f>
        <v xml:space="preserve">- </v>
      </c>
      <c r="V724" s="51"/>
      <c r="W724" s="125" t="str">
        <f>IFERROR(VLOOKUP(V724,TD!$N$33:$O$45,2,0)," ")</f>
        <v xml:space="preserve"> </v>
      </c>
      <c r="X724" s="127" t="str">
        <f>CONCATENATE(V724,"_",W724)</f>
        <v xml:space="preserve">_ </v>
      </c>
      <c r="Y724" s="127" t="str">
        <f>CONCATENATE(U724," ",X724)</f>
        <v xml:space="preserve">-  _ </v>
      </c>
      <c r="Z724" s="125" t="str">
        <f>CONCATENATE(P724,Q724,R724,S724,V724)</f>
        <v xml:space="preserve">   </v>
      </c>
      <c r="AA724" s="125" t="str">
        <f>IFERROR(VLOOKUP(Y724,TD!$K$46:$L$64,2,0)," ")</f>
        <v xml:space="preserve"> </v>
      </c>
      <c r="AB724" s="53"/>
      <c r="AC724" s="126"/>
    </row>
    <row r="725" spans="2:29" s="28" customFormat="1" ht="74.25" customHeight="1" x14ac:dyDescent="0.35">
      <c r="B725" s="77"/>
      <c r="C725" s="50"/>
      <c r="D725" s="123"/>
      <c r="E725" s="51"/>
      <c r="F725" s="123"/>
      <c r="G725" s="123"/>
      <c r="H725" s="97"/>
      <c r="I725" s="124"/>
      <c r="J725" s="124"/>
      <c r="K725" s="52"/>
      <c r="L725" s="53"/>
      <c r="M725" s="123"/>
      <c r="N725" s="53"/>
      <c r="O725" s="51"/>
      <c r="P725" s="125" t="str">
        <f>IFERROR(VLOOKUP(C725,TD!$B$32:$F$36,2,0)," ")</f>
        <v xml:space="preserve"> </v>
      </c>
      <c r="Q725" s="125" t="str">
        <f>IFERROR(VLOOKUP(C725,TD!$B$32:$F$36,3,0)," ")</f>
        <v xml:space="preserve"> </v>
      </c>
      <c r="R725" s="125" t="str">
        <f>IFERROR(VLOOKUP(C725,TD!$B$32:$F$36,4,0)," ")</f>
        <v xml:space="preserve"> </v>
      </c>
      <c r="S725" s="51"/>
      <c r="T725" s="125" t="str">
        <f>IFERROR(VLOOKUP(S725,TD!$J$33:$K$43,2,0)," ")</f>
        <v xml:space="preserve"> </v>
      </c>
      <c r="U725" s="127" t="str">
        <f>CONCATENATE(S725,"-",T725)</f>
        <v xml:space="preserve">- </v>
      </c>
      <c r="V725" s="51"/>
      <c r="W725" s="125" t="str">
        <f>IFERROR(VLOOKUP(V725,TD!$N$33:$O$45,2,0)," ")</f>
        <v xml:space="preserve"> </v>
      </c>
      <c r="X725" s="127" t="str">
        <f>CONCATENATE(V725,"_",W725)</f>
        <v xml:space="preserve">_ </v>
      </c>
      <c r="Y725" s="127" t="str">
        <f>CONCATENATE(U725," ",X725)</f>
        <v xml:space="preserve">-  _ </v>
      </c>
      <c r="Z725" s="125" t="str">
        <f>CONCATENATE(P725,Q725,R725,S725,V725)</f>
        <v xml:space="preserve">   </v>
      </c>
      <c r="AA725" s="125" t="str">
        <f>IFERROR(VLOOKUP(Y725,TD!$K$46:$L$64,2,0)," ")</f>
        <v xml:space="preserve"> </v>
      </c>
      <c r="AB725" s="53"/>
      <c r="AC725" s="126"/>
    </row>
    <row r="726" spans="2:29" s="28" customFormat="1" ht="74.25" customHeight="1" x14ac:dyDescent="0.35">
      <c r="B726" s="77"/>
      <c r="C726" s="50"/>
      <c r="D726" s="123"/>
      <c r="E726" s="51"/>
      <c r="F726" s="123"/>
      <c r="G726" s="123"/>
      <c r="H726" s="97"/>
      <c r="I726" s="124"/>
      <c r="J726" s="124"/>
      <c r="K726" s="52"/>
      <c r="L726" s="53"/>
      <c r="M726" s="123"/>
      <c r="N726" s="53"/>
      <c r="O726" s="51"/>
      <c r="P726" s="125" t="str">
        <f>IFERROR(VLOOKUP(C726,TD!$B$32:$F$36,2,0)," ")</f>
        <v xml:space="preserve"> </v>
      </c>
      <c r="Q726" s="125" t="str">
        <f>IFERROR(VLOOKUP(C726,TD!$B$32:$F$36,3,0)," ")</f>
        <v xml:space="preserve"> </v>
      </c>
      <c r="R726" s="125" t="str">
        <f>IFERROR(VLOOKUP(C726,TD!$B$32:$F$36,4,0)," ")</f>
        <v xml:space="preserve"> </v>
      </c>
      <c r="S726" s="51"/>
      <c r="T726" s="125" t="str">
        <f>IFERROR(VLOOKUP(S726,TD!$J$33:$K$43,2,0)," ")</f>
        <v xml:space="preserve"> </v>
      </c>
      <c r="U726" s="127" t="str">
        <f>CONCATENATE(S726,"-",T726)</f>
        <v xml:space="preserve">- </v>
      </c>
      <c r="V726" s="51"/>
      <c r="W726" s="125" t="str">
        <f>IFERROR(VLOOKUP(V726,TD!$N$33:$O$45,2,0)," ")</f>
        <v xml:space="preserve"> </v>
      </c>
      <c r="X726" s="127" t="str">
        <f>CONCATENATE(V726,"_",W726)</f>
        <v xml:space="preserve">_ </v>
      </c>
      <c r="Y726" s="127" t="str">
        <f>CONCATENATE(U726," ",X726)</f>
        <v xml:space="preserve">-  _ </v>
      </c>
      <c r="Z726" s="125" t="str">
        <f>CONCATENATE(P726,Q726,R726,S726,V726)</f>
        <v xml:space="preserve">   </v>
      </c>
      <c r="AA726" s="125" t="str">
        <f>IFERROR(VLOOKUP(Y726,TD!$K$46:$L$64,2,0)," ")</f>
        <v xml:space="preserve"> </v>
      </c>
      <c r="AB726" s="53"/>
      <c r="AC726" s="126"/>
    </row>
    <row r="727" spans="2:29" s="28" customFormat="1" ht="74.25" customHeight="1" x14ac:dyDescent="0.35">
      <c r="B727" s="77"/>
      <c r="C727" s="50"/>
      <c r="D727" s="123"/>
      <c r="E727" s="51"/>
      <c r="F727" s="123"/>
      <c r="G727" s="123"/>
      <c r="H727" s="97"/>
      <c r="I727" s="124"/>
      <c r="J727" s="124"/>
      <c r="K727" s="52"/>
      <c r="L727" s="53"/>
      <c r="M727" s="123"/>
      <c r="N727" s="53"/>
      <c r="O727" s="51"/>
      <c r="P727" s="125" t="str">
        <f>IFERROR(VLOOKUP(C727,TD!$B$32:$F$36,2,0)," ")</f>
        <v xml:space="preserve"> </v>
      </c>
      <c r="Q727" s="125" t="str">
        <f>IFERROR(VLOOKUP(C727,TD!$B$32:$F$36,3,0)," ")</f>
        <v xml:space="preserve"> </v>
      </c>
      <c r="R727" s="125" t="str">
        <f>IFERROR(VLOOKUP(C727,TD!$B$32:$F$36,4,0)," ")</f>
        <v xml:space="preserve"> </v>
      </c>
      <c r="S727" s="51"/>
      <c r="T727" s="125" t="str">
        <f>IFERROR(VLOOKUP(S727,TD!$J$33:$K$43,2,0)," ")</f>
        <v xml:space="preserve"> </v>
      </c>
      <c r="U727" s="127" t="str">
        <f>CONCATENATE(S727,"-",T727)</f>
        <v xml:space="preserve">- </v>
      </c>
      <c r="V727" s="51"/>
      <c r="W727" s="125" t="str">
        <f>IFERROR(VLOOKUP(V727,TD!$N$33:$O$45,2,0)," ")</f>
        <v xml:space="preserve"> </v>
      </c>
      <c r="X727" s="127" t="str">
        <f>CONCATENATE(V727,"_",W727)</f>
        <v xml:space="preserve">_ </v>
      </c>
      <c r="Y727" s="127" t="str">
        <f>CONCATENATE(U727," ",X727)</f>
        <v xml:space="preserve">-  _ </v>
      </c>
      <c r="Z727" s="125" t="str">
        <f>CONCATENATE(P727,Q727,R727,S727,V727)</f>
        <v xml:space="preserve">   </v>
      </c>
      <c r="AA727" s="125" t="str">
        <f>IFERROR(VLOOKUP(Y727,TD!$K$46:$L$64,2,0)," ")</f>
        <v xml:space="preserve"> </v>
      </c>
      <c r="AB727" s="53"/>
      <c r="AC727" s="126"/>
    </row>
    <row r="728" spans="2:29" s="28" customFormat="1" ht="74.25" customHeight="1" x14ac:dyDescent="0.35">
      <c r="B728" s="77"/>
      <c r="C728" s="50"/>
      <c r="D728" s="123"/>
      <c r="E728" s="51"/>
      <c r="F728" s="123"/>
      <c r="G728" s="123"/>
      <c r="H728" s="97"/>
      <c r="I728" s="124"/>
      <c r="J728" s="124"/>
      <c r="K728" s="52"/>
      <c r="L728" s="53"/>
      <c r="M728" s="123"/>
      <c r="N728" s="53"/>
      <c r="O728" s="51"/>
      <c r="P728" s="125" t="str">
        <f>IFERROR(VLOOKUP(C728,TD!$B$32:$F$36,2,0)," ")</f>
        <v xml:space="preserve"> </v>
      </c>
      <c r="Q728" s="125" t="str">
        <f>IFERROR(VLOOKUP(C728,TD!$B$32:$F$36,3,0)," ")</f>
        <v xml:space="preserve"> </v>
      </c>
      <c r="R728" s="125" t="str">
        <f>IFERROR(VLOOKUP(C728,TD!$B$32:$F$36,4,0)," ")</f>
        <v xml:space="preserve"> </v>
      </c>
      <c r="S728" s="51"/>
      <c r="T728" s="125" t="str">
        <f>IFERROR(VLOOKUP(S728,TD!$J$33:$K$43,2,0)," ")</f>
        <v xml:space="preserve"> </v>
      </c>
      <c r="U728" s="127" t="str">
        <f>CONCATENATE(S728,"-",T728)</f>
        <v xml:space="preserve">- </v>
      </c>
      <c r="V728" s="51"/>
      <c r="W728" s="125" t="str">
        <f>IFERROR(VLOOKUP(V728,TD!$N$33:$O$45,2,0)," ")</f>
        <v xml:space="preserve"> </v>
      </c>
      <c r="X728" s="127" t="str">
        <f>CONCATENATE(V728,"_",W728)</f>
        <v xml:space="preserve">_ </v>
      </c>
      <c r="Y728" s="127" t="str">
        <f>CONCATENATE(U728," ",X728)</f>
        <v xml:space="preserve">-  _ </v>
      </c>
      <c r="Z728" s="125" t="str">
        <f>CONCATENATE(P728,Q728,R728,S728,V728)</f>
        <v xml:space="preserve">   </v>
      </c>
      <c r="AA728" s="125" t="str">
        <f>IFERROR(VLOOKUP(Y728,TD!$K$46:$L$64,2,0)," ")</f>
        <v xml:space="preserve"> </v>
      </c>
      <c r="AB728" s="53"/>
      <c r="AC728" s="126"/>
    </row>
    <row r="729" spans="2:29" s="28" customFormat="1" ht="74.25" customHeight="1" x14ac:dyDescent="0.35">
      <c r="B729" s="77"/>
      <c r="C729" s="50"/>
      <c r="D729" s="123"/>
      <c r="E729" s="51"/>
      <c r="F729" s="123"/>
      <c r="G729" s="123"/>
      <c r="H729" s="97"/>
      <c r="I729" s="124"/>
      <c r="J729" s="124"/>
      <c r="K729" s="52"/>
      <c r="L729" s="53"/>
      <c r="M729" s="123"/>
      <c r="N729" s="53"/>
      <c r="O729" s="51"/>
      <c r="P729" s="125" t="str">
        <f>IFERROR(VLOOKUP(C729,TD!$B$32:$F$36,2,0)," ")</f>
        <v xml:space="preserve"> </v>
      </c>
      <c r="Q729" s="125" t="str">
        <f>IFERROR(VLOOKUP(C729,TD!$B$32:$F$36,3,0)," ")</f>
        <v xml:space="preserve"> </v>
      </c>
      <c r="R729" s="125" t="str">
        <f>IFERROR(VLOOKUP(C729,TD!$B$32:$F$36,4,0)," ")</f>
        <v xml:space="preserve"> </v>
      </c>
      <c r="S729" s="51"/>
      <c r="T729" s="125" t="str">
        <f>IFERROR(VLOOKUP(S729,TD!$J$33:$K$43,2,0)," ")</f>
        <v xml:space="preserve"> </v>
      </c>
      <c r="U729" s="127" t="str">
        <f>CONCATENATE(S729,"-",T729)</f>
        <v xml:space="preserve">- </v>
      </c>
      <c r="V729" s="51"/>
      <c r="W729" s="125" t="str">
        <f>IFERROR(VLOOKUP(V729,TD!$N$33:$O$45,2,0)," ")</f>
        <v xml:space="preserve"> </v>
      </c>
      <c r="X729" s="127" t="str">
        <f>CONCATENATE(V729,"_",W729)</f>
        <v xml:space="preserve">_ </v>
      </c>
      <c r="Y729" s="127" t="str">
        <f>CONCATENATE(U729," ",X729)</f>
        <v xml:space="preserve">-  _ </v>
      </c>
      <c r="Z729" s="125" t="str">
        <f>CONCATENATE(P729,Q729,R729,S729,V729)</f>
        <v xml:space="preserve">   </v>
      </c>
      <c r="AA729" s="125" t="str">
        <f>IFERROR(VLOOKUP(Y729,TD!$K$46:$L$64,2,0)," ")</f>
        <v xml:space="preserve"> </v>
      </c>
      <c r="AB729" s="53"/>
      <c r="AC729" s="126"/>
    </row>
    <row r="730" spans="2:29" s="28" customFormat="1" ht="74.25" customHeight="1" x14ac:dyDescent="0.35">
      <c r="B730" s="77"/>
      <c r="C730" s="50"/>
      <c r="D730" s="123"/>
      <c r="E730" s="51"/>
      <c r="F730" s="123"/>
      <c r="G730" s="123"/>
      <c r="H730" s="97"/>
      <c r="I730" s="124"/>
      <c r="J730" s="124"/>
      <c r="K730" s="52"/>
      <c r="L730" s="53"/>
      <c r="M730" s="123"/>
      <c r="N730" s="53"/>
      <c r="O730" s="51"/>
      <c r="P730" s="125" t="str">
        <f>IFERROR(VLOOKUP(C730,TD!$B$32:$F$36,2,0)," ")</f>
        <v xml:space="preserve"> </v>
      </c>
      <c r="Q730" s="125" t="str">
        <f>IFERROR(VLOOKUP(C730,TD!$B$32:$F$36,3,0)," ")</f>
        <v xml:space="preserve"> </v>
      </c>
      <c r="R730" s="125" t="str">
        <f>IFERROR(VLOOKUP(C730,TD!$B$32:$F$36,4,0)," ")</f>
        <v xml:space="preserve"> </v>
      </c>
      <c r="S730" s="51"/>
      <c r="T730" s="125" t="str">
        <f>IFERROR(VLOOKUP(S730,TD!$J$33:$K$43,2,0)," ")</f>
        <v xml:space="preserve"> </v>
      </c>
      <c r="U730" s="127" t="str">
        <f>CONCATENATE(S730,"-",T730)</f>
        <v xml:space="preserve">- </v>
      </c>
      <c r="V730" s="51"/>
      <c r="W730" s="125" t="str">
        <f>IFERROR(VLOOKUP(V730,TD!$N$33:$O$45,2,0)," ")</f>
        <v xml:space="preserve"> </v>
      </c>
      <c r="X730" s="127" t="str">
        <f>CONCATENATE(V730,"_",W730)</f>
        <v xml:space="preserve">_ </v>
      </c>
      <c r="Y730" s="127" t="str">
        <f>CONCATENATE(U730," ",X730)</f>
        <v xml:space="preserve">-  _ </v>
      </c>
      <c r="Z730" s="125" t="str">
        <f>CONCATENATE(P730,Q730,R730,S730,V730)</f>
        <v xml:space="preserve">   </v>
      </c>
      <c r="AA730" s="125" t="str">
        <f>IFERROR(VLOOKUP(Y730,TD!$K$46:$L$64,2,0)," ")</f>
        <v xml:space="preserve"> </v>
      </c>
      <c r="AB730" s="53"/>
      <c r="AC730" s="126"/>
    </row>
    <row r="731" spans="2:29" s="28" customFormat="1" ht="74.25" customHeight="1" x14ac:dyDescent="0.35">
      <c r="B731" s="77"/>
      <c r="C731" s="50"/>
      <c r="D731" s="123"/>
      <c r="E731" s="51"/>
      <c r="F731" s="123"/>
      <c r="G731" s="123"/>
      <c r="H731" s="97"/>
      <c r="I731" s="124"/>
      <c r="J731" s="124"/>
      <c r="K731" s="52"/>
      <c r="L731" s="53"/>
      <c r="M731" s="123"/>
      <c r="N731" s="53"/>
      <c r="O731" s="51"/>
      <c r="P731" s="125" t="str">
        <f>IFERROR(VLOOKUP(C731,TD!$B$32:$F$36,2,0)," ")</f>
        <v xml:space="preserve"> </v>
      </c>
      <c r="Q731" s="125" t="str">
        <f>IFERROR(VLOOKUP(C731,TD!$B$32:$F$36,3,0)," ")</f>
        <v xml:space="preserve"> </v>
      </c>
      <c r="R731" s="125" t="str">
        <f>IFERROR(VLOOKUP(C731,TD!$B$32:$F$36,4,0)," ")</f>
        <v xml:space="preserve"> </v>
      </c>
      <c r="S731" s="51"/>
      <c r="T731" s="125" t="str">
        <f>IFERROR(VLOOKUP(S731,TD!$J$33:$K$43,2,0)," ")</f>
        <v xml:space="preserve"> </v>
      </c>
      <c r="U731" s="127" t="str">
        <f>CONCATENATE(S731,"-",T731)</f>
        <v xml:space="preserve">- </v>
      </c>
      <c r="V731" s="51"/>
      <c r="W731" s="125" t="str">
        <f>IFERROR(VLOOKUP(V731,TD!$N$33:$O$45,2,0)," ")</f>
        <v xml:space="preserve"> </v>
      </c>
      <c r="X731" s="127" t="str">
        <f>CONCATENATE(V731,"_",W731)</f>
        <v xml:space="preserve">_ </v>
      </c>
      <c r="Y731" s="127" t="str">
        <f>CONCATENATE(U731," ",X731)</f>
        <v xml:space="preserve">-  _ </v>
      </c>
      <c r="Z731" s="125" t="str">
        <f>CONCATENATE(P731,Q731,R731,S731,V731)</f>
        <v xml:space="preserve">   </v>
      </c>
      <c r="AA731" s="125" t="str">
        <f>IFERROR(VLOOKUP(Y731,TD!$K$46:$L$64,2,0)," ")</f>
        <v xml:space="preserve"> </v>
      </c>
      <c r="AB731" s="53"/>
      <c r="AC731" s="126"/>
    </row>
    <row r="732" spans="2:29" s="28" customFormat="1" ht="74.25" customHeight="1" x14ac:dyDescent="0.35">
      <c r="B732" s="77"/>
      <c r="C732" s="50"/>
      <c r="D732" s="123"/>
      <c r="E732" s="51"/>
      <c r="F732" s="123"/>
      <c r="G732" s="123"/>
      <c r="H732" s="97"/>
      <c r="I732" s="124"/>
      <c r="J732" s="124"/>
      <c r="K732" s="52"/>
      <c r="L732" s="53"/>
      <c r="M732" s="123"/>
      <c r="N732" s="53"/>
      <c r="O732" s="51"/>
      <c r="P732" s="125" t="str">
        <f>IFERROR(VLOOKUP(C732,TD!$B$32:$F$36,2,0)," ")</f>
        <v xml:space="preserve"> </v>
      </c>
      <c r="Q732" s="125" t="str">
        <f>IFERROR(VLOOKUP(C732,TD!$B$32:$F$36,3,0)," ")</f>
        <v xml:space="preserve"> </v>
      </c>
      <c r="R732" s="125" t="str">
        <f>IFERROR(VLOOKUP(C732,TD!$B$32:$F$36,4,0)," ")</f>
        <v xml:space="preserve"> </v>
      </c>
      <c r="S732" s="51"/>
      <c r="T732" s="125" t="str">
        <f>IFERROR(VLOOKUP(S732,TD!$J$33:$K$43,2,0)," ")</f>
        <v xml:space="preserve"> </v>
      </c>
      <c r="U732" s="127" t="str">
        <f>CONCATENATE(S732,"-",T732)</f>
        <v xml:space="preserve">- </v>
      </c>
      <c r="V732" s="51"/>
      <c r="W732" s="125" t="str">
        <f>IFERROR(VLOOKUP(V732,TD!$N$33:$O$45,2,0)," ")</f>
        <v xml:space="preserve"> </v>
      </c>
      <c r="X732" s="127" t="str">
        <f>CONCATENATE(V732,"_",W732)</f>
        <v xml:space="preserve">_ </v>
      </c>
      <c r="Y732" s="127" t="str">
        <f>CONCATENATE(U732," ",X732)</f>
        <v xml:space="preserve">-  _ </v>
      </c>
      <c r="Z732" s="125" t="str">
        <f>CONCATENATE(P732,Q732,R732,S732,V732)</f>
        <v xml:space="preserve">   </v>
      </c>
      <c r="AA732" s="125" t="str">
        <f>IFERROR(VLOOKUP(Y732,TD!$K$46:$L$64,2,0)," ")</f>
        <v xml:space="preserve"> </v>
      </c>
      <c r="AB732" s="53"/>
      <c r="AC732" s="126"/>
    </row>
    <row r="733" spans="2:29" s="28" customFormat="1" ht="74.25" customHeight="1" x14ac:dyDescent="0.35">
      <c r="B733" s="77"/>
      <c r="C733" s="50"/>
      <c r="D733" s="123"/>
      <c r="E733" s="51"/>
      <c r="F733" s="123"/>
      <c r="G733" s="123"/>
      <c r="H733" s="97"/>
      <c r="I733" s="124"/>
      <c r="J733" s="124"/>
      <c r="K733" s="52"/>
      <c r="L733" s="53"/>
      <c r="M733" s="123"/>
      <c r="N733" s="53"/>
      <c r="O733" s="51"/>
      <c r="P733" s="125" t="str">
        <f>IFERROR(VLOOKUP(C733,TD!$B$32:$F$36,2,0)," ")</f>
        <v xml:space="preserve"> </v>
      </c>
      <c r="Q733" s="125" t="str">
        <f>IFERROR(VLOOKUP(C733,TD!$B$32:$F$36,3,0)," ")</f>
        <v xml:space="preserve"> </v>
      </c>
      <c r="R733" s="125" t="str">
        <f>IFERROR(VLOOKUP(C733,TD!$B$32:$F$36,4,0)," ")</f>
        <v xml:space="preserve"> </v>
      </c>
      <c r="S733" s="51"/>
      <c r="T733" s="125" t="str">
        <f>IFERROR(VLOOKUP(S733,TD!$J$33:$K$43,2,0)," ")</f>
        <v xml:space="preserve"> </v>
      </c>
      <c r="U733" s="127" t="str">
        <f>CONCATENATE(S733,"-",T733)</f>
        <v xml:space="preserve">- </v>
      </c>
      <c r="V733" s="51"/>
      <c r="W733" s="125" t="str">
        <f>IFERROR(VLOOKUP(V733,TD!$N$33:$O$45,2,0)," ")</f>
        <v xml:space="preserve"> </v>
      </c>
      <c r="X733" s="127" t="str">
        <f>CONCATENATE(V733,"_",W733)</f>
        <v xml:space="preserve">_ </v>
      </c>
      <c r="Y733" s="127" t="str">
        <f>CONCATENATE(U733," ",X733)</f>
        <v xml:space="preserve">-  _ </v>
      </c>
      <c r="Z733" s="125" t="str">
        <f>CONCATENATE(P733,Q733,R733,S733,V733)</f>
        <v xml:space="preserve">   </v>
      </c>
      <c r="AA733" s="125" t="str">
        <f>IFERROR(VLOOKUP(Y733,TD!$K$46:$L$64,2,0)," ")</f>
        <v xml:space="preserve"> </v>
      </c>
      <c r="AB733" s="53"/>
      <c r="AC733" s="126"/>
    </row>
    <row r="734" spans="2:29" s="28" customFormat="1" ht="74.25" customHeight="1" x14ac:dyDescent="0.35">
      <c r="B734" s="77"/>
      <c r="C734" s="50"/>
      <c r="D734" s="123"/>
      <c r="E734" s="51"/>
      <c r="F734" s="123"/>
      <c r="G734" s="123"/>
      <c r="H734" s="97"/>
      <c r="I734" s="124"/>
      <c r="J734" s="124"/>
      <c r="K734" s="52"/>
      <c r="L734" s="53"/>
      <c r="M734" s="123"/>
      <c r="N734" s="53"/>
      <c r="O734" s="51"/>
      <c r="P734" s="125" t="str">
        <f>IFERROR(VLOOKUP(C734,TD!$B$32:$F$36,2,0)," ")</f>
        <v xml:space="preserve"> </v>
      </c>
      <c r="Q734" s="125" t="str">
        <f>IFERROR(VLOOKUP(C734,TD!$B$32:$F$36,3,0)," ")</f>
        <v xml:space="preserve"> </v>
      </c>
      <c r="R734" s="125" t="str">
        <f>IFERROR(VLOOKUP(C734,TD!$B$32:$F$36,4,0)," ")</f>
        <v xml:space="preserve"> </v>
      </c>
      <c r="S734" s="51"/>
      <c r="T734" s="125" t="str">
        <f>IFERROR(VLOOKUP(S734,TD!$J$33:$K$43,2,0)," ")</f>
        <v xml:space="preserve"> </v>
      </c>
      <c r="U734" s="127" t="str">
        <f>CONCATENATE(S734,"-",T734)</f>
        <v xml:space="preserve">- </v>
      </c>
      <c r="V734" s="51"/>
      <c r="W734" s="125" t="str">
        <f>IFERROR(VLOOKUP(V734,TD!$N$33:$O$45,2,0)," ")</f>
        <v xml:space="preserve"> </v>
      </c>
      <c r="X734" s="127" t="str">
        <f>CONCATENATE(V734,"_",W734)</f>
        <v xml:space="preserve">_ </v>
      </c>
      <c r="Y734" s="127" t="str">
        <f>CONCATENATE(U734," ",X734)</f>
        <v xml:space="preserve">-  _ </v>
      </c>
      <c r="Z734" s="125" t="str">
        <f>CONCATENATE(P734,Q734,R734,S734,V734)</f>
        <v xml:space="preserve">   </v>
      </c>
      <c r="AA734" s="125" t="str">
        <f>IFERROR(VLOOKUP(Y734,TD!$K$46:$L$64,2,0)," ")</f>
        <v xml:space="preserve"> </v>
      </c>
      <c r="AB734" s="53"/>
      <c r="AC734" s="126"/>
    </row>
    <row r="735" spans="2:29" s="28" customFormat="1" ht="74.25" customHeight="1" x14ac:dyDescent="0.35">
      <c r="B735" s="77"/>
      <c r="C735" s="50"/>
      <c r="D735" s="123"/>
      <c r="E735" s="51"/>
      <c r="F735" s="123"/>
      <c r="G735" s="123"/>
      <c r="H735" s="97"/>
      <c r="I735" s="124"/>
      <c r="J735" s="124"/>
      <c r="K735" s="52"/>
      <c r="L735" s="53"/>
      <c r="M735" s="123"/>
      <c r="N735" s="53"/>
      <c r="O735" s="51"/>
      <c r="P735" s="125" t="str">
        <f>IFERROR(VLOOKUP(C735,TD!$B$32:$F$36,2,0)," ")</f>
        <v xml:space="preserve"> </v>
      </c>
      <c r="Q735" s="125" t="str">
        <f>IFERROR(VLOOKUP(C735,TD!$B$32:$F$36,3,0)," ")</f>
        <v xml:space="preserve"> </v>
      </c>
      <c r="R735" s="125" t="str">
        <f>IFERROR(VLOOKUP(C735,TD!$B$32:$F$36,4,0)," ")</f>
        <v xml:space="preserve"> </v>
      </c>
      <c r="S735" s="51"/>
      <c r="T735" s="125" t="str">
        <f>IFERROR(VLOOKUP(S735,TD!$J$33:$K$43,2,0)," ")</f>
        <v xml:space="preserve"> </v>
      </c>
      <c r="U735" s="127" t="str">
        <f>CONCATENATE(S735,"-",T735)</f>
        <v xml:space="preserve">- </v>
      </c>
      <c r="V735" s="51"/>
      <c r="W735" s="125" t="str">
        <f>IFERROR(VLOOKUP(V735,TD!$N$33:$O$45,2,0)," ")</f>
        <v xml:space="preserve"> </v>
      </c>
      <c r="X735" s="127" t="str">
        <f>CONCATENATE(V735,"_",W735)</f>
        <v xml:space="preserve">_ </v>
      </c>
      <c r="Y735" s="127" t="str">
        <f>CONCATENATE(U735," ",X735)</f>
        <v xml:space="preserve">-  _ </v>
      </c>
      <c r="Z735" s="125" t="str">
        <f>CONCATENATE(P735,Q735,R735,S735,V735)</f>
        <v xml:space="preserve">   </v>
      </c>
      <c r="AA735" s="125" t="str">
        <f>IFERROR(VLOOKUP(Y735,TD!$K$46:$L$64,2,0)," ")</f>
        <v xml:space="preserve"> </v>
      </c>
      <c r="AB735" s="53"/>
      <c r="AC735" s="126"/>
    </row>
    <row r="736" spans="2:29" s="28" customFormat="1" ht="74.25" customHeight="1" x14ac:dyDescent="0.35">
      <c r="B736" s="77"/>
      <c r="C736" s="50"/>
      <c r="D736" s="123"/>
      <c r="E736" s="51"/>
      <c r="F736" s="123"/>
      <c r="G736" s="123"/>
      <c r="H736" s="97"/>
      <c r="I736" s="124"/>
      <c r="J736" s="124"/>
      <c r="K736" s="52"/>
      <c r="L736" s="53"/>
      <c r="M736" s="123"/>
      <c r="N736" s="53"/>
      <c r="O736" s="51"/>
      <c r="P736" s="125" t="str">
        <f>IFERROR(VLOOKUP(C736,TD!$B$32:$F$36,2,0)," ")</f>
        <v xml:space="preserve"> </v>
      </c>
      <c r="Q736" s="125" t="str">
        <f>IFERROR(VLOOKUP(C736,TD!$B$32:$F$36,3,0)," ")</f>
        <v xml:space="preserve"> </v>
      </c>
      <c r="R736" s="125" t="str">
        <f>IFERROR(VLOOKUP(C736,TD!$B$32:$F$36,4,0)," ")</f>
        <v xml:space="preserve"> </v>
      </c>
      <c r="S736" s="51"/>
      <c r="T736" s="125" t="str">
        <f>IFERROR(VLOOKUP(S736,TD!$J$33:$K$43,2,0)," ")</f>
        <v xml:space="preserve"> </v>
      </c>
      <c r="U736" s="127" t="str">
        <f>CONCATENATE(S736,"-",T736)</f>
        <v xml:space="preserve">- </v>
      </c>
      <c r="V736" s="51"/>
      <c r="W736" s="125" t="str">
        <f>IFERROR(VLOOKUP(V736,TD!$N$33:$O$45,2,0)," ")</f>
        <v xml:space="preserve"> </v>
      </c>
      <c r="X736" s="127" t="str">
        <f>CONCATENATE(V736,"_",W736)</f>
        <v xml:space="preserve">_ </v>
      </c>
      <c r="Y736" s="127" t="str">
        <f>CONCATENATE(U736," ",X736)</f>
        <v xml:space="preserve">-  _ </v>
      </c>
      <c r="Z736" s="125" t="str">
        <f>CONCATENATE(P736,Q736,R736,S736,V736)</f>
        <v xml:space="preserve">   </v>
      </c>
      <c r="AA736" s="125" t="str">
        <f>IFERROR(VLOOKUP(Y736,TD!$K$46:$L$64,2,0)," ")</f>
        <v xml:space="preserve"> </v>
      </c>
      <c r="AB736" s="53"/>
      <c r="AC736" s="126"/>
    </row>
    <row r="737" spans="2:29" s="28" customFormat="1" ht="74.25" customHeight="1" x14ac:dyDescent="0.35">
      <c r="B737" s="77"/>
      <c r="C737" s="50"/>
      <c r="D737" s="123"/>
      <c r="E737" s="51"/>
      <c r="F737" s="123"/>
      <c r="G737" s="123"/>
      <c r="H737" s="97"/>
      <c r="I737" s="124"/>
      <c r="J737" s="124"/>
      <c r="K737" s="52"/>
      <c r="L737" s="53"/>
      <c r="M737" s="123"/>
      <c r="N737" s="53"/>
      <c r="O737" s="51"/>
      <c r="P737" s="125" t="str">
        <f>IFERROR(VLOOKUP(C737,TD!$B$32:$F$36,2,0)," ")</f>
        <v xml:space="preserve"> </v>
      </c>
      <c r="Q737" s="125" t="str">
        <f>IFERROR(VLOOKUP(C737,TD!$B$32:$F$36,3,0)," ")</f>
        <v xml:space="preserve"> </v>
      </c>
      <c r="R737" s="125" t="str">
        <f>IFERROR(VLOOKUP(C737,TD!$B$32:$F$36,4,0)," ")</f>
        <v xml:space="preserve"> </v>
      </c>
      <c r="S737" s="51"/>
      <c r="T737" s="125" t="str">
        <f>IFERROR(VLOOKUP(S737,TD!$J$33:$K$43,2,0)," ")</f>
        <v xml:space="preserve"> </v>
      </c>
      <c r="U737" s="127" t="str">
        <f>CONCATENATE(S737,"-",T737)</f>
        <v xml:space="preserve">- </v>
      </c>
      <c r="V737" s="51"/>
      <c r="W737" s="125" t="str">
        <f>IFERROR(VLOOKUP(V737,TD!$N$33:$O$45,2,0)," ")</f>
        <v xml:space="preserve"> </v>
      </c>
      <c r="X737" s="127" t="str">
        <f>CONCATENATE(V737,"_",W737)</f>
        <v xml:space="preserve">_ </v>
      </c>
      <c r="Y737" s="127" t="str">
        <f>CONCATENATE(U737," ",X737)</f>
        <v xml:space="preserve">-  _ </v>
      </c>
      <c r="Z737" s="125" t="str">
        <f>CONCATENATE(P737,Q737,R737,S737,V737)</f>
        <v xml:space="preserve">   </v>
      </c>
      <c r="AA737" s="125" t="str">
        <f>IFERROR(VLOOKUP(Y737,TD!$K$46:$L$64,2,0)," ")</f>
        <v xml:space="preserve"> </v>
      </c>
      <c r="AB737" s="53"/>
      <c r="AC737" s="126"/>
    </row>
    <row r="738" spans="2:29" s="28" customFormat="1" ht="74.25" customHeight="1" x14ac:dyDescent="0.35">
      <c r="B738" s="77"/>
      <c r="C738" s="50"/>
      <c r="D738" s="123"/>
      <c r="E738" s="51"/>
      <c r="F738" s="123"/>
      <c r="G738" s="123"/>
      <c r="H738" s="97"/>
      <c r="I738" s="124"/>
      <c r="J738" s="124"/>
      <c r="K738" s="52"/>
      <c r="L738" s="53"/>
      <c r="M738" s="123"/>
      <c r="N738" s="53"/>
      <c r="O738" s="51"/>
      <c r="P738" s="125" t="str">
        <f>IFERROR(VLOOKUP(C738,TD!$B$32:$F$36,2,0)," ")</f>
        <v xml:space="preserve"> </v>
      </c>
      <c r="Q738" s="125" t="str">
        <f>IFERROR(VLOOKUP(C738,TD!$B$32:$F$36,3,0)," ")</f>
        <v xml:space="preserve"> </v>
      </c>
      <c r="R738" s="125" t="str">
        <f>IFERROR(VLOOKUP(C738,TD!$B$32:$F$36,4,0)," ")</f>
        <v xml:space="preserve"> </v>
      </c>
      <c r="S738" s="51"/>
      <c r="T738" s="125" t="str">
        <f>IFERROR(VLOOKUP(S738,TD!$J$33:$K$43,2,0)," ")</f>
        <v xml:space="preserve"> </v>
      </c>
      <c r="U738" s="127" t="str">
        <f>CONCATENATE(S738,"-",T738)</f>
        <v xml:space="preserve">- </v>
      </c>
      <c r="V738" s="51"/>
      <c r="W738" s="125" t="str">
        <f>IFERROR(VLOOKUP(V738,TD!$N$33:$O$45,2,0)," ")</f>
        <v xml:space="preserve"> </v>
      </c>
      <c r="X738" s="127" t="str">
        <f>CONCATENATE(V738,"_",W738)</f>
        <v xml:space="preserve">_ </v>
      </c>
      <c r="Y738" s="127" t="str">
        <f>CONCATENATE(U738," ",X738)</f>
        <v xml:space="preserve">-  _ </v>
      </c>
      <c r="Z738" s="125" t="str">
        <f>CONCATENATE(P738,Q738,R738,S738,V738)</f>
        <v xml:space="preserve">   </v>
      </c>
      <c r="AA738" s="125" t="str">
        <f>IFERROR(VLOOKUP(Y738,TD!$K$46:$L$64,2,0)," ")</f>
        <v xml:space="preserve"> </v>
      </c>
      <c r="AB738" s="53"/>
      <c r="AC738" s="126"/>
    </row>
    <row r="739" spans="2:29" s="28" customFormat="1" ht="74.25" customHeight="1" x14ac:dyDescent="0.35">
      <c r="B739" s="77"/>
      <c r="C739" s="50"/>
      <c r="D739" s="123"/>
      <c r="E739" s="51"/>
      <c r="F739" s="123"/>
      <c r="G739" s="123"/>
      <c r="H739" s="97"/>
      <c r="I739" s="124"/>
      <c r="J739" s="124"/>
      <c r="K739" s="52"/>
      <c r="L739" s="53"/>
      <c r="M739" s="123"/>
      <c r="N739" s="53"/>
      <c r="O739" s="51"/>
      <c r="P739" s="125" t="str">
        <f>IFERROR(VLOOKUP(C739,TD!$B$32:$F$36,2,0)," ")</f>
        <v xml:space="preserve"> </v>
      </c>
      <c r="Q739" s="125" t="str">
        <f>IFERROR(VLOOKUP(C739,TD!$B$32:$F$36,3,0)," ")</f>
        <v xml:space="preserve"> </v>
      </c>
      <c r="R739" s="125" t="str">
        <f>IFERROR(VLOOKUP(C739,TD!$B$32:$F$36,4,0)," ")</f>
        <v xml:space="preserve"> </v>
      </c>
      <c r="S739" s="51"/>
      <c r="T739" s="125" t="str">
        <f>IFERROR(VLOOKUP(S739,TD!$J$33:$K$43,2,0)," ")</f>
        <v xml:space="preserve"> </v>
      </c>
      <c r="U739" s="127" t="str">
        <f>CONCATENATE(S739,"-",T739)</f>
        <v xml:space="preserve">- </v>
      </c>
      <c r="V739" s="51"/>
      <c r="W739" s="125" t="str">
        <f>IFERROR(VLOOKUP(V739,TD!$N$33:$O$45,2,0)," ")</f>
        <v xml:space="preserve"> </v>
      </c>
      <c r="X739" s="127" t="str">
        <f>CONCATENATE(V739,"_",W739)</f>
        <v xml:space="preserve">_ </v>
      </c>
      <c r="Y739" s="127" t="str">
        <f>CONCATENATE(U739," ",X739)</f>
        <v xml:space="preserve">-  _ </v>
      </c>
      <c r="Z739" s="125" t="str">
        <f>CONCATENATE(P739,Q739,R739,S739,V739)</f>
        <v xml:space="preserve">   </v>
      </c>
      <c r="AA739" s="125" t="str">
        <f>IFERROR(VLOOKUP(Y739,TD!$K$46:$L$64,2,0)," ")</f>
        <v xml:space="preserve"> </v>
      </c>
      <c r="AB739" s="53"/>
      <c r="AC739" s="126"/>
    </row>
    <row r="740" spans="2:29" s="28" customFormat="1" ht="74.25" customHeight="1" x14ac:dyDescent="0.35">
      <c r="B740" s="77"/>
      <c r="C740" s="50"/>
      <c r="D740" s="123"/>
      <c r="E740" s="51"/>
      <c r="F740" s="123"/>
      <c r="G740" s="123"/>
      <c r="H740" s="97"/>
      <c r="I740" s="124"/>
      <c r="J740" s="124"/>
      <c r="K740" s="52"/>
      <c r="L740" s="53"/>
      <c r="M740" s="123"/>
      <c r="N740" s="53"/>
      <c r="O740" s="51"/>
      <c r="P740" s="125" t="str">
        <f>IFERROR(VLOOKUP(C740,TD!$B$32:$F$36,2,0)," ")</f>
        <v xml:space="preserve"> </v>
      </c>
      <c r="Q740" s="125" t="str">
        <f>IFERROR(VLOOKUP(C740,TD!$B$32:$F$36,3,0)," ")</f>
        <v xml:space="preserve"> </v>
      </c>
      <c r="R740" s="125" t="str">
        <f>IFERROR(VLOOKUP(C740,TD!$B$32:$F$36,4,0)," ")</f>
        <v xml:space="preserve"> </v>
      </c>
      <c r="S740" s="51"/>
      <c r="T740" s="125" t="str">
        <f>IFERROR(VLOOKUP(S740,TD!$J$33:$K$43,2,0)," ")</f>
        <v xml:space="preserve"> </v>
      </c>
      <c r="U740" s="127" t="str">
        <f>CONCATENATE(S740,"-",T740)</f>
        <v xml:space="preserve">- </v>
      </c>
      <c r="V740" s="51"/>
      <c r="W740" s="125" t="str">
        <f>IFERROR(VLOOKUP(V740,TD!$N$33:$O$45,2,0)," ")</f>
        <v xml:space="preserve"> </v>
      </c>
      <c r="X740" s="127" t="str">
        <f>CONCATENATE(V740,"_",W740)</f>
        <v xml:space="preserve">_ </v>
      </c>
      <c r="Y740" s="127" t="str">
        <f>CONCATENATE(U740," ",X740)</f>
        <v xml:space="preserve">-  _ </v>
      </c>
      <c r="Z740" s="125" t="str">
        <f>CONCATENATE(P740,Q740,R740,S740,V740)</f>
        <v xml:space="preserve">   </v>
      </c>
      <c r="AA740" s="125" t="str">
        <f>IFERROR(VLOOKUP(Y740,TD!$K$46:$L$64,2,0)," ")</f>
        <v xml:space="preserve"> </v>
      </c>
      <c r="AB740" s="53"/>
      <c r="AC740" s="126"/>
    </row>
    <row r="741" spans="2:29" s="28" customFormat="1" ht="74.25" customHeight="1" x14ac:dyDescent="0.35">
      <c r="B741" s="77"/>
      <c r="C741" s="50"/>
      <c r="D741" s="123"/>
      <c r="E741" s="51"/>
      <c r="F741" s="123"/>
      <c r="G741" s="123"/>
      <c r="H741" s="97"/>
      <c r="I741" s="124"/>
      <c r="J741" s="124"/>
      <c r="K741" s="52"/>
      <c r="L741" s="53"/>
      <c r="M741" s="123"/>
      <c r="N741" s="53"/>
      <c r="O741" s="51"/>
      <c r="P741" s="125" t="str">
        <f>IFERROR(VLOOKUP(C741,TD!$B$32:$F$36,2,0)," ")</f>
        <v xml:space="preserve"> </v>
      </c>
      <c r="Q741" s="125" t="str">
        <f>IFERROR(VLOOKUP(C741,TD!$B$32:$F$36,3,0)," ")</f>
        <v xml:space="preserve"> </v>
      </c>
      <c r="R741" s="125" t="str">
        <f>IFERROR(VLOOKUP(C741,TD!$B$32:$F$36,4,0)," ")</f>
        <v xml:space="preserve"> </v>
      </c>
      <c r="S741" s="51"/>
      <c r="T741" s="125" t="str">
        <f>IFERROR(VLOOKUP(S741,TD!$J$33:$K$43,2,0)," ")</f>
        <v xml:space="preserve"> </v>
      </c>
      <c r="U741" s="127" t="str">
        <f>CONCATENATE(S741,"-",T741)</f>
        <v xml:space="preserve">- </v>
      </c>
      <c r="V741" s="51"/>
      <c r="W741" s="125" t="str">
        <f>IFERROR(VLOOKUP(V741,TD!$N$33:$O$45,2,0)," ")</f>
        <v xml:space="preserve"> </v>
      </c>
      <c r="X741" s="127" t="str">
        <f>CONCATENATE(V741,"_",W741)</f>
        <v xml:space="preserve">_ </v>
      </c>
      <c r="Y741" s="127" t="str">
        <f>CONCATENATE(U741," ",X741)</f>
        <v xml:space="preserve">-  _ </v>
      </c>
      <c r="Z741" s="125" t="str">
        <f>CONCATENATE(P741,Q741,R741,S741,V741)</f>
        <v xml:space="preserve">   </v>
      </c>
      <c r="AA741" s="125" t="str">
        <f>IFERROR(VLOOKUP(Y741,TD!$K$46:$L$64,2,0)," ")</f>
        <v xml:space="preserve"> </v>
      </c>
      <c r="AB741" s="53"/>
      <c r="AC741" s="126"/>
    </row>
    <row r="742" spans="2:29" s="28" customFormat="1" ht="74.25" customHeight="1" x14ac:dyDescent="0.35">
      <c r="B742" s="77"/>
      <c r="C742" s="50"/>
      <c r="D742" s="123"/>
      <c r="E742" s="51"/>
      <c r="F742" s="123"/>
      <c r="G742" s="123"/>
      <c r="H742" s="97"/>
      <c r="I742" s="124"/>
      <c r="J742" s="124"/>
      <c r="K742" s="52"/>
      <c r="L742" s="53"/>
      <c r="M742" s="123"/>
      <c r="N742" s="53"/>
      <c r="O742" s="51"/>
      <c r="P742" s="125" t="str">
        <f>IFERROR(VLOOKUP(C742,TD!$B$32:$F$36,2,0)," ")</f>
        <v xml:space="preserve"> </v>
      </c>
      <c r="Q742" s="125" t="str">
        <f>IFERROR(VLOOKUP(C742,TD!$B$32:$F$36,3,0)," ")</f>
        <v xml:space="preserve"> </v>
      </c>
      <c r="R742" s="125" t="str">
        <f>IFERROR(VLOOKUP(C742,TD!$B$32:$F$36,4,0)," ")</f>
        <v xml:space="preserve"> </v>
      </c>
      <c r="S742" s="51"/>
      <c r="T742" s="125" t="str">
        <f>IFERROR(VLOOKUP(S742,TD!$J$33:$K$43,2,0)," ")</f>
        <v xml:space="preserve"> </v>
      </c>
      <c r="U742" s="127" t="str">
        <f>CONCATENATE(S742,"-",T742)</f>
        <v xml:space="preserve">- </v>
      </c>
      <c r="V742" s="51"/>
      <c r="W742" s="125" t="str">
        <f>IFERROR(VLOOKUP(V742,TD!$N$33:$O$45,2,0)," ")</f>
        <v xml:space="preserve"> </v>
      </c>
      <c r="X742" s="127" t="str">
        <f>CONCATENATE(V742,"_",W742)</f>
        <v xml:space="preserve">_ </v>
      </c>
      <c r="Y742" s="127" t="str">
        <f>CONCATENATE(U742," ",X742)</f>
        <v xml:space="preserve">-  _ </v>
      </c>
      <c r="Z742" s="125" t="str">
        <f>CONCATENATE(P742,Q742,R742,S742,V742)</f>
        <v xml:space="preserve">   </v>
      </c>
      <c r="AA742" s="125" t="str">
        <f>IFERROR(VLOOKUP(Y742,TD!$K$46:$L$64,2,0)," ")</f>
        <v xml:space="preserve"> </v>
      </c>
      <c r="AB742" s="53"/>
      <c r="AC742" s="126"/>
    </row>
    <row r="743" spans="2:29" s="28" customFormat="1" ht="74.25" customHeight="1" x14ac:dyDescent="0.35">
      <c r="B743" s="77"/>
      <c r="C743" s="50"/>
      <c r="D743" s="123"/>
      <c r="E743" s="51"/>
      <c r="F743" s="123"/>
      <c r="G743" s="123"/>
      <c r="H743" s="97"/>
      <c r="I743" s="124"/>
      <c r="J743" s="124"/>
      <c r="K743" s="52"/>
      <c r="L743" s="53"/>
      <c r="M743" s="123"/>
      <c r="N743" s="53"/>
      <c r="O743" s="51"/>
      <c r="P743" s="125" t="str">
        <f>IFERROR(VLOOKUP(C743,TD!$B$32:$F$36,2,0)," ")</f>
        <v xml:space="preserve"> </v>
      </c>
      <c r="Q743" s="125" t="str">
        <f>IFERROR(VLOOKUP(C743,TD!$B$32:$F$36,3,0)," ")</f>
        <v xml:space="preserve"> </v>
      </c>
      <c r="R743" s="125" t="str">
        <f>IFERROR(VLOOKUP(C743,TD!$B$32:$F$36,4,0)," ")</f>
        <v xml:space="preserve"> </v>
      </c>
      <c r="S743" s="51"/>
      <c r="T743" s="125" t="str">
        <f>IFERROR(VLOOKUP(S743,TD!$J$33:$K$43,2,0)," ")</f>
        <v xml:space="preserve"> </v>
      </c>
      <c r="U743" s="127" t="str">
        <f>CONCATENATE(S743,"-",T743)</f>
        <v xml:space="preserve">- </v>
      </c>
      <c r="V743" s="51"/>
      <c r="W743" s="125" t="str">
        <f>IFERROR(VLOOKUP(V743,TD!$N$33:$O$45,2,0)," ")</f>
        <v xml:space="preserve"> </v>
      </c>
      <c r="X743" s="127" t="str">
        <f>CONCATENATE(V743,"_",W743)</f>
        <v xml:space="preserve">_ </v>
      </c>
      <c r="Y743" s="127" t="str">
        <f>CONCATENATE(U743," ",X743)</f>
        <v xml:space="preserve">-  _ </v>
      </c>
      <c r="Z743" s="125" t="str">
        <f>CONCATENATE(P743,Q743,R743,S743,V743)</f>
        <v xml:space="preserve">   </v>
      </c>
      <c r="AA743" s="125" t="str">
        <f>IFERROR(VLOOKUP(Y743,TD!$K$46:$L$64,2,0)," ")</f>
        <v xml:space="preserve"> </v>
      </c>
      <c r="AB743" s="53"/>
      <c r="AC743" s="126"/>
    </row>
    <row r="744" spans="2:29" s="28" customFormat="1" ht="74.25" customHeight="1" x14ac:dyDescent="0.35">
      <c r="B744" s="77"/>
      <c r="C744" s="50"/>
      <c r="D744" s="123"/>
      <c r="E744" s="51"/>
      <c r="F744" s="123"/>
      <c r="G744" s="123"/>
      <c r="H744" s="97"/>
      <c r="I744" s="124"/>
      <c r="J744" s="124"/>
      <c r="K744" s="52"/>
      <c r="L744" s="53"/>
      <c r="M744" s="123"/>
      <c r="N744" s="53"/>
      <c r="O744" s="51"/>
      <c r="P744" s="125" t="str">
        <f>IFERROR(VLOOKUP(C744,TD!$B$32:$F$36,2,0)," ")</f>
        <v xml:space="preserve"> </v>
      </c>
      <c r="Q744" s="125" t="str">
        <f>IFERROR(VLOOKUP(C744,TD!$B$32:$F$36,3,0)," ")</f>
        <v xml:space="preserve"> </v>
      </c>
      <c r="R744" s="125" t="str">
        <f>IFERROR(VLOOKUP(C744,TD!$B$32:$F$36,4,0)," ")</f>
        <v xml:space="preserve"> </v>
      </c>
      <c r="S744" s="51"/>
      <c r="T744" s="125" t="str">
        <f>IFERROR(VLOOKUP(S744,TD!$J$33:$K$43,2,0)," ")</f>
        <v xml:space="preserve"> </v>
      </c>
      <c r="U744" s="127" t="str">
        <f>CONCATENATE(S744,"-",T744)</f>
        <v xml:space="preserve">- </v>
      </c>
      <c r="V744" s="51"/>
      <c r="W744" s="125" t="str">
        <f>IFERROR(VLOOKUP(V744,TD!$N$33:$O$45,2,0)," ")</f>
        <v xml:space="preserve"> </v>
      </c>
      <c r="X744" s="127" t="str">
        <f>CONCATENATE(V744,"_",W744)</f>
        <v xml:space="preserve">_ </v>
      </c>
      <c r="Y744" s="127" t="str">
        <f>CONCATENATE(U744," ",X744)</f>
        <v xml:space="preserve">-  _ </v>
      </c>
      <c r="Z744" s="125" t="str">
        <f>CONCATENATE(P744,Q744,R744,S744,V744)</f>
        <v xml:space="preserve">   </v>
      </c>
      <c r="AA744" s="125" t="str">
        <f>IFERROR(VLOOKUP(Y744,TD!$K$46:$L$64,2,0)," ")</f>
        <v xml:space="preserve"> </v>
      </c>
      <c r="AB744" s="53"/>
      <c r="AC744" s="126"/>
    </row>
    <row r="745" spans="2:29" s="28" customFormat="1" ht="74.25" customHeight="1" x14ac:dyDescent="0.35">
      <c r="B745" s="77"/>
      <c r="C745" s="50"/>
      <c r="D745" s="123"/>
      <c r="E745" s="51"/>
      <c r="F745" s="123"/>
      <c r="G745" s="123"/>
      <c r="H745" s="97"/>
      <c r="I745" s="124"/>
      <c r="J745" s="124"/>
      <c r="K745" s="52"/>
      <c r="L745" s="53"/>
      <c r="M745" s="123"/>
      <c r="N745" s="53"/>
      <c r="O745" s="51"/>
      <c r="P745" s="125" t="str">
        <f>IFERROR(VLOOKUP(C745,TD!$B$32:$F$36,2,0)," ")</f>
        <v xml:space="preserve"> </v>
      </c>
      <c r="Q745" s="125" t="str">
        <f>IFERROR(VLOOKUP(C745,TD!$B$32:$F$36,3,0)," ")</f>
        <v xml:space="preserve"> </v>
      </c>
      <c r="R745" s="125" t="str">
        <f>IFERROR(VLOOKUP(C745,TD!$B$32:$F$36,4,0)," ")</f>
        <v xml:space="preserve"> </v>
      </c>
      <c r="S745" s="51"/>
      <c r="T745" s="125" t="str">
        <f>IFERROR(VLOOKUP(S745,TD!$J$33:$K$43,2,0)," ")</f>
        <v xml:space="preserve"> </v>
      </c>
      <c r="U745" s="127" t="str">
        <f>CONCATENATE(S745,"-",T745)</f>
        <v xml:space="preserve">- </v>
      </c>
      <c r="V745" s="51"/>
      <c r="W745" s="125" t="str">
        <f>IFERROR(VLOOKUP(V745,TD!$N$33:$O$45,2,0)," ")</f>
        <v xml:space="preserve"> </v>
      </c>
      <c r="X745" s="127" t="str">
        <f>CONCATENATE(V745,"_",W745)</f>
        <v xml:space="preserve">_ </v>
      </c>
      <c r="Y745" s="127" t="str">
        <f>CONCATENATE(U745," ",X745)</f>
        <v xml:space="preserve">-  _ </v>
      </c>
      <c r="Z745" s="125" t="str">
        <f>CONCATENATE(P745,Q745,R745,S745,V745)</f>
        <v xml:space="preserve">   </v>
      </c>
      <c r="AA745" s="125" t="str">
        <f>IFERROR(VLOOKUP(Y745,TD!$K$46:$L$64,2,0)," ")</f>
        <v xml:space="preserve"> </v>
      </c>
      <c r="AB745" s="53"/>
      <c r="AC745" s="126"/>
    </row>
    <row r="746" spans="2:29" s="28" customFormat="1" ht="74.25" customHeight="1" x14ac:dyDescent="0.35">
      <c r="B746" s="77"/>
      <c r="C746" s="50"/>
      <c r="D746" s="123"/>
      <c r="E746" s="51"/>
      <c r="F746" s="123"/>
      <c r="G746" s="123"/>
      <c r="H746" s="97"/>
      <c r="I746" s="124"/>
      <c r="J746" s="124"/>
      <c r="K746" s="52"/>
      <c r="L746" s="53"/>
      <c r="M746" s="123"/>
      <c r="N746" s="53"/>
      <c r="O746" s="51"/>
      <c r="P746" s="125" t="str">
        <f>IFERROR(VLOOKUP(C746,TD!$B$32:$F$36,2,0)," ")</f>
        <v xml:space="preserve"> </v>
      </c>
      <c r="Q746" s="125" t="str">
        <f>IFERROR(VLOOKUP(C746,TD!$B$32:$F$36,3,0)," ")</f>
        <v xml:space="preserve"> </v>
      </c>
      <c r="R746" s="125" t="str">
        <f>IFERROR(VLOOKUP(C746,TD!$B$32:$F$36,4,0)," ")</f>
        <v xml:space="preserve"> </v>
      </c>
      <c r="S746" s="51"/>
      <c r="T746" s="125" t="str">
        <f>IFERROR(VLOOKUP(S746,TD!$J$33:$K$43,2,0)," ")</f>
        <v xml:space="preserve"> </v>
      </c>
      <c r="U746" s="127" t="str">
        <f>CONCATENATE(S746,"-",T746)</f>
        <v xml:space="preserve">- </v>
      </c>
      <c r="V746" s="51"/>
      <c r="W746" s="125" t="str">
        <f>IFERROR(VLOOKUP(V746,TD!$N$33:$O$45,2,0)," ")</f>
        <v xml:space="preserve"> </v>
      </c>
      <c r="X746" s="127" t="str">
        <f>CONCATENATE(V746,"_",W746)</f>
        <v xml:space="preserve">_ </v>
      </c>
      <c r="Y746" s="127" t="str">
        <f>CONCATENATE(U746," ",X746)</f>
        <v xml:space="preserve">-  _ </v>
      </c>
      <c r="Z746" s="125" t="str">
        <f>CONCATENATE(P746,Q746,R746,S746,V746)</f>
        <v xml:space="preserve">   </v>
      </c>
      <c r="AA746" s="125" t="str">
        <f>IFERROR(VLOOKUP(Y746,TD!$K$46:$L$64,2,0)," ")</f>
        <v xml:space="preserve"> </v>
      </c>
      <c r="AB746" s="53"/>
      <c r="AC746" s="126"/>
    </row>
    <row r="747" spans="2:29" s="28" customFormat="1" ht="74.25" customHeight="1" x14ac:dyDescent="0.35">
      <c r="B747" s="77"/>
      <c r="C747" s="50"/>
      <c r="D747" s="123"/>
      <c r="E747" s="51"/>
      <c r="F747" s="123"/>
      <c r="G747" s="123"/>
      <c r="H747" s="97"/>
      <c r="I747" s="124"/>
      <c r="J747" s="124"/>
      <c r="K747" s="52"/>
      <c r="L747" s="53"/>
      <c r="M747" s="123"/>
      <c r="N747" s="53"/>
      <c r="O747" s="51"/>
      <c r="P747" s="125" t="str">
        <f>IFERROR(VLOOKUP(C747,TD!$B$32:$F$36,2,0)," ")</f>
        <v xml:space="preserve"> </v>
      </c>
      <c r="Q747" s="125" t="str">
        <f>IFERROR(VLOOKUP(C747,TD!$B$32:$F$36,3,0)," ")</f>
        <v xml:space="preserve"> </v>
      </c>
      <c r="R747" s="125" t="str">
        <f>IFERROR(VLOOKUP(C747,TD!$B$32:$F$36,4,0)," ")</f>
        <v xml:space="preserve"> </v>
      </c>
      <c r="S747" s="51"/>
      <c r="T747" s="125" t="str">
        <f>IFERROR(VLOOKUP(S747,TD!$J$33:$K$43,2,0)," ")</f>
        <v xml:space="preserve"> </v>
      </c>
      <c r="U747" s="127" t="str">
        <f>CONCATENATE(S747,"-",T747)</f>
        <v xml:space="preserve">- </v>
      </c>
      <c r="V747" s="51"/>
      <c r="W747" s="125" t="str">
        <f>IFERROR(VLOOKUP(V747,TD!$N$33:$O$45,2,0)," ")</f>
        <v xml:space="preserve"> </v>
      </c>
      <c r="X747" s="127" t="str">
        <f>CONCATENATE(V747,"_",W747)</f>
        <v xml:space="preserve">_ </v>
      </c>
      <c r="Y747" s="127" t="str">
        <f>CONCATENATE(U747," ",X747)</f>
        <v xml:space="preserve">-  _ </v>
      </c>
      <c r="Z747" s="125" t="str">
        <f>CONCATENATE(P747,Q747,R747,S747,V747)</f>
        <v xml:space="preserve">   </v>
      </c>
      <c r="AA747" s="125" t="str">
        <f>IFERROR(VLOOKUP(Y747,TD!$K$46:$L$64,2,0)," ")</f>
        <v xml:space="preserve"> </v>
      </c>
      <c r="AB747" s="53"/>
      <c r="AC747" s="126"/>
    </row>
    <row r="748" spans="2:29" s="28" customFormat="1" ht="74.25" customHeight="1" x14ac:dyDescent="0.35">
      <c r="B748" s="77"/>
      <c r="C748" s="50"/>
      <c r="D748" s="123"/>
      <c r="E748" s="51"/>
      <c r="F748" s="123"/>
      <c r="G748" s="123"/>
      <c r="H748" s="97"/>
      <c r="I748" s="124"/>
      <c r="J748" s="124"/>
      <c r="K748" s="52"/>
      <c r="L748" s="53"/>
      <c r="M748" s="123"/>
      <c r="N748" s="53"/>
      <c r="O748" s="51"/>
      <c r="P748" s="125" t="str">
        <f>IFERROR(VLOOKUP(C748,TD!$B$32:$F$36,2,0)," ")</f>
        <v xml:space="preserve"> </v>
      </c>
      <c r="Q748" s="125" t="str">
        <f>IFERROR(VLOOKUP(C748,TD!$B$32:$F$36,3,0)," ")</f>
        <v xml:space="preserve"> </v>
      </c>
      <c r="R748" s="125" t="str">
        <f>IFERROR(VLOOKUP(C748,TD!$B$32:$F$36,4,0)," ")</f>
        <v xml:space="preserve"> </v>
      </c>
      <c r="S748" s="51"/>
      <c r="T748" s="125" t="str">
        <f>IFERROR(VLOOKUP(S748,TD!$J$33:$K$43,2,0)," ")</f>
        <v xml:space="preserve"> </v>
      </c>
      <c r="U748" s="127" t="str">
        <f>CONCATENATE(S748,"-",T748)</f>
        <v xml:space="preserve">- </v>
      </c>
      <c r="V748" s="51"/>
      <c r="W748" s="125" t="str">
        <f>IFERROR(VLOOKUP(V748,TD!$N$33:$O$45,2,0)," ")</f>
        <v xml:space="preserve"> </v>
      </c>
      <c r="X748" s="127" t="str">
        <f>CONCATENATE(V748,"_",W748)</f>
        <v xml:space="preserve">_ </v>
      </c>
      <c r="Y748" s="127" t="str">
        <f>CONCATENATE(U748," ",X748)</f>
        <v xml:space="preserve">-  _ </v>
      </c>
      <c r="Z748" s="125" t="str">
        <f>CONCATENATE(P748,Q748,R748,S748,V748)</f>
        <v xml:space="preserve">   </v>
      </c>
      <c r="AA748" s="125" t="str">
        <f>IFERROR(VLOOKUP(Y748,TD!$K$46:$L$64,2,0)," ")</f>
        <v xml:space="preserve"> </v>
      </c>
      <c r="AB748" s="53"/>
      <c r="AC748" s="126"/>
    </row>
    <row r="749" spans="2:29" s="28" customFormat="1" ht="74.25" customHeight="1" x14ac:dyDescent="0.35">
      <c r="B749" s="77"/>
      <c r="C749" s="50"/>
      <c r="D749" s="123"/>
      <c r="E749" s="51"/>
      <c r="F749" s="123"/>
      <c r="G749" s="123"/>
      <c r="H749" s="97"/>
      <c r="I749" s="124"/>
      <c r="J749" s="124"/>
      <c r="K749" s="52"/>
      <c r="L749" s="53"/>
      <c r="M749" s="123"/>
      <c r="N749" s="53"/>
      <c r="O749" s="51"/>
      <c r="P749" s="125" t="str">
        <f>IFERROR(VLOOKUP(C749,TD!$B$32:$F$36,2,0)," ")</f>
        <v xml:space="preserve"> </v>
      </c>
      <c r="Q749" s="125" t="str">
        <f>IFERROR(VLOOKUP(C749,TD!$B$32:$F$36,3,0)," ")</f>
        <v xml:space="preserve"> </v>
      </c>
      <c r="R749" s="125" t="str">
        <f>IFERROR(VLOOKUP(C749,TD!$B$32:$F$36,4,0)," ")</f>
        <v xml:space="preserve"> </v>
      </c>
      <c r="S749" s="51"/>
      <c r="T749" s="125" t="str">
        <f>IFERROR(VLOOKUP(S749,TD!$J$33:$K$43,2,0)," ")</f>
        <v xml:space="preserve"> </v>
      </c>
      <c r="U749" s="127" t="str">
        <f>CONCATENATE(S749,"-",T749)</f>
        <v xml:space="preserve">- </v>
      </c>
      <c r="V749" s="51"/>
      <c r="W749" s="125" t="str">
        <f>IFERROR(VLOOKUP(V749,TD!$N$33:$O$45,2,0)," ")</f>
        <v xml:space="preserve"> </v>
      </c>
      <c r="X749" s="127" t="str">
        <f>CONCATENATE(V749,"_",W749)</f>
        <v xml:space="preserve">_ </v>
      </c>
      <c r="Y749" s="127" t="str">
        <f>CONCATENATE(U749," ",X749)</f>
        <v xml:space="preserve">-  _ </v>
      </c>
      <c r="Z749" s="125" t="str">
        <f>CONCATENATE(P749,Q749,R749,S749,V749)</f>
        <v xml:space="preserve">   </v>
      </c>
      <c r="AA749" s="125" t="str">
        <f>IFERROR(VLOOKUP(Y749,TD!$K$46:$L$64,2,0)," ")</f>
        <v xml:space="preserve"> </v>
      </c>
      <c r="AB749" s="53"/>
      <c r="AC749" s="126"/>
    </row>
    <row r="750" spans="2:29" s="28" customFormat="1" ht="74.25" customHeight="1" x14ac:dyDescent="0.35">
      <c r="B750" s="77"/>
      <c r="C750" s="50"/>
      <c r="D750" s="123"/>
      <c r="E750" s="51"/>
      <c r="F750" s="123"/>
      <c r="G750" s="123"/>
      <c r="H750" s="97"/>
      <c r="I750" s="124"/>
      <c r="J750" s="124"/>
      <c r="K750" s="52"/>
      <c r="L750" s="53"/>
      <c r="M750" s="123"/>
      <c r="N750" s="53"/>
      <c r="O750" s="51"/>
      <c r="P750" s="125" t="str">
        <f>IFERROR(VLOOKUP(C750,TD!$B$32:$F$36,2,0)," ")</f>
        <v xml:space="preserve"> </v>
      </c>
      <c r="Q750" s="125" t="str">
        <f>IFERROR(VLOOKUP(C750,TD!$B$32:$F$36,3,0)," ")</f>
        <v xml:space="preserve"> </v>
      </c>
      <c r="R750" s="125" t="str">
        <f>IFERROR(VLOOKUP(C750,TD!$B$32:$F$36,4,0)," ")</f>
        <v xml:space="preserve"> </v>
      </c>
      <c r="S750" s="51"/>
      <c r="T750" s="125" t="str">
        <f>IFERROR(VLOOKUP(S750,TD!$J$33:$K$43,2,0)," ")</f>
        <v xml:space="preserve"> </v>
      </c>
      <c r="U750" s="127" t="str">
        <f>CONCATENATE(S750,"-",T750)</f>
        <v xml:space="preserve">- </v>
      </c>
      <c r="V750" s="51"/>
      <c r="W750" s="125" t="str">
        <f>IFERROR(VLOOKUP(V750,TD!$N$33:$O$45,2,0)," ")</f>
        <v xml:space="preserve"> </v>
      </c>
      <c r="X750" s="127" t="str">
        <f>CONCATENATE(V750,"_",W750)</f>
        <v xml:space="preserve">_ </v>
      </c>
      <c r="Y750" s="127" t="str">
        <f>CONCATENATE(U750," ",X750)</f>
        <v xml:space="preserve">-  _ </v>
      </c>
      <c r="Z750" s="125" t="str">
        <f>CONCATENATE(P750,Q750,R750,S750,V750)</f>
        <v xml:space="preserve">   </v>
      </c>
      <c r="AA750" s="125" t="str">
        <f>IFERROR(VLOOKUP(Y750,TD!$K$46:$L$64,2,0)," ")</f>
        <v xml:space="preserve"> </v>
      </c>
      <c r="AB750" s="53"/>
      <c r="AC750" s="126"/>
    </row>
    <row r="751" spans="2:29" s="28" customFormat="1" ht="74.25" customHeight="1" x14ac:dyDescent="0.35">
      <c r="B751" s="77"/>
      <c r="C751" s="50"/>
      <c r="D751" s="123"/>
      <c r="E751" s="51"/>
      <c r="F751" s="123"/>
      <c r="G751" s="123"/>
      <c r="H751" s="97"/>
      <c r="I751" s="124"/>
      <c r="J751" s="124"/>
      <c r="K751" s="52"/>
      <c r="L751" s="53"/>
      <c r="M751" s="123"/>
      <c r="N751" s="53"/>
      <c r="O751" s="51"/>
      <c r="P751" s="125" t="str">
        <f>IFERROR(VLOOKUP(C751,TD!$B$32:$F$36,2,0)," ")</f>
        <v xml:space="preserve"> </v>
      </c>
      <c r="Q751" s="125" t="str">
        <f>IFERROR(VLOOKUP(C751,TD!$B$32:$F$36,3,0)," ")</f>
        <v xml:space="preserve"> </v>
      </c>
      <c r="R751" s="125" t="str">
        <f>IFERROR(VLOOKUP(C751,TD!$B$32:$F$36,4,0)," ")</f>
        <v xml:space="preserve"> </v>
      </c>
      <c r="S751" s="51"/>
      <c r="T751" s="125" t="str">
        <f>IFERROR(VLOOKUP(S751,TD!$J$33:$K$43,2,0)," ")</f>
        <v xml:space="preserve"> </v>
      </c>
      <c r="U751" s="127" t="str">
        <f>CONCATENATE(S751,"-",T751)</f>
        <v xml:space="preserve">- </v>
      </c>
      <c r="V751" s="51"/>
      <c r="W751" s="125" t="str">
        <f>IFERROR(VLOOKUP(V751,TD!$N$33:$O$45,2,0)," ")</f>
        <v xml:space="preserve"> </v>
      </c>
      <c r="X751" s="127" t="str">
        <f>CONCATENATE(V751,"_",W751)</f>
        <v xml:space="preserve">_ </v>
      </c>
      <c r="Y751" s="127" t="str">
        <f>CONCATENATE(U751," ",X751)</f>
        <v xml:space="preserve">-  _ </v>
      </c>
      <c r="Z751" s="125" t="str">
        <f>CONCATENATE(P751,Q751,R751,S751,V751)</f>
        <v xml:space="preserve">   </v>
      </c>
      <c r="AA751" s="125" t="str">
        <f>IFERROR(VLOOKUP(Y751,TD!$K$46:$L$64,2,0)," ")</f>
        <v xml:space="preserve"> </v>
      </c>
      <c r="AB751" s="53"/>
      <c r="AC751" s="126"/>
    </row>
    <row r="752" spans="2:29" s="28" customFormat="1" ht="74.25" customHeight="1" x14ac:dyDescent="0.35">
      <c r="B752" s="77"/>
      <c r="C752" s="50"/>
      <c r="D752" s="123"/>
      <c r="E752" s="51"/>
      <c r="F752" s="123"/>
      <c r="G752" s="123"/>
      <c r="H752" s="97"/>
      <c r="I752" s="124"/>
      <c r="J752" s="124"/>
      <c r="K752" s="52"/>
      <c r="L752" s="53"/>
      <c r="M752" s="123"/>
      <c r="N752" s="53"/>
      <c r="O752" s="51"/>
      <c r="P752" s="125" t="str">
        <f>IFERROR(VLOOKUP(C752,TD!$B$32:$F$36,2,0)," ")</f>
        <v xml:space="preserve"> </v>
      </c>
      <c r="Q752" s="125" t="str">
        <f>IFERROR(VLOOKUP(C752,TD!$B$32:$F$36,3,0)," ")</f>
        <v xml:space="preserve"> </v>
      </c>
      <c r="R752" s="125" t="str">
        <f>IFERROR(VLOOKUP(C752,TD!$B$32:$F$36,4,0)," ")</f>
        <v xml:space="preserve"> </v>
      </c>
      <c r="S752" s="51"/>
      <c r="T752" s="125" t="str">
        <f>IFERROR(VLOOKUP(S752,TD!$J$33:$K$43,2,0)," ")</f>
        <v xml:space="preserve"> </v>
      </c>
      <c r="U752" s="127" t="str">
        <f>CONCATENATE(S752,"-",T752)</f>
        <v xml:space="preserve">- </v>
      </c>
      <c r="V752" s="51"/>
      <c r="W752" s="125" t="str">
        <f>IFERROR(VLOOKUP(V752,TD!$N$33:$O$45,2,0)," ")</f>
        <v xml:space="preserve"> </v>
      </c>
      <c r="X752" s="127" t="str">
        <f>CONCATENATE(V752,"_",W752)</f>
        <v xml:space="preserve">_ </v>
      </c>
      <c r="Y752" s="127" t="str">
        <f>CONCATENATE(U752," ",X752)</f>
        <v xml:space="preserve">-  _ </v>
      </c>
      <c r="Z752" s="125" t="str">
        <f>CONCATENATE(P752,Q752,R752,S752,V752)</f>
        <v xml:space="preserve">   </v>
      </c>
      <c r="AA752" s="125" t="str">
        <f>IFERROR(VLOOKUP(Y752,TD!$K$46:$L$64,2,0)," ")</f>
        <v xml:space="preserve"> </v>
      </c>
      <c r="AB752" s="53"/>
      <c r="AC752" s="126"/>
    </row>
    <row r="753" spans="2:29" s="28" customFormat="1" ht="74.25" customHeight="1" x14ac:dyDescent="0.35">
      <c r="B753" s="77"/>
      <c r="C753" s="50"/>
      <c r="D753" s="123"/>
      <c r="E753" s="51"/>
      <c r="F753" s="123"/>
      <c r="G753" s="123"/>
      <c r="H753" s="97"/>
      <c r="I753" s="124"/>
      <c r="J753" s="124"/>
      <c r="K753" s="52"/>
      <c r="L753" s="53"/>
      <c r="M753" s="123"/>
      <c r="N753" s="53"/>
      <c r="O753" s="51"/>
      <c r="P753" s="125" t="str">
        <f>IFERROR(VLOOKUP(C753,TD!$B$32:$F$36,2,0)," ")</f>
        <v xml:space="preserve"> </v>
      </c>
      <c r="Q753" s="125" t="str">
        <f>IFERROR(VLOOKUP(C753,TD!$B$32:$F$36,3,0)," ")</f>
        <v xml:space="preserve"> </v>
      </c>
      <c r="R753" s="125" t="str">
        <f>IFERROR(VLOOKUP(C753,TD!$B$32:$F$36,4,0)," ")</f>
        <v xml:space="preserve"> </v>
      </c>
      <c r="S753" s="51"/>
      <c r="T753" s="125" t="str">
        <f>IFERROR(VLOOKUP(S753,TD!$J$33:$K$43,2,0)," ")</f>
        <v xml:space="preserve"> </v>
      </c>
      <c r="U753" s="127" t="str">
        <f>CONCATENATE(S753,"-",T753)</f>
        <v xml:space="preserve">- </v>
      </c>
      <c r="V753" s="51"/>
      <c r="W753" s="125" t="str">
        <f>IFERROR(VLOOKUP(V753,TD!$N$33:$O$45,2,0)," ")</f>
        <v xml:space="preserve"> </v>
      </c>
      <c r="X753" s="127" t="str">
        <f>CONCATENATE(V753,"_",W753)</f>
        <v xml:space="preserve">_ </v>
      </c>
      <c r="Y753" s="127" t="str">
        <f>CONCATENATE(U753," ",X753)</f>
        <v xml:space="preserve">-  _ </v>
      </c>
      <c r="Z753" s="125" t="str">
        <f>CONCATENATE(P753,Q753,R753,S753,V753)</f>
        <v xml:space="preserve">   </v>
      </c>
      <c r="AA753" s="125" t="str">
        <f>IFERROR(VLOOKUP(Y753,TD!$K$46:$L$64,2,0)," ")</f>
        <v xml:space="preserve"> </v>
      </c>
      <c r="AB753" s="53"/>
      <c r="AC753" s="126"/>
    </row>
    <row r="754" spans="2:29" s="28" customFormat="1" ht="74.25" customHeight="1" x14ac:dyDescent="0.35">
      <c r="B754" s="77"/>
      <c r="C754" s="50"/>
      <c r="D754" s="123"/>
      <c r="E754" s="51"/>
      <c r="F754" s="123"/>
      <c r="G754" s="123"/>
      <c r="H754" s="97"/>
      <c r="I754" s="124"/>
      <c r="J754" s="124"/>
      <c r="K754" s="52"/>
      <c r="L754" s="53"/>
      <c r="M754" s="123"/>
      <c r="N754" s="53"/>
      <c r="O754" s="51"/>
      <c r="P754" s="125" t="str">
        <f>IFERROR(VLOOKUP(C754,TD!$B$32:$F$36,2,0)," ")</f>
        <v xml:space="preserve"> </v>
      </c>
      <c r="Q754" s="125" t="str">
        <f>IFERROR(VLOOKUP(C754,TD!$B$32:$F$36,3,0)," ")</f>
        <v xml:space="preserve"> </v>
      </c>
      <c r="R754" s="125" t="str">
        <f>IFERROR(VLOOKUP(C754,TD!$B$32:$F$36,4,0)," ")</f>
        <v xml:space="preserve"> </v>
      </c>
      <c r="S754" s="51"/>
      <c r="T754" s="125" t="str">
        <f>IFERROR(VLOOKUP(S754,TD!$J$33:$K$43,2,0)," ")</f>
        <v xml:space="preserve"> </v>
      </c>
      <c r="U754" s="127" t="str">
        <f>CONCATENATE(S754,"-",T754)</f>
        <v xml:space="preserve">- </v>
      </c>
      <c r="V754" s="51"/>
      <c r="W754" s="125" t="str">
        <f>IFERROR(VLOOKUP(V754,TD!$N$33:$O$45,2,0)," ")</f>
        <v xml:space="preserve"> </v>
      </c>
      <c r="X754" s="127" t="str">
        <f>CONCATENATE(V754,"_",W754)</f>
        <v xml:space="preserve">_ </v>
      </c>
      <c r="Y754" s="127" t="str">
        <f>CONCATENATE(U754," ",X754)</f>
        <v xml:space="preserve">-  _ </v>
      </c>
      <c r="Z754" s="125" t="str">
        <f>CONCATENATE(P754,Q754,R754,S754,V754)</f>
        <v xml:space="preserve">   </v>
      </c>
      <c r="AA754" s="125" t="str">
        <f>IFERROR(VLOOKUP(Y754,TD!$K$46:$L$64,2,0)," ")</f>
        <v xml:space="preserve"> </v>
      </c>
      <c r="AB754" s="53"/>
      <c r="AC754" s="126"/>
    </row>
    <row r="755" spans="2:29" s="28" customFormat="1" ht="74.25" customHeight="1" x14ac:dyDescent="0.35">
      <c r="B755" s="77"/>
      <c r="C755" s="50"/>
      <c r="D755" s="123"/>
      <c r="E755" s="51"/>
      <c r="F755" s="123"/>
      <c r="G755" s="123"/>
      <c r="H755" s="97"/>
      <c r="I755" s="124"/>
      <c r="J755" s="124"/>
      <c r="K755" s="52"/>
      <c r="L755" s="53"/>
      <c r="M755" s="123"/>
      <c r="N755" s="53"/>
      <c r="O755" s="51"/>
      <c r="P755" s="125" t="str">
        <f>IFERROR(VLOOKUP(C755,TD!$B$32:$F$36,2,0)," ")</f>
        <v xml:space="preserve"> </v>
      </c>
      <c r="Q755" s="125" t="str">
        <f>IFERROR(VLOOKUP(C755,TD!$B$32:$F$36,3,0)," ")</f>
        <v xml:space="preserve"> </v>
      </c>
      <c r="R755" s="125" t="str">
        <f>IFERROR(VLOOKUP(C755,TD!$B$32:$F$36,4,0)," ")</f>
        <v xml:space="preserve"> </v>
      </c>
      <c r="S755" s="51"/>
      <c r="T755" s="125" t="str">
        <f>IFERROR(VLOOKUP(S755,TD!$J$33:$K$43,2,0)," ")</f>
        <v xml:space="preserve"> </v>
      </c>
      <c r="U755" s="127" t="str">
        <f>CONCATENATE(S755,"-",T755)</f>
        <v xml:space="preserve">- </v>
      </c>
      <c r="V755" s="51"/>
      <c r="W755" s="125" t="str">
        <f>IFERROR(VLOOKUP(V755,TD!$N$33:$O$45,2,0)," ")</f>
        <v xml:space="preserve"> </v>
      </c>
      <c r="X755" s="127" t="str">
        <f>CONCATENATE(V755,"_",W755)</f>
        <v xml:space="preserve">_ </v>
      </c>
      <c r="Y755" s="127" t="str">
        <f>CONCATENATE(U755," ",X755)</f>
        <v xml:space="preserve">-  _ </v>
      </c>
      <c r="Z755" s="125" t="str">
        <f>CONCATENATE(P755,Q755,R755,S755,V755)</f>
        <v xml:space="preserve">   </v>
      </c>
      <c r="AA755" s="125" t="str">
        <f>IFERROR(VLOOKUP(Y755,TD!$K$46:$L$64,2,0)," ")</f>
        <v xml:space="preserve"> </v>
      </c>
      <c r="AB755" s="53"/>
      <c r="AC755" s="126"/>
    </row>
    <row r="756" spans="2:29" s="28" customFormat="1" ht="74.25" customHeight="1" x14ac:dyDescent="0.35">
      <c r="B756" s="77"/>
      <c r="C756" s="50"/>
      <c r="D756" s="123"/>
      <c r="E756" s="51"/>
      <c r="F756" s="123"/>
      <c r="G756" s="123"/>
      <c r="H756" s="97"/>
      <c r="I756" s="124"/>
      <c r="J756" s="124"/>
      <c r="K756" s="52"/>
      <c r="L756" s="53"/>
      <c r="M756" s="123"/>
      <c r="N756" s="53"/>
      <c r="O756" s="51"/>
      <c r="P756" s="125" t="str">
        <f>IFERROR(VLOOKUP(C756,TD!$B$32:$F$36,2,0)," ")</f>
        <v xml:space="preserve"> </v>
      </c>
      <c r="Q756" s="125" t="str">
        <f>IFERROR(VLOOKUP(C756,TD!$B$32:$F$36,3,0)," ")</f>
        <v xml:space="preserve"> </v>
      </c>
      <c r="R756" s="125" t="str">
        <f>IFERROR(VLOOKUP(C756,TD!$B$32:$F$36,4,0)," ")</f>
        <v xml:space="preserve"> </v>
      </c>
      <c r="S756" s="51"/>
      <c r="T756" s="125" t="str">
        <f>IFERROR(VLOOKUP(S756,TD!$J$33:$K$43,2,0)," ")</f>
        <v xml:space="preserve"> </v>
      </c>
      <c r="U756" s="127" t="str">
        <f>CONCATENATE(S756,"-",T756)</f>
        <v xml:space="preserve">- </v>
      </c>
      <c r="V756" s="51"/>
      <c r="W756" s="125" t="str">
        <f>IFERROR(VLOOKUP(V756,TD!$N$33:$O$45,2,0)," ")</f>
        <v xml:space="preserve"> </v>
      </c>
      <c r="X756" s="127" t="str">
        <f>CONCATENATE(V756,"_",W756)</f>
        <v xml:space="preserve">_ </v>
      </c>
      <c r="Y756" s="127" t="str">
        <f>CONCATENATE(U756," ",X756)</f>
        <v xml:space="preserve">-  _ </v>
      </c>
      <c r="Z756" s="125" t="str">
        <f>CONCATENATE(P756,Q756,R756,S756,V756)</f>
        <v xml:space="preserve">   </v>
      </c>
      <c r="AA756" s="125" t="str">
        <f>IFERROR(VLOOKUP(Y756,TD!$K$46:$L$64,2,0)," ")</f>
        <v xml:space="preserve"> </v>
      </c>
      <c r="AB756" s="53"/>
      <c r="AC756" s="126"/>
    </row>
    <row r="757" spans="2:29" s="28" customFormat="1" ht="74.25" customHeight="1" x14ac:dyDescent="0.35">
      <c r="B757" s="77"/>
      <c r="C757" s="50"/>
      <c r="D757" s="123"/>
      <c r="E757" s="51"/>
      <c r="F757" s="123"/>
      <c r="G757" s="123"/>
      <c r="H757" s="97"/>
      <c r="I757" s="124"/>
      <c r="J757" s="124"/>
      <c r="K757" s="52"/>
      <c r="L757" s="53"/>
      <c r="M757" s="123"/>
      <c r="N757" s="53"/>
      <c r="O757" s="51"/>
      <c r="P757" s="125" t="str">
        <f>IFERROR(VLOOKUP(C757,TD!$B$32:$F$36,2,0)," ")</f>
        <v xml:space="preserve"> </v>
      </c>
      <c r="Q757" s="125" t="str">
        <f>IFERROR(VLOOKUP(C757,TD!$B$32:$F$36,3,0)," ")</f>
        <v xml:space="preserve"> </v>
      </c>
      <c r="R757" s="125" t="str">
        <f>IFERROR(VLOOKUP(C757,TD!$B$32:$F$36,4,0)," ")</f>
        <v xml:space="preserve"> </v>
      </c>
      <c r="S757" s="51"/>
      <c r="T757" s="125" t="str">
        <f>IFERROR(VLOOKUP(S757,TD!$J$33:$K$43,2,0)," ")</f>
        <v xml:space="preserve"> </v>
      </c>
      <c r="U757" s="127" t="str">
        <f>CONCATENATE(S757,"-",T757)</f>
        <v xml:space="preserve">- </v>
      </c>
      <c r="V757" s="51"/>
      <c r="W757" s="125" t="str">
        <f>IFERROR(VLOOKUP(V757,TD!$N$33:$O$45,2,0)," ")</f>
        <v xml:space="preserve"> </v>
      </c>
      <c r="X757" s="127" t="str">
        <f>CONCATENATE(V757,"_",W757)</f>
        <v xml:space="preserve">_ </v>
      </c>
      <c r="Y757" s="127" t="str">
        <f>CONCATENATE(U757," ",X757)</f>
        <v xml:space="preserve">-  _ </v>
      </c>
      <c r="Z757" s="125" t="str">
        <f>CONCATENATE(P757,Q757,R757,S757,V757)</f>
        <v xml:space="preserve">   </v>
      </c>
      <c r="AA757" s="125" t="str">
        <f>IFERROR(VLOOKUP(Y757,TD!$K$46:$L$64,2,0)," ")</f>
        <v xml:space="preserve"> </v>
      </c>
      <c r="AB757" s="53"/>
      <c r="AC757" s="126"/>
    </row>
    <row r="758" spans="2:29" s="28" customFormat="1" ht="74.25" customHeight="1" x14ac:dyDescent="0.35">
      <c r="B758" s="77"/>
      <c r="C758" s="50"/>
      <c r="D758" s="123"/>
      <c r="E758" s="51"/>
      <c r="F758" s="123"/>
      <c r="G758" s="123"/>
      <c r="H758" s="97"/>
      <c r="I758" s="124"/>
      <c r="J758" s="124"/>
      <c r="K758" s="52"/>
      <c r="L758" s="53"/>
      <c r="M758" s="123"/>
      <c r="N758" s="53"/>
      <c r="O758" s="51"/>
      <c r="P758" s="125" t="str">
        <f>IFERROR(VLOOKUP(C758,TD!$B$32:$F$36,2,0)," ")</f>
        <v xml:space="preserve"> </v>
      </c>
      <c r="Q758" s="125" t="str">
        <f>IFERROR(VLOOKUP(C758,TD!$B$32:$F$36,3,0)," ")</f>
        <v xml:space="preserve"> </v>
      </c>
      <c r="R758" s="125" t="str">
        <f>IFERROR(VLOOKUP(C758,TD!$B$32:$F$36,4,0)," ")</f>
        <v xml:space="preserve"> </v>
      </c>
      <c r="S758" s="51"/>
      <c r="T758" s="125" t="str">
        <f>IFERROR(VLOOKUP(S758,TD!$J$33:$K$43,2,0)," ")</f>
        <v xml:space="preserve"> </v>
      </c>
      <c r="U758" s="127" t="str">
        <f>CONCATENATE(S758,"-",T758)</f>
        <v xml:space="preserve">- </v>
      </c>
      <c r="V758" s="51"/>
      <c r="W758" s="125" t="str">
        <f>IFERROR(VLOOKUP(V758,TD!$N$33:$O$45,2,0)," ")</f>
        <v xml:space="preserve"> </v>
      </c>
      <c r="X758" s="127" t="str">
        <f>CONCATENATE(V758,"_",W758)</f>
        <v xml:space="preserve">_ </v>
      </c>
      <c r="Y758" s="127" t="str">
        <f>CONCATENATE(U758," ",X758)</f>
        <v xml:space="preserve">-  _ </v>
      </c>
      <c r="Z758" s="125" t="str">
        <f>CONCATENATE(P758,Q758,R758,S758,V758)</f>
        <v xml:space="preserve">   </v>
      </c>
      <c r="AA758" s="125" t="str">
        <f>IFERROR(VLOOKUP(Y758,TD!$K$46:$L$64,2,0)," ")</f>
        <v xml:space="preserve"> </v>
      </c>
      <c r="AB758" s="53"/>
      <c r="AC758" s="126"/>
    </row>
    <row r="759" spans="2:29" s="28" customFormat="1" ht="74.25" customHeight="1" x14ac:dyDescent="0.35">
      <c r="B759" s="77"/>
      <c r="C759" s="50"/>
      <c r="D759" s="123"/>
      <c r="E759" s="51"/>
      <c r="F759" s="123"/>
      <c r="G759" s="123"/>
      <c r="H759" s="97"/>
      <c r="I759" s="124"/>
      <c r="J759" s="124"/>
      <c r="K759" s="52"/>
      <c r="L759" s="53"/>
      <c r="M759" s="123"/>
      <c r="N759" s="53"/>
      <c r="O759" s="51"/>
      <c r="P759" s="125" t="str">
        <f>IFERROR(VLOOKUP(C759,TD!$B$32:$F$36,2,0)," ")</f>
        <v xml:space="preserve"> </v>
      </c>
      <c r="Q759" s="125" t="str">
        <f>IFERROR(VLOOKUP(C759,TD!$B$32:$F$36,3,0)," ")</f>
        <v xml:space="preserve"> </v>
      </c>
      <c r="R759" s="125" t="str">
        <f>IFERROR(VLOOKUP(C759,TD!$B$32:$F$36,4,0)," ")</f>
        <v xml:space="preserve"> </v>
      </c>
      <c r="S759" s="51"/>
      <c r="T759" s="125" t="str">
        <f>IFERROR(VLOOKUP(S759,TD!$J$33:$K$43,2,0)," ")</f>
        <v xml:space="preserve"> </v>
      </c>
      <c r="U759" s="127" t="str">
        <f>CONCATENATE(S759,"-",T759)</f>
        <v xml:space="preserve">- </v>
      </c>
      <c r="V759" s="51"/>
      <c r="W759" s="125" t="str">
        <f>IFERROR(VLOOKUP(V759,TD!$N$33:$O$45,2,0)," ")</f>
        <v xml:space="preserve"> </v>
      </c>
      <c r="X759" s="127" t="str">
        <f>CONCATENATE(V759,"_",W759)</f>
        <v xml:space="preserve">_ </v>
      </c>
      <c r="Y759" s="127" t="str">
        <f>CONCATENATE(U759," ",X759)</f>
        <v xml:space="preserve">-  _ </v>
      </c>
      <c r="Z759" s="125" t="str">
        <f>CONCATENATE(P759,Q759,R759,S759,V759)</f>
        <v xml:space="preserve">   </v>
      </c>
      <c r="AA759" s="125" t="str">
        <f>IFERROR(VLOOKUP(Y759,TD!$K$46:$L$64,2,0)," ")</f>
        <v xml:space="preserve"> </v>
      </c>
      <c r="AB759" s="53"/>
      <c r="AC759" s="126"/>
    </row>
    <row r="760" spans="2:29" s="28" customFormat="1" ht="74.25" customHeight="1" x14ac:dyDescent="0.35">
      <c r="B760" s="77"/>
      <c r="C760" s="50"/>
      <c r="D760" s="123"/>
      <c r="E760" s="51"/>
      <c r="F760" s="123"/>
      <c r="G760" s="123"/>
      <c r="H760" s="97"/>
      <c r="I760" s="124"/>
      <c r="J760" s="124"/>
      <c r="K760" s="52"/>
      <c r="L760" s="53"/>
      <c r="M760" s="123"/>
      <c r="N760" s="53"/>
      <c r="O760" s="51"/>
      <c r="P760" s="125" t="str">
        <f>IFERROR(VLOOKUP(C760,TD!$B$32:$F$36,2,0)," ")</f>
        <v xml:space="preserve"> </v>
      </c>
      <c r="Q760" s="125" t="str">
        <f>IFERROR(VLOOKUP(C760,TD!$B$32:$F$36,3,0)," ")</f>
        <v xml:space="preserve"> </v>
      </c>
      <c r="R760" s="125" t="str">
        <f>IFERROR(VLOOKUP(C760,TD!$B$32:$F$36,4,0)," ")</f>
        <v xml:space="preserve"> </v>
      </c>
      <c r="S760" s="51"/>
      <c r="T760" s="125" t="str">
        <f>IFERROR(VLOOKUP(S760,TD!$J$33:$K$43,2,0)," ")</f>
        <v xml:space="preserve"> </v>
      </c>
      <c r="U760" s="127" t="str">
        <f>CONCATENATE(S760,"-",T760)</f>
        <v xml:space="preserve">- </v>
      </c>
      <c r="V760" s="51"/>
      <c r="W760" s="125" t="str">
        <f>IFERROR(VLOOKUP(V760,TD!$N$33:$O$45,2,0)," ")</f>
        <v xml:space="preserve"> </v>
      </c>
      <c r="X760" s="127" t="str">
        <f>CONCATENATE(V760,"_",W760)</f>
        <v xml:space="preserve">_ </v>
      </c>
      <c r="Y760" s="127" t="str">
        <f>CONCATENATE(U760," ",X760)</f>
        <v xml:space="preserve">-  _ </v>
      </c>
      <c r="Z760" s="125" t="str">
        <f>CONCATENATE(P760,Q760,R760,S760,V760)</f>
        <v xml:space="preserve">   </v>
      </c>
      <c r="AA760" s="125" t="str">
        <f>IFERROR(VLOOKUP(Y760,TD!$K$46:$L$64,2,0)," ")</f>
        <v xml:space="preserve"> </v>
      </c>
      <c r="AB760" s="53"/>
      <c r="AC760" s="126"/>
    </row>
    <row r="761" spans="2:29" s="28" customFormat="1" ht="74.25" customHeight="1" x14ac:dyDescent="0.35">
      <c r="B761" s="77"/>
      <c r="C761" s="50"/>
      <c r="D761" s="123"/>
      <c r="E761" s="51"/>
      <c r="F761" s="123"/>
      <c r="G761" s="123"/>
      <c r="H761" s="97"/>
      <c r="I761" s="124"/>
      <c r="J761" s="124"/>
      <c r="K761" s="52"/>
      <c r="L761" s="53"/>
      <c r="M761" s="123"/>
      <c r="N761" s="53"/>
      <c r="O761" s="51"/>
      <c r="P761" s="125" t="str">
        <f>IFERROR(VLOOKUP(C761,TD!$B$32:$F$36,2,0)," ")</f>
        <v xml:space="preserve"> </v>
      </c>
      <c r="Q761" s="125" t="str">
        <f>IFERROR(VLOOKUP(C761,TD!$B$32:$F$36,3,0)," ")</f>
        <v xml:space="preserve"> </v>
      </c>
      <c r="R761" s="125" t="str">
        <f>IFERROR(VLOOKUP(C761,TD!$B$32:$F$36,4,0)," ")</f>
        <v xml:space="preserve"> </v>
      </c>
      <c r="S761" s="51"/>
      <c r="T761" s="125" t="str">
        <f>IFERROR(VLOOKUP(S761,TD!$J$33:$K$43,2,0)," ")</f>
        <v xml:space="preserve"> </v>
      </c>
      <c r="U761" s="127" t="str">
        <f>CONCATENATE(S761,"-",T761)</f>
        <v xml:space="preserve">- </v>
      </c>
      <c r="V761" s="51"/>
      <c r="W761" s="125" t="str">
        <f>IFERROR(VLOOKUP(V761,TD!$N$33:$O$45,2,0)," ")</f>
        <v xml:space="preserve"> </v>
      </c>
      <c r="X761" s="127" t="str">
        <f>CONCATENATE(V761,"_",W761)</f>
        <v xml:space="preserve">_ </v>
      </c>
      <c r="Y761" s="127" t="str">
        <f>CONCATENATE(U761," ",X761)</f>
        <v xml:space="preserve">-  _ </v>
      </c>
      <c r="Z761" s="125" t="str">
        <f>CONCATENATE(P761,Q761,R761,S761,V761)</f>
        <v xml:space="preserve">   </v>
      </c>
      <c r="AA761" s="125" t="str">
        <f>IFERROR(VLOOKUP(Y761,TD!$K$46:$L$64,2,0)," ")</f>
        <v xml:space="preserve"> </v>
      </c>
      <c r="AB761" s="53"/>
      <c r="AC761" s="126"/>
    </row>
    <row r="762" spans="2:29" s="28" customFormat="1" ht="74.25" customHeight="1" x14ac:dyDescent="0.35">
      <c r="B762" s="77"/>
      <c r="C762" s="50"/>
      <c r="D762" s="123"/>
      <c r="E762" s="51"/>
      <c r="F762" s="123"/>
      <c r="G762" s="123"/>
      <c r="H762" s="97"/>
      <c r="I762" s="124"/>
      <c r="J762" s="124"/>
      <c r="K762" s="52"/>
      <c r="L762" s="53"/>
      <c r="M762" s="123"/>
      <c r="N762" s="53"/>
      <c r="O762" s="51"/>
      <c r="P762" s="125" t="str">
        <f>IFERROR(VLOOKUP(C762,TD!$B$32:$F$36,2,0)," ")</f>
        <v xml:space="preserve"> </v>
      </c>
      <c r="Q762" s="125" t="str">
        <f>IFERROR(VLOOKUP(C762,TD!$B$32:$F$36,3,0)," ")</f>
        <v xml:space="preserve"> </v>
      </c>
      <c r="R762" s="125" t="str">
        <f>IFERROR(VLOOKUP(C762,TD!$B$32:$F$36,4,0)," ")</f>
        <v xml:space="preserve"> </v>
      </c>
      <c r="S762" s="51"/>
      <c r="T762" s="125" t="str">
        <f>IFERROR(VLOOKUP(S762,TD!$J$33:$K$43,2,0)," ")</f>
        <v xml:space="preserve"> </v>
      </c>
      <c r="U762" s="127" t="str">
        <f>CONCATENATE(S762,"-",T762)</f>
        <v xml:space="preserve">- </v>
      </c>
      <c r="V762" s="51"/>
      <c r="W762" s="125" t="str">
        <f>IFERROR(VLOOKUP(V762,TD!$N$33:$O$45,2,0)," ")</f>
        <v xml:space="preserve"> </v>
      </c>
      <c r="X762" s="127" t="str">
        <f>CONCATENATE(V762,"_",W762)</f>
        <v xml:space="preserve">_ </v>
      </c>
      <c r="Y762" s="127" t="str">
        <f>CONCATENATE(U762," ",X762)</f>
        <v xml:space="preserve">-  _ </v>
      </c>
      <c r="Z762" s="125" t="str">
        <f>CONCATENATE(P762,Q762,R762,S762,V762)</f>
        <v xml:space="preserve">   </v>
      </c>
      <c r="AA762" s="125" t="str">
        <f>IFERROR(VLOOKUP(Y762,TD!$K$46:$L$64,2,0)," ")</f>
        <v xml:space="preserve"> </v>
      </c>
      <c r="AB762" s="53"/>
      <c r="AC762" s="126"/>
    </row>
    <row r="763" spans="2:29" s="28" customFormat="1" ht="74.25" customHeight="1" x14ac:dyDescent="0.35">
      <c r="B763" s="77"/>
      <c r="C763" s="50"/>
      <c r="D763" s="123"/>
      <c r="E763" s="51"/>
      <c r="F763" s="123"/>
      <c r="G763" s="123"/>
      <c r="H763" s="97"/>
      <c r="I763" s="124"/>
      <c r="J763" s="124"/>
      <c r="K763" s="52"/>
      <c r="L763" s="53"/>
      <c r="M763" s="123"/>
      <c r="N763" s="53"/>
      <c r="O763" s="51"/>
      <c r="P763" s="125" t="str">
        <f>IFERROR(VLOOKUP(C763,TD!$B$32:$F$36,2,0)," ")</f>
        <v xml:space="preserve"> </v>
      </c>
      <c r="Q763" s="125" t="str">
        <f>IFERROR(VLOOKUP(C763,TD!$B$32:$F$36,3,0)," ")</f>
        <v xml:space="preserve"> </v>
      </c>
      <c r="R763" s="125" t="str">
        <f>IFERROR(VLOOKUP(C763,TD!$B$32:$F$36,4,0)," ")</f>
        <v xml:space="preserve"> </v>
      </c>
      <c r="S763" s="51"/>
      <c r="T763" s="125" t="str">
        <f>IFERROR(VLOOKUP(S763,TD!$J$33:$K$43,2,0)," ")</f>
        <v xml:space="preserve"> </v>
      </c>
      <c r="U763" s="127" t="str">
        <f>CONCATENATE(S763,"-",T763)</f>
        <v xml:space="preserve">- </v>
      </c>
      <c r="V763" s="51"/>
      <c r="W763" s="125" t="str">
        <f>IFERROR(VLOOKUP(V763,TD!$N$33:$O$45,2,0)," ")</f>
        <v xml:space="preserve"> </v>
      </c>
      <c r="X763" s="127" t="str">
        <f>CONCATENATE(V763,"_",W763)</f>
        <v xml:space="preserve">_ </v>
      </c>
      <c r="Y763" s="127" t="str">
        <f>CONCATENATE(U763," ",X763)</f>
        <v xml:space="preserve">-  _ </v>
      </c>
      <c r="Z763" s="125" t="str">
        <f>CONCATENATE(P763,Q763,R763,S763,V763)</f>
        <v xml:space="preserve">   </v>
      </c>
      <c r="AA763" s="125" t="str">
        <f>IFERROR(VLOOKUP(Y763,TD!$K$46:$L$64,2,0)," ")</f>
        <v xml:space="preserve"> </v>
      </c>
      <c r="AB763" s="53"/>
      <c r="AC763" s="126"/>
    </row>
    <row r="764" spans="2:29" s="28" customFormat="1" ht="74.25" customHeight="1" x14ac:dyDescent="0.35">
      <c r="B764" s="77"/>
      <c r="C764" s="50"/>
      <c r="D764" s="123"/>
      <c r="E764" s="51"/>
      <c r="F764" s="123"/>
      <c r="G764" s="123"/>
      <c r="H764" s="97"/>
      <c r="I764" s="124"/>
      <c r="J764" s="124"/>
      <c r="K764" s="52"/>
      <c r="L764" s="53"/>
      <c r="M764" s="123"/>
      <c r="N764" s="53"/>
      <c r="O764" s="51"/>
      <c r="P764" s="125" t="str">
        <f>IFERROR(VLOOKUP(C764,TD!$B$32:$F$36,2,0)," ")</f>
        <v xml:space="preserve"> </v>
      </c>
      <c r="Q764" s="125" t="str">
        <f>IFERROR(VLOOKUP(C764,TD!$B$32:$F$36,3,0)," ")</f>
        <v xml:space="preserve"> </v>
      </c>
      <c r="R764" s="125" t="str">
        <f>IFERROR(VLOOKUP(C764,TD!$B$32:$F$36,4,0)," ")</f>
        <v xml:space="preserve"> </v>
      </c>
      <c r="S764" s="51"/>
      <c r="T764" s="125" t="str">
        <f>IFERROR(VLOOKUP(S764,TD!$J$33:$K$43,2,0)," ")</f>
        <v xml:space="preserve"> </v>
      </c>
      <c r="U764" s="127" t="str">
        <f>CONCATENATE(S764,"-",T764)</f>
        <v xml:space="preserve">- </v>
      </c>
      <c r="V764" s="51"/>
      <c r="W764" s="125" t="str">
        <f>IFERROR(VLOOKUP(V764,TD!$N$33:$O$45,2,0)," ")</f>
        <v xml:space="preserve"> </v>
      </c>
      <c r="X764" s="127" t="str">
        <f>CONCATENATE(V764,"_",W764)</f>
        <v xml:space="preserve">_ </v>
      </c>
      <c r="Y764" s="127" t="str">
        <f>CONCATENATE(U764," ",X764)</f>
        <v xml:space="preserve">-  _ </v>
      </c>
      <c r="Z764" s="125" t="str">
        <f>CONCATENATE(P764,Q764,R764,S764,V764)</f>
        <v xml:space="preserve">   </v>
      </c>
      <c r="AA764" s="125" t="str">
        <f>IFERROR(VLOOKUP(Y764,TD!$K$46:$L$64,2,0)," ")</f>
        <v xml:space="preserve"> </v>
      </c>
      <c r="AB764" s="53"/>
      <c r="AC764" s="126"/>
    </row>
    <row r="765" spans="2:29" s="28" customFormat="1" ht="74.25" customHeight="1" x14ac:dyDescent="0.35">
      <c r="B765" s="77"/>
      <c r="C765" s="50"/>
      <c r="D765" s="123"/>
      <c r="E765" s="51"/>
      <c r="F765" s="123"/>
      <c r="G765" s="123"/>
      <c r="H765" s="97"/>
      <c r="I765" s="124"/>
      <c r="J765" s="124"/>
      <c r="K765" s="52"/>
      <c r="L765" s="53"/>
      <c r="M765" s="123"/>
      <c r="N765" s="53"/>
      <c r="O765" s="51"/>
      <c r="P765" s="125" t="str">
        <f>IFERROR(VLOOKUP(C765,TD!$B$32:$F$36,2,0)," ")</f>
        <v xml:space="preserve"> </v>
      </c>
      <c r="Q765" s="125" t="str">
        <f>IFERROR(VLOOKUP(C765,TD!$B$32:$F$36,3,0)," ")</f>
        <v xml:space="preserve"> </v>
      </c>
      <c r="R765" s="125" t="str">
        <f>IFERROR(VLOOKUP(C765,TD!$B$32:$F$36,4,0)," ")</f>
        <v xml:space="preserve"> </v>
      </c>
      <c r="S765" s="51"/>
      <c r="T765" s="125" t="str">
        <f>IFERROR(VLOOKUP(S765,TD!$J$33:$K$43,2,0)," ")</f>
        <v xml:space="preserve"> </v>
      </c>
      <c r="U765" s="127" t="str">
        <f>CONCATENATE(S765,"-",T765)</f>
        <v xml:space="preserve">- </v>
      </c>
      <c r="V765" s="51"/>
      <c r="W765" s="125" t="str">
        <f>IFERROR(VLOOKUP(V765,TD!$N$33:$O$45,2,0)," ")</f>
        <v xml:space="preserve"> </v>
      </c>
      <c r="X765" s="127" t="str">
        <f>CONCATENATE(V765,"_",W765)</f>
        <v xml:space="preserve">_ </v>
      </c>
      <c r="Y765" s="127" t="str">
        <f>CONCATENATE(U765," ",X765)</f>
        <v xml:space="preserve">-  _ </v>
      </c>
      <c r="Z765" s="125" t="str">
        <f>CONCATENATE(P765,Q765,R765,S765,V765)</f>
        <v xml:space="preserve">   </v>
      </c>
      <c r="AA765" s="125" t="str">
        <f>IFERROR(VLOOKUP(Y765,TD!$K$46:$L$64,2,0)," ")</f>
        <v xml:space="preserve"> </v>
      </c>
      <c r="AB765" s="53"/>
      <c r="AC765" s="126"/>
    </row>
    <row r="766" spans="2:29" s="28" customFormat="1" ht="74.25" customHeight="1" x14ac:dyDescent="0.35">
      <c r="B766" s="77"/>
      <c r="C766" s="50"/>
      <c r="D766" s="123"/>
      <c r="E766" s="51"/>
      <c r="F766" s="123"/>
      <c r="G766" s="123"/>
      <c r="H766" s="97"/>
      <c r="I766" s="124"/>
      <c r="J766" s="124"/>
      <c r="K766" s="52"/>
      <c r="L766" s="53"/>
      <c r="M766" s="123"/>
      <c r="N766" s="53"/>
      <c r="O766" s="51"/>
      <c r="P766" s="125" t="str">
        <f>IFERROR(VLOOKUP(C766,TD!$B$32:$F$36,2,0)," ")</f>
        <v xml:space="preserve"> </v>
      </c>
      <c r="Q766" s="125" t="str">
        <f>IFERROR(VLOOKUP(C766,TD!$B$32:$F$36,3,0)," ")</f>
        <v xml:space="preserve"> </v>
      </c>
      <c r="R766" s="125" t="str">
        <f>IFERROR(VLOOKUP(C766,TD!$B$32:$F$36,4,0)," ")</f>
        <v xml:space="preserve"> </v>
      </c>
      <c r="S766" s="51"/>
      <c r="T766" s="125" t="str">
        <f>IFERROR(VLOOKUP(S766,TD!$J$33:$K$43,2,0)," ")</f>
        <v xml:space="preserve"> </v>
      </c>
      <c r="U766" s="127" t="str">
        <f>CONCATENATE(S766,"-",T766)</f>
        <v xml:space="preserve">- </v>
      </c>
      <c r="V766" s="51"/>
      <c r="W766" s="125" t="str">
        <f>IFERROR(VLOOKUP(V766,TD!$N$33:$O$45,2,0)," ")</f>
        <v xml:space="preserve"> </v>
      </c>
      <c r="X766" s="127" t="str">
        <f>CONCATENATE(V766,"_",W766)</f>
        <v xml:space="preserve">_ </v>
      </c>
      <c r="Y766" s="127" t="str">
        <f>CONCATENATE(U766," ",X766)</f>
        <v xml:space="preserve">-  _ </v>
      </c>
      <c r="Z766" s="125" t="str">
        <f>CONCATENATE(P766,Q766,R766,S766,V766)</f>
        <v xml:space="preserve">   </v>
      </c>
      <c r="AA766" s="125" t="str">
        <f>IFERROR(VLOOKUP(Y766,TD!$K$46:$L$64,2,0)," ")</f>
        <v xml:space="preserve"> </v>
      </c>
      <c r="AB766" s="53"/>
      <c r="AC766" s="126"/>
    </row>
    <row r="767" spans="2:29" s="28" customFormat="1" ht="74.25" customHeight="1" x14ac:dyDescent="0.35">
      <c r="B767" s="77"/>
      <c r="C767" s="50"/>
      <c r="D767" s="123"/>
      <c r="E767" s="51"/>
      <c r="F767" s="123"/>
      <c r="G767" s="123"/>
      <c r="H767" s="97"/>
      <c r="I767" s="124"/>
      <c r="J767" s="124"/>
      <c r="K767" s="52"/>
      <c r="L767" s="53"/>
      <c r="M767" s="123"/>
      <c r="N767" s="53"/>
      <c r="O767" s="51"/>
      <c r="P767" s="125" t="str">
        <f>IFERROR(VLOOKUP(C767,TD!$B$32:$F$36,2,0)," ")</f>
        <v xml:space="preserve"> </v>
      </c>
      <c r="Q767" s="125" t="str">
        <f>IFERROR(VLOOKUP(C767,TD!$B$32:$F$36,3,0)," ")</f>
        <v xml:space="preserve"> </v>
      </c>
      <c r="R767" s="125" t="str">
        <f>IFERROR(VLOOKUP(C767,TD!$B$32:$F$36,4,0)," ")</f>
        <v xml:space="preserve"> </v>
      </c>
      <c r="S767" s="51"/>
      <c r="T767" s="125" t="str">
        <f>IFERROR(VLOOKUP(S767,TD!$J$33:$K$43,2,0)," ")</f>
        <v xml:space="preserve"> </v>
      </c>
      <c r="U767" s="127" t="str">
        <f>CONCATENATE(S767,"-",T767)</f>
        <v xml:space="preserve">- </v>
      </c>
      <c r="V767" s="51"/>
      <c r="W767" s="125" t="str">
        <f>IFERROR(VLOOKUP(V767,TD!$N$33:$O$45,2,0)," ")</f>
        <v xml:space="preserve"> </v>
      </c>
      <c r="X767" s="127" t="str">
        <f>CONCATENATE(V767,"_",W767)</f>
        <v xml:space="preserve">_ </v>
      </c>
      <c r="Y767" s="127" t="str">
        <f>CONCATENATE(U767," ",X767)</f>
        <v xml:space="preserve">-  _ </v>
      </c>
      <c r="Z767" s="125" t="str">
        <f>CONCATENATE(P767,Q767,R767,S767,V767)</f>
        <v xml:space="preserve">   </v>
      </c>
      <c r="AA767" s="125" t="str">
        <f>IFERROR(VLOOKUP(Y767,TD!$K$46:$L$64,2,0)," ")</f>
        <v xml:space="preserve"> </v>
      </c>
      <c r="AB767" s="53"/>
      <c r="AC767" s="126"/>
    </row>
    <row r="768" spans="2:29" s="28" customFormat="1" ht="74.25" customHeight="1" x14ac:dyDescent="0.35">
      <c r="B768" s="77"/>
      <c r="C768" s="50"/>
      <c r="D768" s="123"/>
      <c r="E768" s="51"/>
      <c r="F768" s="123"/>
      <c r="G768" s="123"/>
      <c r="H768" s="97"/>
      <c r="I768" s="124"/>
      <c r="J768" s="124"/>
      <c r="K768" s="52"/>
      <c r="L768" s="53"/>
      <c r="M768" s="123"/>
      <c r="N768" s="53"/>
      <c r="O768" s="51"/>
      <c r="P768" s="125" t="str">
        <f>IFERROR(VLOOKUP(C768,TD!$B$32:$F$36,2,0)," ")</f>
        <v xml:space="preserve"> </v>
      </c>
      <c r="Q768" s="125" t="str">
        <f>IFERROR(VLOOKUP(C768,TD!$B$32:$F$36,3,0)," ")</f>
        <v xml:space="preserve"> </v>
      </c>
      <c r="R768" s="125" t="str">
        <f>IFERROR(VLOOKUP(C768,TD!$B$32:$F$36,4,0)," ")</f>
        <v xml:space="preserve"> </v>
      </c>
      <c r="S768" s="51"/>
      <c r="T768" s="125" t="str">
        <f>IFERROR(VLOOKUP(S768,TD!$J$33:$K$43,2,0)," ")</f>
        <v xml:space="preserve"> </v>
      </c>
      <c r="U768" s="127" t="str">
        <f>CONCATENATE(S768,"-",T768)</f>
        <v xml:space="preserve">- </v>
      </c>
      <c r="V768" s="51"/>
      <c r="W768" s="125" t="str">
        <f>IFERROR(VLOOKUP(V768,TD!$N$33:$O$45,2,0)," ")</f>
        <v xml:space="preserve"> </v>
      </c>
      <c r="X768" s="127" t="str">
        <f>CONCATENATE(V768,"_",W768)</f>
        <v xml:space="preserve">_ </v>
      </c>
      <c r="Y768" s="127" t="str">
        <f>CONCATENATE(U768," ",X768)</f>
        <v xml:space="preserve">-  _ </v>
      </c>
      <c r="Z768" s="125" t="str">
        <f>CONCATENATE(P768,Q768,R768,S768,V768)</f>
        <v xml:space="preserve">   </v>
      </c>
      <c r="AA768" s="125" t="str">
        <f>IFERROR(VLOOKUP(Y768,TD!$K$46:$L$64,2,0)," ")</f>
        <v xml:space="preserve"> </v>
      </c>
      <c r="AB768" s="53"/>
      <c r="AC768" s="126"/>
    </row>
    <row r="769" spans="2:29" s="28" customFormat="1" ht="74.25" customHeight="1" x14ac:dyDescent="0.35">
      <c r="B769" s="77"/>
      <c r="C769" s="50"/>
      <c r="D769" s="123"/>
      <c r="E769" s="51"/>
      <c r="F769" s="123"/>
      <c r="G769" s="123"/>
      <c r="H769" s="97"/>
      <c r="I769" s="124"/>
      <c r="J769" s="124"/>
      <c r="K769" s="52"/>
      <c r="L769" s="53"/>
      <c r="M769" s="123"/>
      <c r="N769" s="53"/>
      <c r="O769" s="51"/>
      <c r="P769" s="125" t="str">
        <f>IFERROR(VLOOKUP(C769,TD!$B$32:$F$36,2,0)," ")</f>
        <v xml:space="preserve"> </v>
      </c>
      <c r="Q769" s="125" t="str">
        <f>IFERROR(VLOOKUP(C769,TD!$B$32:$F$36,3,0)," ")</f>
        <v xml:space="preserve"> </v>
      </c>
      <c r="R769" s="125" t="str">
        <f>IFERROR(VLOOKUP(C769,TD!$B$32:$F$36,4,0)," ")</f>
        <v xml:space="preserve"> </v>
      </c>
      <c r="S769" s="51"/>
      <c r="T769" s="125" t="str">
        <f>IFERROR(VLOOKUP(S769,TD!$J$33:$K$43,2,0)," ")</f>
        <v xml:space="preserve"> </v>
      </c>
      <c r="U769" s="127" t="str">
        <f>CONCATENATE(S769,"-",T769)</f>
        <v xml:space="preserve">- </v>
      </c>
      <c r="V769" s="51"/>
      <c r="W769" s="125" t="str">
        <f>IFERROR(VLOOKUP(V769,TD!$N$33:$O$45,2,0)," ")</f>
        <v xml:space="preserve"> </v>
      </c>
      <c r="X769" s="127" t="str">
        <f>CONCATENATE(V769,"_",W769)</f>
        <v xml:space="preserve">_ </v>
      </c>
      <c r="Y769" s="127" t="str">
        <f>CONCATENATE(U769," ",X769)</f>
        <v xml:space="preserve">-  _ </v>
      </c>
      <c r="Z769" s="125" t="str">
        <f>CONCATENATE(P769,Q769,R769,S769,V769)</f>
        <v xml:space="preserve">   </v>
      </c>
      <c r="AA769" s="125" t="str">
        <f>IFERROR(VLOOKUP(Y769,TD!$K$46:$L$64,2,0)," ")</f>
        <v xml:space="preserve"> </v>
      </c>
      <c r="AB769" s="53"/>
      <c r="AC769" s="126"/>
    </row>
    <row r="770" spans="2:29" s="28" customFormat="1" ht="74.25" customHeight="1" x14ac:dyDescent="0.35">
      <c r="B770" s="77"/>
      <c r="C770" s="50"/>
      <c r="D770" s="123"/>
      <c r="E770" s="51"/>
      <c r="F770" s="123"/>
      <c r="G770" s="123"/>
      <c r="H770" s="97"/>
      <c r="I770" s="124"/>
      <c r="J770" s="124"/>
      <c r="K770" s="52"/>
      <c r="L770" s="53"/>
      <c r="M770" s="123"/>
      <c r="N770" s="53"/>
      <c r="O770" s="51"/>
      <c r="P770" s="125" t="str">
        <f>IFERROR(VLOOKUP(C770,TD!$B$32:$F$36,2,0)," ")</f>
        <v xml:space="preserve"> </v>
      </c>
      <c r="Q770" s="125" t="str">
        <f>IFERROR(VLOOKUP(C770,TD!$B$32:$F$36,3,0)," ")</f>
        <v xml:space="preserve"> </v>
      </c>
      <c r="R770" s="125" t="str">
        <f>IFERROR(VLOOKUP(C770,TD!$B$32:$F$36,4,0)," ")</f>
        <v xml:space="preserve"> </v>
      </c>
      <c r="S770" s="51"/>
      <c r="T770" s="125" t="str">
        <f>IFERROR(VLOOKUP(S770,TD!$J$33:$K$43,2,0)," ")</f>
        <v xml:space="preserve"> </v>
      </c>
      <c r="U770" s="127" t="str">
        <f>CONCATENATE(S770,"-",T770)</f>
        <v xml:space="preserve">- </v>
      </c>
      <c r="V770" s="51"/>
      <c r="W770" s="125" t="str">
        <f>IFERROR(VLOOKUP(V770,TD!$N$33:$O$45,2,0)," ")</f>
        <v xml:space="preserve"> </v>
      </c>
      <c r="X770" s="127" t="str">
        <f>CONCATENATE(V770,"_",W770)</f>
        <v xml:space="preserve">_ </v>
      </c>
      <c r="Y770" s="127" t="str">
        <f>CONCATENATE(U770," ",X770)</f>
        <v xml:space="preserve">-  _ </v>
      </c>
      <c r="Z770" s="125" t="str">
        <f>CONCATENATE(P770,Q770,R770,S770,V770)</f>
        <v xml:space="preserve">   </v>
      </c>
      <c r="AA770" s="125" t="str">
        <f>IFERROR(VLOOKUP(Y770,TD!$K$46:$L$64,2,0)," ")</f>
        <v xml:space="preserve"> </v>
      </c>
      <c r="AB770" s="53"/>
      <c r="AC770" s="126"/>
    </row>
    <row r="771" spans="2:29" s="28" customFormat="1" ht="74.25" customHeight="1" x14ac:dyDescent="0.35">
      <c r="B771" s="77"/>
      <c r="C771" s="50"/>
      <c r="D771" s="123"/>
      <c r="E771" s="51"/>
      <c r="F771" s="123"/>
      <c r="G771" s="123"/>
      <c r="H771" s="97"/>
      <c r="I771" s="124"/>
      <c r="J771" s="124"/>
      <c r="K771" s="52"/>
      <c r="L771" s="53"/>
      <c r="M771" s="123"/>
      <c r="N771" s="53"/>
      <c r="O771" s="51"/>
      <c r="P771" s="125" t="str">
        <f>IFERROR(VLOOKUP(C771,TD!$B$32:$F$36,2,0)," ")</f>
        <v xml:space="preserve"> </v>
      </c>
      <c r="Q771" s="125" t="str">
        <f>IFERROR(VLOOKUP(C771,TD!$B$32:$F$36,3,0)," ")</f>
        <v xml:space="preserve"> </v>
      </c>
      <c r="R771" s="125" t="str">
        <f>IFERROR(VLOOKUP(C771,TD!$B$32:$F$36,4,0)," ")</f>
        <v xml:space="preserve"> </v>
      </c>
      <c r="S771" s="51"/>
      <c r="T771" s="125" t="str">
        <f>IFERROR(VLOOKUP(S771,TD!$J$33:$K$43,2,0)," ")</f>
        <v xml:space="preserve"> </v>
      </c>
      <c r="U771" s="127" t="str">
        <f>CONCATENATE(S771,"-",T771)</f>
        <v xml:space="preserve">- </v>
      </c>
      <c r="V771" s="51"/>
      <c r="W771" s="125" t="str">
        <f>IFERROR(VLOOKUP(V771,TD!$N$33:$O$45,2,0)," ")</f>
        <v xml:space="preserve"> </v>
      </c>
      <c r="X771" s="127" t="str">
        <f>CONCATENATE(V771,"_",W771)</f>
        <v xml:space="preserve">_ </v>
      </c>
      <c r="Y771" s="127" t="str">
        <f>CONCATENATE(U771," ",X771)</f>
        <v xml:space="preserve">-  _ </v>
      </c>
      <c r="Z771" s="125" t="str">
        <f>CONCATENATE(P771,Q771,R771,S771,V771)</f>
        <v xml:space="preserve">   </v>
      </c>
      <c r="AA771" s="125" t="str">
        <f>IFERROR(VLOOKUP(Y771,TD!$K$46:$L$64,2,0)," ")</f>
        <v xml:space="preserve"> </v>
      </c>
      <c r="AB771" s="53"/>
      <c r="AC771" s="126"/>
    </row>
    <row r="772" spans="2:29" s="28" customFormat="1" ht="74.25" customHeight="1" x14ac:dyDescent="0.35">
      <c r="B772" s="77"/>
      <c r="C772" s="50"/>
      <c r="D772" s="123"/>
      <c r="E772" s="51"/>
      <c r="F772" s="123"/>
      <c r="G772" s="123"/>
      <c r="H772" s="97"/>
      <c r="I772" s="124"/>
      <c r="J772" s="124"/>
      <c r="K772" s="52"/>
      <c r="L772" s="53"/>
      <c r="M772" s="123"/>
      <c r="N772" s="53"/>
      <c r="O772" s="51"/>
      <c r="P772" s="125" t="str">
        <f>IFERROR(VLOOKUP(C772,TD!$B$32:$F$36,2,0)," ")</f>
        <v xml:space="preserve"> </v>
      </c>
      <c r="Q772" s="125" t="str">
        <f>IFERROR(VLOOKUP(C772,TD!$B$32:$F$36,3,0)," ")</f>
        <v xml:space="preserve"> </v>
      </c>
      <c r="R772" s="125" t="str">
        <f>IFERROR(VLOOKUP(C772,TD!$B$32:$F$36,4,0)," ")</f>
        <v xml:space="preserve"> </v>
      </c>
      <c r="S772" s="51"/>
      <c r="T772" s="125" t="str">
        <f>IFERROR(VLOOKUP(S772,TD!$J$33:$K$43,2,0)," ")</f>
        <v xml:space="preserve"> </v>
      </c>
      <c r="U772" s="127" t="str">
        <f>CONCATENATE(S772,"-",T772)</f>
        <v xml:space="preserve">- </v>
      </c>
      <c r="V772" s="51"/>
      <c r="W772" s="125" t="str">
        <f>IFERROR(VLOOKUP(V772,TD!$N$33:$O$45,2,0)," ")</f>
        <v xml:space="preserve"> </v>
      </c>
      <c r="X772" s="127" t="str">
        <f>CONCATENATE(V772,"_",W772)</f>
        <v xml:space="preserve">_ </v>
      </c>
      <c r="Y772" s="127" t="str">
        <f>CONCATENATE(U772," ",X772)</f>
        <v xml:space="preserve">-  _ </v>
      </c>
      <c r="Z772" s="125" t="str">
        <f>CONCATENATE(P772,Q772,R772,S772,V772)</f>
        <v xml:space="preserve">   </v>
      </c>
      <c r="AA772" s="125" t="str">
        <f>IFERROR(VLOOKUP(Y772,TD!$K$46:$L$64,2,0)," ")</f>
        <v xml:space="preserve"> </v>
      </c>
      <c r="AB772" s="53"/>
      <c r="AC772" s="126"/>
    </row>
    <row r="773" spans="2:29" s="28" customFormat="1" ht="74.25" customHeight="1" x14ac:dyDescent="0.35">
      <c r="B773" s="77"/>
      <c r="C773" s="50"/>
      <c r="D773" s="123"/>
      <c r="E773" s="51"/>
      <c r="F773" s="123"/>
      <c r="G773" s="123"/>
      <c r="H773" s="97"/>
      <c r="I773" s="124"/>
      <c r="J773" s="124"/>
      <c r="K773" s="52"/>
      <c r="L773" s="53"/>
      <c r="M773" s="123"/>
      <c r="N773" s="53"/>
      <c r="O773" s="51"/>
      <c r="P773" s="125" t="str">
        <f>IFERROR(VLOOKUP(C773,TD!$B$32:$F$36,2,0)," ")</f>
        <v xml:space="preserve"> </v>
      </c>
      <c r="Q773" s="125" t="str">
        <f>IFERROR(VLOOKUP(C773,TD!$B$32:$F$36,3,0)," ")</f>
        <v xml:space="preserve"> </v>
      </c>
      <c r="R773" s="125" t="str">
        <f>IFERROR(VLOOKUP(C773,TD!$B$32:$F$36,4,0)," ")</f>
        <v xml:space="preserve"> </v>
      </c>
      <c r="S773" s="51"/>
      <c r="T773" s="125" t="str">
        <f>IFERROR(VLOOKUP(S773,TD!$J$33:$K$43,2,0)," ")</f>
        <v xml:space="preserve"> </v>
      </c>
      <c r="U773" s="127" t="str">
        <f>CONCATENATE(S773,"-",T773)</f>
        <v xml:space="preserve">- </v>
      </c>
      <c r="V773" s="51"/>
      <c r="W773" s="125" t="str">
        <f>IFERROR(VLOOKUP(V773,TD!$N$33:$O$45,2,0)," ")</f>
        <v xml:space="preserve"> </v>
      </c>
      <c r="X773" s="127" t="str">
        <f>CONCATENATE(V773,"_",W773)</f>
        <v xml:space="preserve">_ </v>
      </c>
      <c r="Y773" s="127" t="str">
        <f>CONCATENATE(U773," ",X773)</f>
        <v xml:space="preserve">-  _ </v>
      </c>
      <c r="Z773" s="125" t="str">
        <f>CONCATENATE(P773,Q773,R773,S773,V773)</f>
        <v xml:space="preserve">   </v>
      </c>
      <c r="AA773" s="125" t="str">
        <f>IFERROR(VLOOKUP(Y773,TD!$K$46:$L$64,2,0)," ")</f>
        <v xml:space="preserve"> </v>
      </c>
      <c r="AB773" s="53"/>
      <c r="AC773" s="126"/>
    </row>
    <row r="774" spans="2:29" s="28" customFormat="1" ht="74.25" customHeight="1" x14ac:dyDescent="0.35">
      <c r="B774" s="77"/>
      <c r="C774" s="50"/>
      <c r="D774" s="123"/>
      <c r="E774" s="51"/>
      <c r="F774" s="123"/>
      <c r="G774" s="123"/>
      <c r="H774" s="97"/>
      <c r="I774" s="124"/>
      <c r="J774" s="124"/>
      <c r="K774" s="52"/>
      <c r="L774" s="53"/>
      <c r="M774" s="123"/>
      <c r="N774" s="53"/>
      <c r="O774" s="51"/>
      <c r="P774" s="125" t="str">
        <f>IFERROR(VLOOKUP(C774,TD!$B$32:$F$36,2,0)," ")</f>
        <v xml:space="preserve"> </v>
      </c>
      <c r="Q774" s="125" t="str">
        <f>IFERROR(VLOOKUP(C774,TD!$B$32:$F$36,3,0)," ")</f>
        <v xml:space="preserve"> </v>
      </c>
      <c r="R774" s="125" t="str">
        <f>IFERROR(VLOOKUP(C774,TD!$B$32:$F$36,4,0)," ")</f>
        <v xml:space="preserve"> </v>
      </c>
      <c r="S774" s="51"/>
      <c r="T774" s="125" t="str">
        <f>IFERROR(VLOOKUP(S774,TD!$J$33:$K$43,2,0)," ")</f>
        <v xml:space="preserve"> </v>
      </c>
      <c r="U774" s="127" t="str">
        <f>CONCATENATE(S774,"-",T774)</f>
        <v xml:space="preserve">- </v>
      </c>
      <c r="V774" s="51"/>
      <c r="W774" s="125" t="str">
        <f>IFERROR(VLOOKUP(V774,TD!$N$33:$O$45,2,0)," ")</f>
        <v xml:space="preserve"> </v>
      </c>
      <c r="X774" s="127" t="str">
        <f>CONCATENATE(V774,"_",W774)</f>
        <v xml:space="preserve">_ </v>
      </c>
      <c r="Y774" s="127" t="str">
        <f>CONCATENATE(U774," ",X774)</f>
        <v xml:space="preserve">-  _ </v>
      </c>
      <c r="Z774" s="125" t="str">
        <f>CONCATENATE(P774,Q774,R774,S774,V774)</f>
        <v xml:space="preserve">   </v>
      </c>
      <c r="AA774" s="125" t="str">
        <f>IFERROR(VLOOKUP(Y774,TD!$K$46:$L$64,2,0)," ")</f>
        <v xml:space="preserve"> </v>
      </c>
      <c r="AB774" s="53"/>
      <c r="AC774" s="126"/>
    </row>
    <row r="775" spans="2:29" s="28" customFormat="1" ht="74.25" customHeight="1" x14ac:dyDescent="0.35">
      <c r="B775" s="77"/>
      <c r="C775" s="50"/>
      <c r="D775" s="123"/>
      <c r="E775" s="51"/>
      <c r="F775" s="123"/>
      <c r="G775" s="123"/>
      <c r="H775" s="97"/>
      <c r="I775" s="124"/>
      <c r="J775" s="124"/>
      <c r="K775" s="52"/>
      <c r="L775" s="53"/>
      <c r="M775" s="123"/>
      <c r="N775" s="53"/>
      <c r="O775" s="51"/>
      <c r="P775" s="125" t="str">
        <f>IFERROR(VLOOKUP(C775,TD!$B$32:$F$36,2,0)," ")</f>
        <v xml:space="preserve"> </v>
      </c>
      <c r="Q775" s="125" t="str">
        <f>IFERROR(VLOOKUP(C775,TD!$B$32:$F$36,3,0)," ")</f>
        <v xml:space="preserve"> </v>
      </c>
      <c r="R775" s="125" t="str">
        <f>IFERROR(VLOOKUP(C775,TD!$B$32:$F$36,4,0)," ")</f>
        <v xml:space="preserve"> </v>
      </c>
      <c r="S775" s="51"/>
      <c r="T775" s="125" t="str">
        <f>IFERROR(VLOOKUP(S775,TD!$J$33:$K$43,2,0)," ")</f>
        <v xml:space="preserve"> </v>
      </c>
      <c r="U775" s="127" t="str">
        <f>CONCATENATE(S775,"-",T775)</f>
        <v xml:space="preserve">- </v>
      </c>
      <c r="V775" s="51"/>
      <c r="W775" s="125" t="str">
        <f>IFERROR(VLOOKUP(V775,TD!$N$33:$O$45,2,0)," ")</f>
        <v xml:space="preserve"> </v>
      </c>
      <c r="X775" s="127" t="str">
        <f>CONCATENATE(V775,"_",W775)</f>
        <v xml:space="preserve">_ </v>
      </c>
      <c r="Y775" s="127" t="str">
        <f>CONCATENATE(U775," ",X775)</f>
        <v xml:space="preserve">-  _ </v>
      </c>
      <c r="Z775" s="125" t="str">
        <f>CONCATENATE(P775,Q775,R775,S775,V775)</f>
        <v xml:space="preserve">   </v>
      </c>
      <c r="AA775" s="125" t="str">
        <f>IFERROR(VLOOKUP(Y775,TD!$K$46:$L$64,2,0)," ")</f>
        <v xml:space="preserve"> </v>
      </c>
      <c r="AB775" s="53"/>
      <c r="AC775" s="126"/>
    </row>
    <row r="776" spans="2:29" s="28" customFormat="1" ht="74.25" customHeight="1" x14ac:dyDescent="0.35">
      <c r="B776" s="77"/>
      <c r="C776" s="50"/>
      <c r="D776" s="123"/>
      <c r="E776" s="51"/>
      <c r="F776" s="123"/>
      <c r="G776" s="123"/>
      <c r="H776" s="97"/>
      <c r="I776" s="124"/>
      <c r="J776" s="124"/>
      <c r="K776" s="52"/>
      <c r="L776" s="53"/>
      <c r="M776" s="123"/>
      <c r="N776" s="53"/>
      <c r="O776" s="51"/>
      <c r="P776" s="125" t="str">
        <f>IFERROR(VLOOKUP(C776,TD!$B$32:$F$36,2,0)," ")</f>
        <v xml:space="preserve"> </v>
      </c>
      <c r="Q776" s="125" t="str">
        <f>IFERROR(VLOOKUP(C776,TD!$B$32:$F$36,3,0)," ")</f>
        <v xml:space="preserve"> </v>
      </c>
      <c r="R776" s="125" t="str">
        <f>IFERROR(VLOOKUP(C776,TD!$B$32:$F$36,4,0)," ")</f>
        <v xml:space="preserve"> </v>
      </c>
      <c r="S776" s="51"/>
      <c r="T776" s="125" t="str">
        <f>IFERROR(VLOOKUP(S776,TD!$J$33:$K$43,2,0)," ")</f>
        <v xml:space="preserve"> </v>
      </c>
      <c r="U776" s="127" t="str">
        <f>CONCATENATE(S776,"-",T776)</f>
        <v xml:space="preserve">- </v>
      </c>
      <c r="V776" s="51"/>
      <c r="W776" s="125" t="str">
        <f>IFERROR(VLOOKUP(V776,TD!$N$33:$O$45,2,0)," ")</f>
        <v xml:space="preserve"> </v>
      </c>
      <c r="X776" s="127" t="str">
        <f>CONCATENATE(V776,"_",W776)</f>
        <v xml:space="preserve">_ </v>
      </c>
      <c r="Y776" s="127" t="str">
        <f>CONCATENATE(U776," ",X776)</f>
        <v xml:space="preserve">-  _ </v>
      </c>
      <c r="Z776" s="125" t="str">
        <f>CONCATENATE(P776,Q776,R776,S776,V776)</f>
        <v xml:space="preserve">   </v>
      </c>
      <c r="AA776" s="125" t="str">
        <f>IFERROR(VLOOKUP(Y776,TD!$K$46:$L$64,2,0)," ")</f>
        <v xml:space="preserve"> </v>
      </c>
      <c r="AB776" s="53"/>
      <c r="AC776" s="126"/>
    </row>
    <row r="777" spans="2:29" s="28" customFormat="1" ht="74.25" customHeight="1" x14ac:dyDescent="0.35">
      <c r="B777" s="77"/>
      <c r="C777" s="50"/>
      <c r="D777" s="123"/>
      <c r="E777" s="51"/>
      <c r="F777" s="123"/>
      <c r="G777" s="123"/>
      <c r="H777" s="97"/>
      <c r="I777" s="124"/>
      <c r="J777" s="124"/>
      <c r="K777" s="52"/>
      <c r="L777" s="53"/>
      <c r="M777" s="123"/>
      <c r="N777" s="53"/>
      <c r="O777" s="51"/>
      <c r="P777" s="125" t="str">
        <f>IFERROR(VLOOKUP(C777,TD!$B$32:$F$36,2,0)," ")</f>
        <v xml:space="preserve"> </v>
      </c>
      <c r="Q777" s="125" t="str">
        <f>IFERROR(VLOOKUP(C777,TD!$B$32:$F$36,3,0)," ")</f>
        <v xml:space="preserve"> </v>
      </c>
      <c r="R777" s="125" t="str">
        <f>IFERROR(VLOOKUP(C777,TD!$B$32:$F$36,4,0)," ")</f>
        <v xml:space="preserve"> </v>
      </c>
      <c r="S777" s="51"/>
      <c r="T777" s="125" t="str">
        <f>IFERROR(VLOOKUP(S777,TD!$J$33:$K$43,2,0)," ")</f>
        <v xml:space="preserve"> </v>
      </c>
      <c r="U777" s="127" t="str">
        <f>CONCATENATE(S777,"-",T777)</f>
        <v xml:space="preserve">- </v>
      </c>
      <c r="V777" s="51"/>
      <c r="W777" s="125" t="str">
        <f>IFERROR(VLOOKUP(V777,TD!$N$33:$O$45,2,0)," ")</f>
        <v xml:space="preserve"> </v>
      </c>
      <c r="X777" s="127" t="str">
        <f>CONCATENATE(V777,"_",W777)</f>
        <v xml:space="preserve">_ </v>
      </c>
      <c r="Y777" s="127" t="str">
        <f>CONCATENATE(U777," ",X777)</f>
        <v xml:space="preserve">-  _ </v>
      </c>
      <c r="Z777" s="125" t="str">
        <f>CONCATENATE(P777,Q777,R777,S777,V777)</f>
        <v xml:space="preserve">   </v>
      </c>
      <c r="AA777" s="125" t="str">
        <f>IFERROR(VLOOKUP(Y777,TD!$K$46:$L$64,2,0)," ")</f>
        <v xml:space="preserve"> </v>
      </c>
      <c r="AB777" s="53"/>
      <c r="AC777" s="126"/>
    </row>
    <row r="778" spans="2:29" s="28" customFormat="1" ht="74.25" customHeight="1" x14ac:dyDescent="0.35">
      <c r="B778" s="77"/>
      <c r="C778" s="50"/>
      <c r="D778" s="123"/>
      <c r="E778" s="51"/>
      <c r="F778" s="123"/>
      <c r="G778" s="123"/>
      <c r="H778" s="97"/>
      <c r="I778" s="124"/>
      <c r="J778" s="124"/>
      <c r="K778" s="52"/>
      <c r="L778" s="53"/>
      <c r="M778" s="123"/>
      <c r="N778" s="53"/>
      <c r="O778" s="51"/>
      <c r="P778" s="125" t="str">
        <f>IFERROR(VLOOKUP(C778,TD!$B$32:$F$36,2,0)," ")</f>
        <v xml:space="preserve"> </v>
      </c>
      <c r="Q778" s="125" t="str">
        <f>IFERROR(VLOOKUP(C778,TD!$B$32:$F$36,3,0)," ")</f>
        <v xml:space="preserve"> </v>
      </c>
      <c r="R778" s="125" t="str">
        <f>IFERROR(VLOOKUP(C778,TD!$B$32:$F$36,4,0)," ")</f>
        <v xml:space="preserve"> </v>
      </c>
      <c r="S778" s="51"/>
      <c r="T778" s="125" t="str">
        <f>IFERROR(VLOOKUP(S778,TD!$J$33:$K$43,2,0)," ")</f>
        <v xml:space="preserve"> </v>
      </c>
      <c r="U778" s="127" t="str">
        <f>CONCATENATE(S778,"-",T778)</f>
        <v xml:space="preserve">- </v>
      </c>
      <c r="V778" s="51"/>
      <c r="W778" s="125" t="str">
        <f>IFERROR(VLOOKUP(V778,TD!$N$33:$O$45,2,0)," ")</f>
        <v xml:space="preserve"> </v>
      </c>
      <c r="X778" s="127" t="str">
        <f>CONCATENATE(V778,"_",W778)</f>
        <v xml:space="preserve">_ </v>
      </c>
      <c r="Y778" s="127" t="str">
        <f>CONCATENATE(U778," ",X778)</f>
        <v xml:space="preserve">-  _ </v>
      </c>
      <c r="Z778" s="125" t="str">
        <f>CONCATENATE(P778,Q778,R778,S778,V778)</f>
        <v xml:space="preserve">   </v>
      </c>
      <c r="AA778" s="125" t="str">
        <f>IFERROR(VLOOKUP(Y778,TD!$K$46:$L$64,2,0)," ")</f>
        <v xml:space="preserve"> </v>
      </c>
      <c r="AB778" s="53"/>
      <c r="AC778" s="126"/>
    </row>
    <row r="779" spans="2:29" s="28" customFormat="1" ht="74.25" customHeight="1" x14ac:dyDescent="0.35">
      <c r="B779" s="77"/>
      <c r="C779" s="50"/>
      <c r="D779" s="123"/>
      <c r="E779" s="51"/>
      <c r="F779" s="123"/>
      <c r="G779" s="123"/>
      <c r="H779" s="97"/>
      <c r="I779" s="124"/>
      <c r="J779" s="124"/>
      <c r="K779" s="52"/>
      <c r="L779" s="53"/>
      <c r="M779" s="123"/>
      <c r="N779" s="53"/>
      <c r="O779" s="51"/>
      <c r="P779" s="125" t="str">
        <f>IFERROR(VLOOKUP(C779,TD!$B$32:$F$36,2,0)," ")</f>
        <v xml:space="preserve"> </v>
      </c>
      <c r="Q779" s="125" t="str">
        <f>IFERROR(VLOOKUP(C779,TD!$B$32:$F$36,3,0)," ")</f>
        <v xml:space="preserve"> </v>
      </c>
      <c r="R779" s="125" t="str">
        <f>IFERROR(VLOOKUP(C779,TD!$B$32:$F$36,4,0)," ")</f>
        <v xml:space="preserve"> </v>
      </c>
      <c r="S779" s="51"/>
      <c r="T779" s="125" t="str">
        <f>IFERROR(VLOOKUP(S779,TD!$J$33:$K$43,2,0)," ")</f>
        <v xml:space="preserve"> </v>
      </c>
      <c r="U779" s="127" t="str">
        <f>CONCATENATE(S779,"-",T779)</f>
        <v xml:space="preserve">- </v>
      </c>
      <c r="V779" s="51"/>
      <c r="W779" s="125" t="str">
        <f>IFERROR(VLOOKUP(V779,TD!$N$33:$O$45,2,0)," ")</f>
        <v xml:space="preserve"> </v>
      </c>
      <c r="X779" s="127" t="str">
        <f>CONCATENATE(V779,"_",W779)</f>
        <v xml:space="preserve">_ </v>
      </c>
      <c r="Y779" s="127" t="str">
        <f>CONCATENATE(U779," ",X779)</f>
        <v xml:space="preserve">-  _ </v>
      </c>
      <c r="Z779" s="125" t="str">
        <f>CONCATENATE(P779,Q779,R779,S779,V779)</f>
        <v xml:space="preserve">   </v>
      </c>
      <c r="AA779" s="125" t="str">
        <f>IFERROR(VLOOKUP(Y779,TD!$K$46:$L$64,2,0)," ")</f>
        <v xml:space="preserve"> </v>
      </c>
      <c r="AB779" s="53"/>
      <c r="AC779" s="126"/>
    </row>
    <row r="780" spans="2:29" s="28" customFormat="1" ht="74.25" customHeight="1" x14ac:dyDescent="0.35">
      <c r="B780" s="77"/>
      <c r="C780" s="50"/>
      <c r="D780" s="123"/>
      <c r="E780" s="51"/>
      <c r="F780" s="123"/>
      <c r="G780" s="123"/>
      <c r="H780" s="97"/>
      <c r="I780" s="124"/>
      <c r="J780" s="124"/>
      <c r="K780" s="52"/>
      <c r="L780" s="53"/>
      <c r="M780" s="123"/>
      <c r="N780" s="53"/>
      <c r="O780" s="51"/>
      <c r="P780" s="125" t="str">
        <f>IFERROR(VLOOKUP(C780,TD!$B$32:$F$36,2,0)," ")</f>
        <v xml:space="preserve"> </v>
      </c>
      <c r="Q780" s="125" t="str">
        <f>IFERROR(VLOOKUP(C780,TD!$B$32:$F$36,3,0)," ")</f>
        <v xml:space="preserve"> </v>
      </c>
      <c r="R780" s="125" t="str">
        <f>IFERROR(VLOOKUP(C780,TD!$B$32:$F$36,4,0)," ")</f>
        <v xml:space="preserve"> </v>
      </c>
      <c r="S780" s="51"/>
      <c r="T780" s="125" t="str">
        <f>IFERROR(VLOOKUP(S780,TD!$J$33:$K$43,2,0)," ")</f>
        <v xml:space="preserve"> </v>
      </c>
      <c r="U780" s="127" t="str">
        <f>CONCATENATE(S780,"-",T780)</f>
        <v xml:space="preserve">- </v>
      </c>
      <c r="V780" s="51"/>
      <c r="W780" s="125" t="str">
        <f>IFERROR(VLOOKUP(V780,TD!$N$33:$O$45,2,0)," ")</f>
        <v xml:space="preserve"> </v>
      </c>
      <c r="X780" s="127" t="str">
        <f>CONCATENATE(V780,"_",W780)</f>
        <v xml:space="preserve">_ </v>
      </c>
      <c r="Y780" s="127" t="str">
        <f>CONCATENATE(U780," ",X780)</f>
        <v xml:space="preserve">-  _ </v>
      </c>
      <c r="Z780" s="125" t="str">
        <f>CONCATENATE(P780,Q780,R780,S780,V780)</f>
        <v xml:space="preserve">   </v>
      </c>
      <c r="AA780" s="125" t="str">
        <f>IFERROR(VLOOKUP(Y780,TD!$K$46:$L$64,2,0)," ")</f>
        <v xml:space="preserve"> </v>
      </c>
      <c r="AB780" s="53"/>
      <c r="AC780" s="126"/>
    </row>
    <row r="781" spans="2:29" s="28" customFormat="1" ht="74.25" customHeight="1" x14ac:dyDescent="0.35">
      <c r="B781" s="77"/>
      <c r="C781" s="50"/>
      <c r="D781" s="123"/>
      <c r="E781" s="51"/>
      <c r="F781" s="123"/>
      <c r="G781" s="123"/>
      <c r="H781" s="97"/>
      <c r="I781" s="124"/>
      <c r="J781" s="124"/>
      <c r="K781" s="52"/>
      <c r="L781" s="53"/>
      <c r="M781" s="123"/>
      <c r="N781" s="53"/>
      <c r="O781" s="51"/>
      <c r="P781" s="125" t="str">
        <f>IFERROR(VLOOKUP(C781,TD!$B$32:$F$36,2,0)," ")</f>
        <v xml:space="preserve"> </v>
      </c>
      <c r="Q781" s="125" t="str">
        <f>IFERROR(VLOOKUP(C781,TD!$B$32:$F$36,3,0)," ")</f>
        <v xml:space="preserve"> </v>
      </c>
      <c r="R781" s="125" t="str">
        <f>IFERROR(VLOOKUP(C781,TD!$B$32:$F$36,4,0)," ")</f>
        <v xml:space="preserve"> </v>
      </c>
      <c r="S781" s="51"/>
      <c r="T781" s="125" t="str">
        <f>IFERROR(VLOOKUP(S781,TD!$J$33:$K$43,2,0)," ")</f>
        <v xml:space="preserve"> </v>
      </c>
      <c r="U781" s="127" t="str">
        <f>CONCATENATE(S781,"-",T781)</f>
        <v xml:space="preserve">- </v>
      </c>
      <c r="V781" s="51"/>
      <c r="W781" s="125" t="str">
        <f>IFERROR(VLOOKUP(V781,TD!$N$33:$O$45,2,0)," ")</f>
        <v xml:space="preserve"> </v>
      </c>
      <c r="X781" s="127" t="str">
        <f>CONCATENATE(V781,"_",W781)</f>
        <v xml:space="preserve">_ </v>
      </c>
      <c r="Y781" s="127" t="str">
        <f>CONCATENATE(U781," ",X781)</f>
        <v xml:space="preserve">-  _ </v>
      </c>
      <c r="Z781" s="125" t="str">
        <f>CONCATENATE(P781,Q781,R781,S781,V781)</f>
        <v xml:space="preserve">   </v>
      </c>
      <c r="AA781" s="125" t="str">
        <f>IFERROR(VLOOKUP(Y781,TD!$K$46:$L$64,2,0)," ")</f>
        <v xml:space="preserve"> </v>
      </c>
      <c r="AB781" s="53"/>
      <c r="AC781" s="126"/>
    </row>
    <row r="782" spans="2:29" s="28" customFormat="1" ht="74.25" customHeight="1" x14ac:dyDescent="0.35">
      <c r="B782" s="77"/>
      <c r="C782" s="50"/>
      <c r="D782" s="123"/>
      <c r="E782" s="51"/>
      <c r="F782" s="123"/>
      <c r="G782" s="123"/>
      <c r="H782" s="97"/>
      <c r="I782" s="124"/>
      <c r="J782" s="124"/>
      <c r="K782" s="52"/>
      <c r="L782" s="53"/>
      <c r="M782" s="123"/>
      <c r="N782" s="53"/>
      <c r="O782" s="51"/>
      <c r="P782" s="125" t="str">
        <f>IFERROR(VLOOKUP(C782,TD!$B$32:$F$36,2,0)," ")</f>
        <v xml:space="preserve"> </v>
      </c>
      <c r="Q782" s="125" t="str">
        <f>IFERROR(VLOOKUP(C782,TD!$B$32:$F$36,3,0)," ")</f>
        <v xml:space="preserve"> </v>
      </c>
      <c r="R782" s="125" t="str">
        <f>IFERROR(VLOOKUP(C782,TD!$B$32:$F$36,4,0)," ")</f>
        <v xml:space="preserve"> </v>
      </c>
      <c r="S782" s="51"/>
      <c r="T782" s="125" t="str">
        <f>IFERROR(VLOOKUP(S782,TD!$J$33:$K$43,2,0)," ")</f>
        <v xml:space="preserve"> </v>
      </c>
      <c r="U782" s="127" t="str">
        <f>CONCATENATE(S782,"-",T782)</f>
        <v xml:space="preserve">- </v>
      </c>
      <c r="V782" s="51"/>
      <c r="W782" s="125" t="str">
        <f>IFERROR(VLOOKUP(V782,TD!$N$33:$O$45,2,0)," ")</f>
        <v xml:space="preserve"> </v>
      </c>
      <c r="X782" s="127" t="str">
        <f>CONCATENATE(V782,"_",W782)</f>
        <v xml:space="preserve">_ </v>
      </c>
      <c r="Y782" s="127" t="str">
        <f>CONCATENATE(U782," ",X782)</f>
        <v xml:space="preserve">-  _ </v>
      </c>
      <c r="Z782" s="125" t="str">
        <f>CONCATENATE(P782,Q782,R782,S782,V782)</f>
        <v xml:space="preserve">   </v>
      </c>
      <c r="AA782" s="125" t="str">
        <f>IFERROR(VLOOKUP(Y782,TD!$K$46:$L$64,2,0)," ")</f>
        <v xml:space="preserve"> </v>
      </c>
      <c r="AB782" s="53"/>
      <c r="AC782" s="126"/>
    </row>
    <row r="783" spans="2:29" s="28" customFormat="1" ht="74.25" customHeight="1" x14ac:dyDescent="0.35">
      <c r="B783" s="77"/>
      <c r="C783" s="50"/>
      <c r="D783" s="123"/>
      <c r="E783" s="51"/>
      <c r="F783" s="123"/>
      <c r="G783" s="123"/>
      <c r="H783" s="97"/>
      <c r="I783" s="124"/>
      <c r="J783" s="124"/>
      <c r="K783" s="52"/>
      <c r="L783" s="53"/>
      <c r="M783" s="123"/>
      <c r="N783" s="53"/>
      <c r="O783" s="51"/>
      <c r="P783" s="125" t="str">
        <f>IFERROR(VLOOKUP(C783,TD!$B$32:$F$36,2,0)," ")</f>
        <v xml:space="preserve"> </v>
      </c>
      <c r="Q783" s="125" t="str">
        <f>IFERROR(VLOOKUP(C783,TD!$B$32:$F$36,3,0)," ")</f>
        <v xml:space="preserve"> </v>
      </c>
      <c r="R783" s="125" t="str">
        <f>IFERROR(VLOOKUP(C783,TD!$B$32:$F$36,4,0)," ")</f>
        <v xml:space="preserve"> </v>
      </c>
      <c r="S783" s="51"/>
      <c r="T783" s="125" t="str">
        <f>IFERROR(VLOOKUP(S783,TD!$J$33:$K$43,2,0)," ")</f>
        <v xml:space="preserve"> </v>
      </c>
      <c r="U783" s="127" t="str">
        <f>CONCATENATE(S783,"-",T783)</f>
        <v xml:space="preserve">- </v>
      </c>
      <c r="V783" s="51"/>
      <c r="W783" s="125" t="str">
        <f>IFERROR(VLOOKUP(V783,TD!$N$33:$O$45,2,0)," ")</f>
        <v xml:space="preserve"> </v>
      </c>
      <c r="X783" s="127" t="str">
        <f>CONCATENATE(V783,"_",W783)</f>
        <v xml:space="preserve">_ </v>
      </c>
      <c r="Y783" s="127" t="str">
        <f>CONCATENATE(U783," ",X783)</f>
        <v xml:space="preserve">-  _ </v>
      </c>
      <c r="Z783" s="125" t="str">
        <f>CONCATENATE(P783,Q783,R783,S783,V783)</f>
        <v xml:space="preserve">   </v>
      </c>
      <c r="AA783" s="125" t="str">
        <f>IFERROR(VLOOKUP(Y783,TD!$K$46:$L$64,2,0)," ")</f>
        <v xml:space="preserve"> </v>
      </c>
      <c r="AB783" s="53"/>
      <c r="AC783" s="126"/>
    </row>
    <row r="784" spans="2:29" s="28" customFormat="1" ht="74.25" customHeight="1" x14ac:dyDescent="0.35">
      <c r="B784" s="77"/>
      <c r="C784" s="50"/>
      <c r="D784" s="123"/>
      <c r="E784" s="51"/>
      <c r="F784" s="123"/>
      <c r="G784" s="123"/>
      <c r="H784" s="97"/>
      <c r="I784" s="124"/>
      <c r="J784" s="124"/>
      <c r="K784" s="52"/>
      <c r="L784" s="53"/>
      <c r="M784" s="123"/>
      <c r="N784" s="53"/>
      <c r="O784" s="51"/>
      <c r="P784" s="125" t="str">
        <f>IFERROR(VLOOKUP(C784,TD!$B$32:$F$36,2,0)," ")</f>
        <v xml:space="preserve"> </v>
      </c>
      <c r="Q784" s="125" t="str">
        <f>IFERROR(VLOOKUP(C784,TD!$B$32:$F$36,3,0)," ")</f>
        <v xml:space="preserve"> </v>
      </c>
      <c r="R784" s="125" t="str">
        <f>IFERROR(VLOOKUP(C784,TD!$B$32:$F$36,4,0)," ")</f>
        <v xml:space="preserve"> </v>
      </c>
      <c r="S784" s="51"/>
      <c r="T784" s="125" t="str">
        <f>IFERROR(VLOOKUP(S784,TD!$J$33:$K$43,2,0)," ")</f>
        <v xml:space="preserve"> </v>
      </c>
      <c r="U784" s="127" t="str">
        <f>CONCATENATE(S784,"-",T784)</f>
        <v xml:space="preserve">- </v>
      </c>
      <c r="V784" s="51"/>
      <c r="W784" s="125" t="str">
        <f>IFERROR(VLOOKUP(V784,TD!$N$33:$O$45,2,0)," ")</f>
        <v xml:space="preserve"> </v>
      </c>
      <c r="X784" s="127" t="str">
        <f>CONCATENATE(V784,"_",W784)</f>
        <v xml:space="preserve">_ </v>
      </c>
      <c r="Y784" s="127" t="str">
        <f>CONCATENATE(U784," ",X784)</f>
        <v xml:space="preserve">-  _ </v>
      </c>
      <c r="Z784" s="125" t="str">
        <f>CONCATENATE(P784,Q784,R784,S784,V784)</f>
        <v xml:space="preserve">   </v>
      </c>
      <c r="AA784" s="125" t="str">
        <f>IFERROR(VLOOKUP(Y784,TD!$K$46:$L$64,2,0)," ")</f>
        <v xml:space="preserve"> </v>
      </c>
      <c r="AB784" s="53"/>
      <c r="AC784" s="126"/>
    </row>
    <row r="785" spans="2:29" s="28" customFormat="1" ht="74.25" customHeight="1" x14ac:dyDescent="0.35">
      <c r="B785" s="77"/>
      <c r="C785" s="50"/>
      <c r="D785" s="123"/>
      <c r="E785" s="51"/>
      <c r="F785" s="123"/>
      <c r="G785" s="123"/>
      <c r="H785" s="97"/>
      <c r="I785" s="124"/>
      <c r="J785" s="124"/>
      <c r="K785" s="52"/>
      <c r="L785" s="53"/>
      <c r="M785" s="123"/>
      <c r="N785" s="53"/>
      <c r="O785" s="51"/>
      <c r="P785" s="125" t="str">
        <f>IFERROR(VLOOKUP(C785,TD!$B$32:$F$36,2,0)," ")</f>
        <v xml:space="preserve"> </v>
      </c>
      <c r="Q785" s="125" t="str">
        <f>IFERROR(VLOOKUP(C785,TD!$B$32:$F$36,3,0)," ")</f>
        <v xml:space="preserve"> </v>
      </c>
      <c r="R785" s="125" t="str">
        <f>IFERROR(VLOOKUP(C785,TD!$B$32:$F$36,4,0)," ")</f>
        <v xml:space="preserve"> </v>
      </c>
      <c r="S785" s="51"/>
      <c r="T785" s="125" t="str">
        <f>IFERROR(VLOOKUP(S785,TD!$J$33:$K$43,2,0)," ")</f>
        <v xml:space="preserve"> </v>
      </c>
      <c r="U785" s="127" t="str">
        <f>CONCATENATE(S785,"-",T785)</f>
        <v xml:space="preserve">- </v>
      </c>
      <c r="V785" s="51"/>
      <c r="W785" s="125" t="str">
        <f>IFERROR(VLOOKUP(V785,TD!$N$33:$O$45,2,0)," ")</f>
        <v xml:space="preserve"> </v>
      </c>
      <c r="X785" s="127" t="str">
        <f>CONCATENATE(V785,"_",W785)</f>
        <v xml:space="preserve">_ </v>
      </c>
      <c r="Y785" s="127" t="str">
        <f>CONCATENATE(U785," ",X785)</f>
        <v xml:space="preserve">-  _ </v>
      </c>
      <c r="Z785" s="125" t="str">
        <f>CONCATENATE(P785,Q785,R785,S785,V785)</f>
        <v xml:space="preserve">   </v>
      </c>
      <c r="AA785" s="125" t="str">
        <f>IFERROR(VLOOKUP(Y785,TD!$K$46:$L$64,2,0)," ")</f>
        <v xml:space="preserve"> </v>
      </c>
      <c r="AB785" s="53"/>
      <c r="AC785" s="126"/>
    </row>
    <row r="786" spans="2:29" s="28" customFormat="1" ht="74.25" customHeight="1" x14ac:dyDescent="0.35">
      <c r="B786" s="77"/>
      <c r="C786" s="50"/>
      <c r="D786" s="123"/>
      <c r="E786" s="51"/>
      <c r="F786" s="123"/>
      <c r="G786" s="123"/>
      <c r="H786" s="97"/>
      <c r="I786" s="124"/>
      <c r="J786" s="124"/>
      <c r="K786" s="52"/>
      <c r="L786" s="53"/>
      <c r="M786" s="123"/>
      <c r="N786" s="53"/>
      <c r="O786" s="51"/>
      <c r="P786" s="125" t="str">
        <f>IFERROR(VLOOKUP(C786,TD!$B$32:$F$36,2,0)," ")</f>
        <v xml:space="preserve"> </v>
      </c>
      <c r="Q786" s="125" t="str">
        <f>IFERROR(VLOOKUP(C786,TD!$B$32:$F$36,3,0)," ")</f>
        <v xml:space="preserve"> </v>
      </c>
      <c r="R786" s="125" t="str">
        <f>IFERROR(VLOOKUP(C786,TD!$B$32:$F$36,4,0)," ")</f>
        <v xml:space="preserve"> </v>
      </c>
      <c r="S786" s="51"/>
      <c r="T786" s="125" t="str">
        <f>IFERROR(VLOOKUP(S786,TD!$J$33:$K$43,2,0)," ")</f>
        <v xml:space="preserve"> </v>
      </c>
      <c r="U786" s="127" t="str">
        <f>CONCATENATE(S786,"-",T786)</f>
        <v xml:space="preserve">- </v>
      </c>
      <c r="V786" s="51"/>
      <c r="W786" s="125" t="str">
        <f>IFERROR(VLOOKUP(V786,TD!$N$33:$O$45,2,0)," ")</f>
        <v xml:space="preserve"> </v>
      </c>
      <c r="X786" s="127" t="str">
        <f>CONCATENATE(V786,"_",W786)</f>
        <v xml:space="preserve">_ </v>
      </c>
      <c r="Y786" s="127" t="str">
        <f>CONCATENATE(U786," ",X786)</f>
        <v xml:space="preserve">-  _ </v>
      </c>
      <c r="Z786" s="125" t="str">
        <f>CONCATENATE(P786,Q786,R786,S786,V786)</f>
        <v xml:space="preserve">   </v>
      </c>
      <c r="AA786" s="125" t="str">
        <f>IFERROR(VLOOKUP(Y786,TD!$K$46:$L$64,2,0)," ")</f>
        <v xml:space="preserve"> </v>
      </c>
      <c r="AB786" s="53"/>
      <c r="AC786" s="126"/>
    </row>
    <row r="787" spans="2:29" s="28" customFormat="1" ht="74.25" customHeight="1" x14ac:dyDescent="0.35">
      <c r="B787" s="77"/>
      <c r="C787" s="50"/>
      <c r="D787" s="123"/>
      <c r="E787" s="51"/>
      <c r="F787" s="123"/>
      <c r="G787" s="123"/>
      <c r="H787" s="97"/>
      <c r="I787" s="124"/>
      <c r="J787" s="124"/>
      <c r="K787" s="52"/>
      <c r="L787" s="53"/>
      <c r="M787" s="123"/>
      <c r="N787" s="53"/>
      <c r="O787" s="51"/>
      <c r="P787" s="125" t="str">
        <f>IFERROR(VLOOKUP(C787,TD!$B$32:$F$36,2,0)," ")</f>
        <v xml:space="preserve"> </v>
      </c>
      <c r="Q787" s="125" t="str">
        <f>IFERROR(VLOOKUP(C787,TD!$B$32:$F$36,3,0)," ")</f>
        <v xml:space="preserve"> </v>
      </c>
      <c r="R787" s="125" t="str">
        <f>IFERROR(VLOOKUP(C787,TD!$B$32:$F$36,4,0)," ")</f>
        <v xml:space="preserve"> </v>
      </c>
      <c r="S787" s="51"/>
      <c r="T787" s="125" t="str">
        <f>IFERROR(VLOOKUP(S787,TD!$J$33:$K$43,2,0)," ")</f>
        <v xml:space="preserve"> </v>
      </c>
      <c r="U787" s="127" t="str">
        <f>CONCATENATE(S787,"-",T787)</f>
        <v xml:space="preserve">- </v>
      </c>
      <c r="V787" s="51"/>
      <c r="W787" s="125" t="str">
        <f>IFERROR(VLOOKUP(V787,TD!$N$33:$O$45,2,0)," ")</f>
        <v xml:space="preserve"> </v>
      </c>
      <c r="X787" s="127" t="str">
        <f>CONCATENATE(V787,"_",W787)</f>
        <v xml:space="preserve">_ </v>
      </c>
      <c r="Y787" s="127" t="str">
        <f>CONCATENATE(U787," ",X787)</f>
        <v xml:space="preserve">-  _ </v>
      </c>
      <c r="Z787" s="125" t="str">
        <f>CONCATENATE(P787,Q787,R787,S787,V787)</f>
        <v xml:space="preserve">   </v>
      </c>
      <c r="AA787" s="125" t="str">
        <f>IFERROR(VLOOKUP(Y787,TD!$K$46:$L$64,2,0)," ")</f>
        <v xml:space="preserve"> </v>
      </c>
      <c r="AB787" s="53"/>
      <c r="AC787" s="126"/>
    </row>
    <row r="788" spans="2:29" s="28" customFormat="1" ht="74.25" customHeight="1" x14ac:dyDescent="0.35">
      <c r="B788" s="77"/>
      <c r="C788" s="50"/>
      <c r="D788" s="123"/>
      <c r="E788" s="51"/>
      <c r="F788" s="123"/>
      <c r="G788" s="123"/>
      <c r="H788" s="97"/>
      <c r="I788" s="124"/>
      <c r="J788" s="124"/>
      <c r="K788" s="52"/>
      <c r="L788" s="53"/>
      <c r="M788" s="123"/>
      <c r="N788" s="53"/>
      <c r="O788" s="51"/>
      <c r="P788" s="125" t="str">
        <f>IFERROR(VLOOKUP(C788,TD!$B$32:$F$36,2,0)," ")</f>
        <v xml:space="preserve"> </v>
      </c>
      <c r="Q788" s="125" t="str">
        <f>IFERROR(VLOOKUP(C788,TD!$B$32:$F$36,3,0)," ")</f>
        <v xml:space="preserve"> </v>
      </c>
      <c r="R788" s="125" t="str">
        <f>IFERROR(VLOOKUP(C788,TD!$B$32:$F$36,4,0)," ")</f>
        <v xml:space="preserve"> </v>
      </c>
      <c r="S788" s="51"/>
      <c r="T788" s="125" t="str">
        <f>IFERROR(VLOOKUP(S788,TD!$J$33:$K$43,2,0)," ")</f>
        <v xml:space="preserve"> </v>
      </c>
      <c r="U788" s="127" t="str">
        <f>CONCATENATE(S788,"-",T788)</f>
        <v xml:space="preserve">- </v>
      </c>
      <c r="V788" s="51"/>
      <c r="W788" s="125" t="str">
        <f>IFERROR(VLOOKUP(V788,TD!$N$33:$O$45,2,0)," ")</f>
        <v xml:space="preserve"> </v>
      </c>
      <c r="X788" s="127" t="str">
        <f>CONCATENATE(V788,"_",W788)</f>
        <v xml:space="preserve">_ </v>
      </c>
      <c r="Y788" s="127" t="str">
        <f>CONCATENATE(U788," ",X788)</f>
        <v xml:space="preserve">-  _ </v>
      </c>
      <c r="Z788" s="125" t="str">
        <f>CONCATENATE(P788,Q788,R788,S788,V788)</f>
        <v xml:space="preserve">   </v>
      </c>
      <c r="AA788" s="125" t="str">
        <f>IFERROR(VLOOKUP(Y788,TD!$K$46:$L$64,2,0)," ")</f>
        <v xml:space="preserve"> </v>
      </c>
      <c r="AB788" s="53"/>
      <c r="AC788" s="126"/>
    </row>
    <row r="789" spans="2:29" s="28" customFormat="1" ht="74.25" customHeight="1" x14ac:dyDescent="0.35">
      <c r="B789" s="77"/>
      <c r="C789" s="50"/>
      <c r="D789" s="123"/>
      <c r="E789" s="51"/>
      <c r="F789" s="123"/>
      <c r="G789" s="123"/>
      <c r="H789" s="97"/>
      <c r="I789" s="124"/>
      <c r="J789" s="124"/>
      <c r="K789" s="52"/>
      <c r="L789" s="53"/>
      <c r="M789" s="123"/>
      <c r="N789" s="53"/>
      <c r="O789" s="51"/>
      <c r="P789" s="125" t="str">
        <f>IFERROR(VLOOKUP(C789,TD!$B$32:$F$36,2,0)," ")</f>
        <v xml:space="preserve"> </v>
      </c>
      <c r="Q789" s="125" t="str">
        <f>IFERROR(VLOOKUP(C789,TD!$B$32:$F$36,3,0)," ")</f>
        <v xml:space="preserve"> </v>
      </c>
      <c r="R789" s="125" t="str">
        <f>IFERROR(VLOOKUP(C789,TD!$B$32:$F$36,4,0)," ")</f>
        <v xml:space="preserve"> </v>
      </c>
      <c r="S789" s="51"/>
      <c r="T789" s="125" t="str">
        <f>IFERROR(VLOOKUP(S789,TD!$J$33:$K$43,2,0)," ")</f>
        <v xml:space="preserve"> </v>
      </c>
      <c r="U789" s="127" t="str">
        <f>CONCATENATE(S789,"-",T789)</f>
        <v xml:space="preserve">- </v>
      </c>
      <c r="V789" s="51"/>
      <c r="W789" s="125" t="str">
        <f>IFERROR(VLOOKUP(V789,TD!$N$33:$O$45,2,0)," ")</f>
        <v xml:space="preserve"> </v>
      </c>
      <c r="X789" s="127" t="str">
        <f>CONCATENATE(V789,"_",W789)</f>
        <v xml:space="preserve">_ </v>
      </c>
      <c r="Y789" s="127" t="str">
        <f>CONCATENATE(U789," ",X789)</f>
        <v xml:space="preserve">-  _ </v>
      </c>
      <c r="Z789" s="125" t="str">
        <f>CONCATENATE(P789,Q789,R789,S789,V789)</f>
        <v xml:space="preserve">   </v>
      </c>
      <c r="AA789" s="125" t="str">
        <f>IFERROR(VLOOKUP(Y789,TD!$K$46:$L$64,2,0)," ")</f>
        <v xml:space="preserve"> </v>
      </c>
      <c r="AB789" s="53"/>
      <c r="AC789" s="126"/>
    </row>
    <row r="790" spans="2:29" s="28" customFormat="1" ht="74.25" customHeight="1" x14ac:dyDescent="0.35">
      <c r="B790" s="77"/>
      <c r="C790" s="50"/>
      <c r="D790" s="123"/>
      <c r="E790" s="51"/>
      <c r="F790" s="123"/>
      <c r="G790" s="123"/>
      <c r="H790" s="97"/>
      <c r="I790" s="124"/>
      <c r="J790" s="124"/>
      <c r="K790" s="52"/>
      <c r="L790" s="53"/>
      <c r="M790" s="123"/>
      <c r="N790" s="53"/>
      <c r="O790" s="51"/>
      <c r="P790" s="125" t="str">
        <f>IFERROR(VLOOKUP(C790,TD!$B$32:$F$36,2,0)," ")</f>
        <v xml:space="preserve"> </v>
      </c>
      <c r="Q790" s="125" t="str">
        <f>IFERROR(VLOOKUP(C790,TD!$B$32:$F$36,3,0)," ")</f>
        <v xml:space="preserve"> </v>
      </c>
      <c r="R790" s="125" t="str">
        <f>IFERROR(VLOOKUP(C790,TD!$B$32:$F$36,4,0)," ")</f>
        <v xml:space="preserve"> </v>
      </c>
      <c r="S790" s="51"/>
      <c r="T790" s="125" t="str">
        <f>IFERROR(VLOOKUP(S790,TD!$J$33:$K$43,2,0)," ")</f>
        <v xml:space="preserve"> </v>
      </c>
      <c r="U790" s="127" t="str">
        <f>CONCATENATE(S790,"-",T790)</f>
        <v xml:space="preserve">- </v>
      </c>
      <c r="V790" s="51"/>
      <c r="W790" s="125" t="str">
        <f>IFERROR(VLOOKUP(V790,TD!$N$33:$O$45,2,0)," ")</f>
        <v xml:space="preserve"> </v>
      </c>
      <c r="X790" s="127" t="str">
        <f>CONCATENATE(V790,"_",W790)</f>
        <v xml:space="preserve">_ </v>
      </c>
      <c r="Y790" s="127" t="str">
        <f>CONCATENATE(U790," ",X790)</f>
        <v xml:space="preserve">-  _ </v>
      </c>
      <c r="Z790" s="125" t="str">
        <f>CONCATENATE(P790,Q790,R790,S790,V790)</f>
        <v xml:space="preserve">   </v>
      </c>
      <c r="AA790" s="125" t="str">
        <f>IFERROR(VLOOKUP(Y790,TD!$K$46:$L$64,2,0)," ")</f>
        <v xml:space="preserve"> </v>
      </c>
      <c r="AB790" s="53"/>
      <c r="AC790" s="126"/>
    </row>
    <row r="791" spans="2:29" s="28" customFormat="1" ht="74.25" customHeight="1" x14ac:dyDescent="0.35">
      <c r="B791" s="77"/>
      <c r="C791" s="50"/>
      <c r="D791" s="123"/>
      <c r="E791" s="51"/>
      <c r="F791" s="123"/>
      <c r="G791" s="123"/>
      <c r="H791" s="97"/>
      <c r="I791" s="124"/>
      <c r="J791" s="124"/>
      <c r="K791" s="52"/>
      <c r="L791" s="53"/>
      <c r="M791" s="123"/>
      <c r="N791" s="53"/>
      <c r="O791" s="51"/>
      <c r="P791" s="125" t="str">
        <f>IFERROR(VLOOKUP(C791,TD!$B$32:$F$36,2,0)," ")</f>
        <v xml:space="preserve"> </v>
      </c>
      <c r="Q791" s="125" t="str">
        <f>IFERROR(VLOOKUP(C791,TD!$B$32:$F$36,3,0)," ")</f>
        <v xml:space="preserve"> </v>
      </c>
      <c r="R791" s="125" t="str">
        <f>IFERROR(VLOOKUP(C791,TD!$B$32:$F$36,4,0)," ")</f>
        <v xml:space="preserve"> </v>
      </c>
      <c r="S791" s="51"/>
      <c r="T791" s="125" t="str">
        <f>IFERROR(VLOOKUP(S791,TD!$J$33:$K$43,2,0)," ")</f>
        <v xml:space="preserve"> </v>
      </c>
      <c r="U791" s="127" t="str">
        <f>CONCATENATE(S791,"-",T791)</f>
        <v xml:space="preserve">- </v>
      </c>
      <c r="V791" s="51"/>
      <c r="W791" s="125" t="str">
        <f>IFERROR(VLOOKUP(V791,TD!$N$33:$O$45,2,0)," ")</f>
        <v xml:space="preserve"> </v>
      </c>
      <c r="X791" s="127" t="str">
        <f>CONCATENATE(V791,"_",W791)</f>
        <v xml:space="preserve">_ </v>
      </c>
      <c r="Y791" s="127" t="str">
        <f>CONCATENATE(U791," ",X791)</f>
        <v xml:space="preserve">-  _ </v>
      </c>
      <c r="Z791" s="125" t="str">
        <f>CONCATENATE(P791,Q791,R791,S791,V791)</f>
        <v xml:space="preserve">   </v>
      </c>
      <c r="AA791" s="125" t="str">
        <f>IFERROR(VLOOKUP(Y791,TD!$K$46:$L$64,2,0)," ")</f>
        <v xml:space="preserve"> </v>
      </c>
      <c r="AB791" s="53"/>
      <c r="AC791" s="126"/>
    </row>
    <row r="792" spans="2:29" s="28" customFormat="1" ht="74.25" customHeight="1" x14ac:dyDescent="0.35">
      <c r="B792" s="77"/>
      <c r="C792" s="50"/>
      <c r="D792" s="123"/>
      <c r="E792" s="51"/>
      <c r="F792" s="123"/>
      <c r="G792" s="123"/>
      <c r="H792" s="97"/>
      <c r="I792" s="124"/>
      <c r="J792" s="124"/>
      <c r="K792" s="52"/>
      <c r="L792" s="53"/>
      <c r="M792" s="123"/>
      <c r="N792" s="53"/>
      <c r="O792" s="51"/>
      <c r="P792" s="125" t="str">
        <f>IFERROR(VLOOKUP(C792,TD!$B$32:$F$36,2,0)," ")</f>
        <v xml:space="preserve"> </v>
      </c>
      <c r="Q792" s="125" t="str">
        <f>IFERROR(VLOOKUP(C792,TD!$B$32:$F$36,3,0)," ")</f>
        <v xml:space="preserve"> </v>
      </c>
      <c r="R792" s="125" t="str">
        <f>IFERROR(VLOOKUP(C792,TD!$B$32:$F$36,4,0)," ")</f>
        <v xml:space="preserve"> </v>
      </c>
      <c r="S792" s="51"/>
      <c r="T792" s="125" t="str">
        <f>IFERROR(VLOOKUP(S792,TD!$J$33:$K$43,2,0)," ")</f>
        <v xml:space="preserve"> </v>
      </c>
      <c r="U792" s="127" t="str">
        <f>CONCATENATE(S792,"-",T792)</f>
        <v xml:space="preserve">- </v>
      </c>
      <c r="V792" s="51"/>
      <c r="W792" s="125" t="str">
        <f>IFERROR(VLOOKUP(V792,TD!$N$33:$O$45,2,0)," ")</f>
        <v xml:space="preserve"> </v>
      </c>
      <c r="X792" s="127" t="str">
        <f>CONCATENATE(V792,"_",W792)</f>
        <v xml:space="preserve">_ </v>
      </c>
      <c r="Y792" s="127" t="str">
        <f>CONCATENATE(U792," ",X792)</f>
        <v xml:space="preserve">-  _ </v>
      </c>
      <c r="Z792" s="125" t="str">
        <f>CONCATENATE(P792,Q792,R792,S792,V792)</f>
        <v xml:space="preserve">   </v>
      </c>
      <c r="AA792" s="125" t="str">
        <f>IFERROR(VLOOKUP(Y792,TD!$K$46:$L$64,2,0)," ")</f>
        <v xml:space="preserve"> </v>
      </c>
      <c r="AB792" s="53"/>
      <c r="AC792" s="126"/>
    </row>
    <row r="793" spans="2:29" s="28" customFormat="1" ht="74.25" customHeight="1" x14ac:dyDescent="0.35">
      <c r="B793" s="77"/>
      <c r="C793" s="50"/>
      <c r="D793" s="123"/>
      <c r="E793" s="51"/>
      <c r="F793" s="123"/>
      <c r="G793" s="123"/>
      <c r="H793" s="97"/>
      <c r="I793" s="124"/>
      <c r="J793" s="124"/>
      <c r="K793" s="52"/>
      <c r="L793" s="53"/>
      <c r="M793" s="123"/>
      <c r="N793" s="53"/>
      <c r="O793" s="51"/>
      <c r="P793" s="125" t="str">
        <f>IFERROR(VLOOKUP(C793,TD!$B$32:$F$36,2,0)," ")</f>
        <v xml:space="preserve"> </v>
      </c>
      <c r="Q793" s="125" t="str">
        <f>IFERROR(VLOOKUP(C793,TD!$B$32:$F$36,3,0)," ")</f>
        <v xml:space="preserve"> </v>
      </c>
      <c r="R793" s="125" t="str">
        <f>IFERROR(VLOOKUP(C793,TD!$B$32:$F$36,4,0)," ")</f>
        <v xml:space="preserve"> </v>
      </c>
      <c r="S793" s="51"/>
      <c r="T793" s="125" t="str">
        <f>IFERROR(VLOOKUP(S793,TD!$J$33:$K$43,2,0)," ")</f>
        <v xml:space="preserve"> </v>
      </c>
      <c r="U793" s="127" t="str">
        <f>CONCATENATE(S793,"-",T793)</f>
        <v xml:space="preserve">- </v>
      </c>
      <c r="V793" s="51"/>
      <c r="W793" s="125" t="str">
        <f>IFERROR(VLOOKUP(V793,TD!$N$33:$O$45,2,0)," ")</f>
        <v xml:space="preserve"> </v>
      </c>
      <c r="X793" s="127" t="str">
        <f>CONCATENATE(V793,"_",W793)</f>
        <v xml:space="preserve">_ </v>
      </c>
      <c r="Y793" s="127" t="str">
        <f>CONCATENATE(U793," ",X793)</f>
        <v xml:space="preserve">-  _ </v>
      </c>
      <c r="Z793" s="125" t="str">
        <f>CONCATENATE(P793,Q793,R793,S793,V793)</f>
        <v xml:space="preserve">   </v>
      </c>
      <c r="AA793" s="125" t="str">
        <f>IFERROR(VLOOKUP(Y793,TD!$K$46:$L$64,2,0)," ")</f>
        <v xml:space="preserve"> </v>
      </c>
      <c r="AB793" s="53"/>
      <c r="AC793" s="126"/>
    </row>
    <row r="794" spans="2:29" s="28" customFormat="1" ht="74.25" customHeight="1" x14ac:dyDescent="0.35">
      <c r="B794" s="77"/>
      <c r="C794" s="50"/>
      <c r="D794" s="123"/>
      <c r="E794" s="51"/>
      <c r="F794" s="123"/>
      <c r="G794" s="123"/>
      <c r="H794" s="97"/>
      <c r="I794" s="124"/>
      <c r="J794" s="124"/>
      <c r="K794" s="52"/>
      <c r="L794" s="53"/>
      <c r="M794" s="123"/>
      <c r="N794" s="53"/>
      <c r="O794" s="51"/>
      <c r="P794" s="125" t="str">
        <f>IFERROR(VLOOKUP(C794,TD!$B$32:$F$36,2,0)," ")</f>
        <v xml:space="preserve"> </v>
      </c>
      <c r="Q794" s="125" t="str">
        <f>IFERROR(VLOOKUP(C794,TD!$B$32:$F$36,3,0)," ")</f>
        <v xml:space="preserve"> </v>
      </c>
      <c r="R794" s="125" t="str">
        <f>IFERROR(VLOOKUP(C794,TD!$B$32:$F$36,4,0)," ")</f>
        <v xml:space="preserve"> </v>
      </c>
      <c r="S794" s="51"/>
      <c r="T794" s="125" t="str">
        <f>IFERROR(VLOOKUP(S794,TD!$J$33:$K$43,2,0)," ")</f>
        <v xml:space="preserve"> </v>
      </c>
      <c r="U794" s="127" t="str">
        <f>CONCATENATE(S794,"-",T794)</f>
        <v xml:space="preserve">- </v>
      </c>
      <c r="V794" s="51"/>
      <c r="W794" s="125" t="str">
        <f>IFERROR(VLOOKUP(V794,TD!$N$33:$O$45,2,0)," ")</f>
        <v xml:space="preserve"> </v>
      </c>
      <c r="X794" s="127" t="str">
        <f>CONCATENATE(V794,"_",W794)</f>
        <v xml:space="preserve">_ </v>
      </c>
      <c r="Y794" s="127" t="str">
        <f>CONCATENATE(U794," ",X794)</f>
        <v xml:space="preserve">-  _ </v>
      </c>
      <c r="Z794" s="125" t="str">
        <f>CONCATENATE(P794,Q794,R794,S794,V794)</f>
        <v xml:space="preserve">   </v>
      </c>
      <c r="AA794" s="125" t="str">
        <f>IFERROR(VLOOKUP(Y794,TD!$K$46:$L$64,2,0)," ")</f>
        <v xml:space="preserve"> </v>
      </c>
      <c r="AB794" s="53"/>
      <c r="AC794" s="126"/>
    </row>
    <row r="795" spans="2:29" s="28" customFormat="1" ht="74.25" customHeight="1" x14ac:dyDescent="0.35">
      <c r="B795" s="77"/>
      <c r="C795" s="50"/>
      <c r="D795" s="123"/>
      <c r="E795" s="51"/>
      <c r="F795" s="123"/>
      <c r="G795" s="123"/>
      <c r="H795" s="97"/>
      <c r="I795" s="124"/>
      <c r="J795" s="124"/>
      <c r="K795" s="52"/>
      <c r="L795" s="53"/>
      <c r="M795" s="123"/>
      <c r="N795" s="53"/>
      <c r="O795" s="51"/>
      <c r="P795" s="125" t="str">
        <f>IFERROR(VLOOKUP(C795,TD!$B$32:$F$36,2,0)," ")</f>
        <v xml:space="preserve"> </v>
      </c>
      <c r="Q795" s="125" t="str">
        <f>IFERROR(VLOOKUP(C795,TD!$B$32:$F$36,3,0)," ")</f>
        <v xml:space="preserve"> </v>
      </c>
      <c r="R795" s="125" t="str">
        <f>IFERROR(VLOOKUP(C795,TD!$B$32:$F$36,4,0)," ")</f>
        <v xml:space="preserve"> </v>
      </c>
      <c r="S795" s="51"/>
      <c r="T795" s="125" t="str">
        <f>IFERROR(VLOOKUP(S795,TD!$J$33:$K$43,2,0)," ")</f>
        <v xml:space="preserve"> </v>
      </c>
      <c r="U795" s="127" t="str">
        <f>CONCATENATE(S795,"-",T795)</f>
        <v xml:space="preserve">- </v>
      </c>
      <c r="V795" s="51"/>
      <c r="W795" s="125" t="str">
        <f>IFERROR(VLOOKUP(V795,TD!$N$33:$O$45,2,0)," ")</f>
        <v xml:space="preserve"> </v>
      </c>
      <c r="X795" s="127" t="str">
        <f>CONCATENATE(V795,"_",W795)</f>
        <v xml:space="preserve">_ </v>
      </c>
      <c r="Y795" s="127" t="str">
        <f>CONCATENATE(U795," ",X795)</f>
        <v xml:space="preserve">-  _ </v>
      </c>
      <c r="Z795" s="125" t="str">
        <f>CONCATENATE(P795,Q795,R795,S795,V795)</f>
        <v xml:space="preserve">   </v>
      </c>
      <c r="AA795" s="125" t="str">
        <f>IFERROR(VLOOKUP(Y795,TD!$K$46:$L$64,2,0)," ")</f>
        <v xml:space="preserve"> </v>
      </c>
      <c r="AB795" s="53"/>
      <c r="AC795" s="126"/>
    </row>
    <row r="796" spans="2:29" s="28" customFormat="1" ht="74.25" customHeight="1" x14ac:dyDescent="0.35">
      <c r="B796" s="77"/>
      <c r="C796" s="50"/>
      <c r="D796" s="123"/>
      <c r="E796" s="51"/>
      <c r="F796" s="123"/>
      <c r="G796" s="123"/>
      <c r="H796" s="97"/>
      <c r="I796" s="124"/>
      <c r="J796" s="124"/>
      <c r="K796" s="52"/>
      <c r="L796" s="53"/>
      <c r="M796" s="123"/>
      <c r="N796" s="53"/>
      <c r="O796" s="51"/>
      <c r="P796" s="125" t="str">
        <f>IFERROR(VLOOKUP(C796,TD!$B$32:$F$36,2,0)," ")</f>
        <v xml:space="preserve"> </v>
      </c>
      <c r="Q796" s="125" t="str">
        <f>IFERROR(VLOOKUP(C796,TD!$B$32:$F$36,3,0)," ")</f>
        <v xml:space="preserve"> </v>
      </c>
      <c r="R796" s="125" t="str">
        <f>IFERROR(VLOOKUP(C796,TD!$B$32:$F$36,4,0)," ")</f>
        <v xml:space="preserve"> </v>
      </c>
      <c r="S796" s="51"/>
      <c r="T796" s="125" t="str">
        <f>IFERROR(VLOOKUP(S796,TD!$J$33:$K$43,2,0)," ")</f>
        <v xml:space="preserve"> </v>
      </c>
      <c r="U796" s="127" t="str">
        <f>CONCATENATE(S796,"-",T796)</f>
        <v xml:space="preserve">- </v>
      </c>
      <c r="V796" s="51"/>
      <c r="W796" s="125" t="str">
        <f>IFERROR(VLOOKUP(V796,TD!$N$33:$O$45,2,0)," ")</f>
        <v xml:space="preserve"> </v>
      </c>
      <c r="X796" s="127" t="str">
        <f>CONCATENATE(V796,"_",W796)</f>
        <v xml:space="preserve">_ </v>
      </c>
      <c r="Y796" s="127" t="str">
        <f>CONCATENATE(U796," ",X796)</f>
        <v xml:space="preserve">-  _ </v>
      </c>
      <c r="Z796" s="125" t="str">
        <f>CONCATENATE(P796,Q796,R796,S796,V796)</f>
        <v xml:space="preserve">   </v>
      </c>
      <c r="AA796" s="125" t="str">
        <f>IFERROR(VLOOKUP(Y796,TD!$K$46:$L$64,2,0)," ")</f>
        <v xml:space="preserve"> </v>
      </c>
      <c r="AB796" s="53"/>
      <c r="AC796" s="126"/>
    </row>
    <row r="797" spans="2:29" s="28" customFormat="1" ht="74.25" customHeight="1" x14ac:dyDescent="0.35">
      <c r="B797" s="77"/>
      <c r="C797" s="50"/>
      <c r="D797" s="123"/>
      <c r="E797" s="51"/>
      <c r="F797" s="123"/>
      <c r="G797" s="123"/>
      <c r="H797" s="97"/>
      <c r="I797" s="124"/>
      <c r="J797" s="124"/>
      <c r="K797" s="52"/>
      <c r="L797" s="53"/>
      <c r="M797" s="123"/>
      <c r="N797" s="53"/>
      <c r="O797" s="51"/>
      <c r="P797" s="125" t="str">
        <f>IFERROR(VLOOKUP(C797,TD!$B$32:$F$36,2,0)," ")</f>
        <v xml:space="preserve"> </v>
      </c>
      <c r="Q797" s="125" t="str">
        <f>IFERROR(VLOOKUP(C797,TD!$B$32:$F$36,3,0)," ")</f>
        <v xml:space="preserve"> </v>
      </c>
      <c r="R797" s="125" t="str">
        <f>IFERROR(VLOOKUP(C797,TD!$B$32:$F$36,4,0)," ")</f>
        <v xml:space="preserve"> </v>
      </c>
      <c r="S797" s="51"/>
      <c r="T797" s="125" t="str">
        <f>IFERROR(VLOOKUP(S797,TD!$J$33:$K$43,2,0)," ")</f>
        <v xml:space="preserve"> </v>
      </c>
      <c r="U797" s="127" t="str">
        <f>CONCATENATE(S797,"-",T797)</f>
        <v xml:space="preserve">- </v>
      </c>
      <c r="V797" s="51"/>
      <c r="W797" s="125" t="str">
        <f>IFERROR(VLOOKUP(V797,TD!$N$33:$O$45,2,0)," ")</f>
        <v xml:space="preserve"> </v>
      </c>
      <c r="X797" s="127" t="str">
        <f>CONCATENATE(V797,"_",W797)</f>
        <v xml:space="preserve">_ </v>
      </c>
      <c r="Y797" s="127" t="str">
        <f>CONCATENATE(U797," ",X797)</f>
        <v xml:space="preserve">-  _ </v>
      </c>
      <c r="Z797" s="125" t="str">
        <f>CONCATENATE(P797,Q797,R797,S797,V797)</f>
        <v xml:space="preserve">   </v>
      </c>
      <c r="AA797" s="125" t="str">
        <f>IFERROR(VLOOKUP(Y797,TD!$K$46:$L$64,2,0)," ")</f>
        <v xml:space="preserve"> </v>
      </c>
      <c r="AB797" s="53"/>
      <c r="AC797" s="126"/>
    </row>
    <row r="798" spans="2:29" s="28" customFormat="1" ht="74.25" customHeight="1" x14ac:dyDescent="0.35">
      <c r="B798" s="77"/>
      <c r="C798" s="50"/>
      <c r="D798" s="123"/>
      <c r="E798" s="51"/>
      <c r="F798" s="123"/>
      <c r="G798" s="123"/>
      <c r="H798" s="97"/>
      <c r="I798" s="124"/>
      <c r="J798" s="124"/>
      <c r="K798" s="52"/>
      <c r="L798" s="53"/>
      <c r="M798" s="123"/>
      <c r="N798" s="53"/>
      <c r="O798" s="51"/>
      <c r="P798" s="125" t="str">
        <f>IFERROR(VLOOKUP(C798,TD!$B$32:$F$36,2,0)," ")</f>
        <v xml:space="preserve"> </v>
      </c>
      <c r="Q798" s="125" t="str">
        <f>IFERROR(VLOOKUP(C798,TD!$B$32:$F$36,3,0)," ")</f>
        <v xml:space="preserve"> </v>
      </c>
      <c r="R798" s="125" t="str">
        <f>IFERROR(VLOOKUP(C798,TD!$B$32:$F$36,4,0)," ")</f>
        <v xml:space="preserve"> </v>
      </c>
      <c r="S798" s="51"/>
      <c r="T798" s="125" t="str">
        <f>IFERROR(VLOOKUP(S798,TD!$J$33:$K$43,2,0)," ")</f>
        <v xml:space="preserve"> </v>
      </c>
      <c r="U798" s="127" t="str">
        <f>CONCATENATE(S798,"-",T798)</f>
        <v xml:space="preserve">- </v>
      </c>
      <c r="V798" s="51"/>
      <c r="W798" s="125" t="str">
        <f>IFERROR(VLOOKUP(V798,TD!$N$33:$O$45,2,0)," ")</f>
        <v xml:space="preserve"> </v>
      </c>
      <c r="X798" s="127" t="str">
        <f>CONCATENATE(V798,"_",W798)</f>
        <v xml:space="preserve">_ </v>
      </c>
      <c r="Y798" s="127" t="str">
        <f>CONCATENATE(U798," ",X798)</f>
        <v xml:space="preserve">-  _ </v>
      </c>
      <c r="Z798" s="125" t="str">
        <f>CONCATENATE(P798,Q798,R798,S798,V798)</f>
        <v xml:space="preserve">   </v>
      </c>
      <c r="AA798" s="125" t="str">
        <f>IFERROR(VLOOKUP(Y798,TD!$K$46:$L$64,2,0)," ")</f>
        <v xml:space="preserve"> </v>
      </c>
      <c r="AB798" s="53"/>
      <c r="AC798" s="126"/>
    </row>
    <row r="799" spans="2:29" s="28" customFormat="1" ht="74.25" customHeight="1" x14ac:dyDescent="0.35">
      <c r="B799" s="77"/>
      <c r="C799" s="50"/>
      <c r="D799" s="123"/>
      <c r="E799" s="51"/>
      <c r="F799" s="123"/>
      <c r="G799" s="123"/>
      <c r="H799" s="97"/>
      <c r="I799" s="124"/>
      <c r="J799" s="124"/>
      <c r="K799" s="52"/>
      <c r="L799" s="53"/>
      <c r="M799" s="123"/>
      <c r="N799" s="53"/>
      <c r="O799" s="51"/>
      <c r="P799" s="125" t="str">
        <f>IFERROR(VLOOKUP(C799,TD!$B$32:$F$36,2,0)," ")</f>
        <v xml:space="preserve"> </v>
      </c>
      <c r="Q799" s="125" t="str">
        <f>IFERROR(VLOOKUP(C799,TD!$B$32:$F$36,3,0)," ")</f>
        <v xml:space="preserve"> </v>
      </c>
      <c r="R799" s="125" t="str">
        <f>IFERROR(VLOOKUP(C799,TD!$B$32:$F$36,4,0)," ")</f>
        <v xml:space="preserve"> </v>
      </c>
      <c r="S799" s="51"/>
      <c r="T799" s="125" t="str">
        <f>IFERROR(VLOOKUP(S799,TD!$J$33:$K$43,2,0)," ")</f>
        <v xml:space="preserve"> </v>
      </c>
      <c r="U799" s="127" t="str">
        <f>CONCATENATE(S799,"-",T799)</f>
        <v xml:space="preserve">- </v>
      </c>
      <c r="V799" s="51"/>
      <c r="W799" s="125" t="str">
        <f>IFERROR(VLOOKUP(V799,TD!$N$33:$O$45,2,0)," ")</f>
        <v xml:space="preserve"> </v>
      </c>
      <c r="X799" s="127" t="str">
        <f>CONCATENATE(V799,"_",W799)</f>
        <v xml:space="preserve">_ </v>
      </c>
      <c r="Y799" s="127" t="str">
        <f>CONCATENATE(U799," ",X799)</f>
        <v xml:space="preserve">-  _ </v>
      </c>
      <c r="Z799" s="125" t="str">
        <f>CONCATENATE(P799,Q799,R799,S799,V799)</f>
        <v xml:space="preserve">   </v>
      </c>
      <c r="AA799" s="125" t="str">
        <f>IFERROR(VLOOKUP(Y799,TD!$K$46:$L$64,2,0)," ")</f>
        <v xml:space="preserve"> </v>
      </c>
      <c r="AB799" s="53"/>
      <c r="AC799" s="126"/>
    </row>
    <row r="800" spans="2:29" s="28" customFormat="1" ht="74.25" customHeight="1" x14ac:dyDescent="0.35">
      <c r="B800" s="77"/>
      <c r="C800" s="50"/>
      <c r="D800" s="123"/>
      <c r="E800" s="51"/>
      <c r="F800" s="123"/>
      <c r="G800" s="123"/>
      <c r="H800" s="97"/>
      <c r="I800" s="124"/>
      <c r="J800" s="124"/>
      <c r="K800" s="52"/>
      <c r="L800" s="53"/>
      <c r="M800" s="123"/>
      <c r="N800" s="53"/>
      <c r="O800" s="51"/>
      <c r="P800" s="125" t="str">
        <f>IFERROR(VLOOKUP(C800,TD!$B$32:$F$36,2,0)," ")</f>
        <v xml:space="preserve"> </v>
      </c>
      <c r="Q800" s="125" t="str">
        <f>IFERROR(VLOOKUP(C800,TD!$B$32:$F$36,3,0)," ")</f>
        <v xml:space="preserve"> </v>
      </c>
      <c r="R800" s="125" t="str">
        <f>IFERROR(VLOOKUP(C800,TD!$B$32:$F$36,4,0)," ")</f>
        <v xml:space="preserve"> </v>
      </c>
      <c r="S800" s="51"/>
      <c r="T800" s="125" t="str">
        <f>IFERROR(VLOOKUP(S800,TD!$J$33:$K$43,2,0)," ")</f>
        <v xml:space="preserve"> </v>
      </c>
      <c r="U800" s="127" t="str">
        <f>CONCATENATE(S800,"-",T800)</f>
        <v xml:space="preserve">- </v>
      </c>
      <c r="V800" s="51"/>
      <c r="W800" s="125" t="str">
        <f>IFERROR(VLOOKUP(V800,TD!$N$33:$O$45,2,0)," ")</f>
        <v xml:space="preserve"> </v>
      </c>
      <c r="X800" s="127" t="str">
        <f>CONCATENATE(V800,"_",W800)</f>
        <v xml:space="preserve">_ </v>
      </c>
      <c r="Y800" s="127" t="str">
        <f>CONCATENATE(U800," ",X800)</f>
        <v xml:space="preserve">-  _ </v>
      </c>
      <c r="Z800" s="125" t="str">
        <f>CONCATENATE(P800,Q800,R800,S800,V800)</f>
        <v xml:space="preserve">   </v>
      </c>
      <c r="AA800" s="125" t="str">
        <f>IFERROR(VLOOKUP(Y800,TD!$K$46:$L$64,2,0)," ")</f>
        <v xml:space="preserve"> </v>
      </c>
      <c r="AB800" s="53"/>
      <c r="AC800" s="126"/>
    </row>
    <row r="801" spans="2:29" s="28" customFormat="1" ht="74.25" customHeight="1" x14ac:dyDescent="0.35">
      <c r="B801" s="77"/>
      <c r="C801" s="50"/>
      <c r="D801" s="123"/>
      <c r="E801" s="51"/>
      <c r="F801" s="123"/>
      <c r="G801" s="123"/>
      <c r="H801" s="97"/>
      <c r="I801" s="124"/>
      <c r="J801" s="124"/>
      <c r="K801" s="52"/>
      <c r="L801" s="53"/>
      <c r="M801" s="123"/>
      <c r="N801" s="53"/>
      <c r="O801" s="51"/>
      <c r="P801" s="125" t="str">
        <f>IFERROR(VLOOKUP(C801,TD!$B$32:$F$36,2,0)," ")</f>
        <v xml:space="preserve"> </v>
      </c>
      <c r="Q801" s="125" t="str">
        <f>IFERROR(VLOOKUP(C801,TD!$B$32:$F$36,3,0)," ")</f>
        <v xml:space="preserve"> </v>
      </c>
      <c r="R801" s="125" t="str">
        <f>IFERROR(VLOOKUP(C801,TD!$B$32:$F$36,4,0)," ")</f>
        <v xml:space="preserve"> </v>
      </c>
      <c r="S801" s="51"/>
      <c r="T801" s="125" t="str">
        <f>IFERROR(VLOOKUP(S801,TD!$J$33:$K$43,2,0)," ")</f>
        <v xml:space="preserve"> </v>
      </c>
      <c r="U801" s="127" t="str">
        <f>CONCATENATE(S801,"-",T801)</f>
        <v xml:space="preserve">- </v>
      </c>
      <c r="V801" s="51"/>
      <c r="W801" s="125" t="str">
        <f>IFERROR(VLOOKUP(V801,TD!$N$33:$O$45,2,0)," ")</f>
        <v xml:space="preserve"> </v>
      </c>
      <c r="X801" s="127" t="str">
        <f>CONCATENATE(V801,"_",W801)</f>
        <v xml:space="preserve">_ </v>
      </c>
      <c r="Y801" s="127" t="str">
        <f>CONCATENATE(U801," ",X801)</f>
        <v xml:space="preserve">-  _ </v>
      </c>
      <c r="Z801" s="125" t="str">
        <f>CONCATENATE(P801,Q801,R801,S801,V801)</f>
        <v xml:space="preserve">   </v>
      </c>
      <c r="AA801" s="125" t="str">
        <f>IFERROR(VLOOKUP(Y801,TD!$K$46:$L$64,2,0)," ")</f>
        <v xml:space="preserve"> </v>
      </c>
      <c r="AB801" s="53"/>
      <c r="AC801" s="126"/>
    </row>
    <row r="802" spans="2:29" s="28" customFormat="1" ht="74.25" customHeight="1" x14ac:dyDescent="0.35">
      <c r="B802" s="77"/>
      <c r="C802" s="50"/>
      <c r="D802" s="123"/>
      <c r="E802" s="51"/>
      <c r="F802" s="123"/>
      <c r="G802" s="123"/>
      <c r="H802" s="97"/>
      <c r="I802" s="124"/>
      <c r="J802" s="124"/>
      <c r="K802" s="52"/>
      <c r="L802" s="53"/>
      <c r="M802" s="123"/>
      <c r="N802" s="53"/>
      <c r="O802" s="51"/>
      <c r="P802" s="125" t="str">
        <f>IFERROR(VLOOKUP(C802,TD!$B$32:$F$36,2,0)," ")</f>
        <v xml:space="preserve"> </v>
      </c>
      <c r="Q802" s="125" t="str">
        <f>IFERROR(VLOOKUP(C802,TD!$B$32:$F$36,3,0)," ")</f>
        <v xml:space="preserve"> </v>
      </c>
      <c r="R802" s="125" t="str">
        <f>IFERROR(VLOOKUP(C802,TD!$B$32:$F$36,4,0)," ")</f>
        <v xml:space="preserve"> </v>
      </c>
      <c r="S802" s="51"/>
      <c r="T802" s="125" t="str">
        <f>IFERROR(VLOOKUP(S802,TD!$J$33:$K$43,2,0)," ")</f>
        <v xml:space="preserve"> </v>
      </c>
      <c r="U802" s="127" t="str">
        <f>CONCATENATE(S802,"-",T802)</f>
        <v xml:space="preserve">- </v>
      </c>
      <c r="V802" s="51"/>
      <c r="W802" s="125" t="str">
        <f>IFERROR(VLOOKUP(V802,TD!$N$33:$O$45,2,0)," ")</f>
        <v xml:space="preserve"> </v>
      </c>
      <c r="X802" s="127" t="str">
        <f>CONCATENATE(V802,"_",W802)</f>
        <v xml:space="preserve">_ </v>
      </c>
      <c r="Y802" s="127" t="str">
        <f>CONCATENATE(U802," ",X802)</f>
        <v xml:space="preserve">-  _ </v>
      </c>
      <c r="Z802" s="125" t="str">
        <f>CONCATENATE(P802,Q802,R802,S802,V802)</f>
        <v xml:space="preserve">   </v>
      </c>
      <c r="AA802" s="125" t="str">
        <f>IFERROR(VLOOKUP(Y802,TD!$K$46:$L$64,2,0)," ")</f>
        <v xml:space="preserve"> </v>
      </c>
      <c r="AB802" s="53"/>
      <c r="AC802" s="126"/>
    </row>
    <row r="803" spans="2:29" s="28" customFormat="1" ht="74.25" customHeight="1" x14ac:dyDescent="0.35">
      <c r="B803" s="77"/>
      <c r="C803" s="50"/>
      <c r="D803" s="123"/>
      <c r="E803" s="51"/>
      <c r="F803" s="123"/>
      <c r="G803" s="123"/>
      <c r="H803" s="97"/>
      <c r="I803" s="124"/>
      <c r="J803" s="124"/>
      <c r="K803" s="52"/>
      <c r="L803" s="53"/>
      <c r="M803" s="123"/>
      <c r="N803" s="53"/>
      <c r="O803" s="51"/>
      <c r="P803" s="125" t="str">
        <f>IFERROR(VLOOKUP(C803,TD!$B$32:$F$36,2,0)," ")</f>
        <v xml:space="preserve"> </v>
      </c>
      <c r="Q803" s="125" t="str">
        <f>IFERROR(VLOOKUP(C803,TD!$B$32:$F$36,3,0)," ")</f>
        <v xml:space="preserve"> </v>
      </c>
      <c r="R803" s="125" t="str">
        <f>IFERROR(VLOOKUP(C803,TD!$B$32:$F$36,4,0)," ")</f>
        <v xml:space="preserve"> </v>
      </c>
      <c r="S803" s="51"/>
      <c r="T803" s="125" t="str">
        <f>IFERROR(VLOOKUP(S803,TD!$J$33:$K$43,2,0)," ")</f>
        <v xml:space="preserve"> </v>
      </c>
      <c r="U803" s="127" t="str">
        <f>CONCATENATE(S803,"-",T803)</f>
        <v xml:space="preserve">- </v>
      </c>
      <c r="V803" s="51"/>
      <c r="W803" s="125" t="str">
        <f>IFERROR(VLOOKUP(V803,TD!$N$33:$O$45,2,0)," ")</f>
        <v xml:space="preserve"> </v>
      </c>
      <c r="X803" s="127" t="str">
        <f>CONCATENATE(V803,"_",W803)</f>
        <v xml:space="preserve">_ </v>
      </c>
      <c r="Y803" s="127" t="str">
        <f>CONCATENATE(U803," ",X803)</f>
        <v xml:space="preserve">-  _ </v>
      </c>
      <c r="Z803" s="125" t="str">
        <f>CONCATENATE(P803,Q803,R803,S803,V803)</f>
        <v xml:space="preserve">   </v>
      </c>
      <c r="AA803" s="125" t="str">
        <f>IFERROR(VLOOKUP(Y803,TD!$K$46:$L$64,2,0)," ")</f>
        <v xml:space="preserve"> </v>
      </c>
      <c r="AB803" s="53"/>
      <c r="AC803" s="126"/>
    </row>
    <row r="804" spans="2:29" s="28" customFormat="1" ht="74.25" customHeight="1" x14ac:dyDescent="0.35">
      <c r="B804" s="77"/>
      <c r="C804" s="50"/>
      <c r="D804" s="123"/>
      <c r="E804" s="51"/>
      <c r="F804" s="123"/>
      <c r="G804" s="123"/>
      <c r="H804" s="97"/>
      <c r="I804" s="124"/>
      <c r="J804" s="124"/>
      <c r="K804" s="52"/>
      <c r="L804" s="53"/>
      <c r="M804" s="123"/>
      <c r="N804" s="53"/>
      <c r="O804" s="51"/>
      <c r="P804" s="125" t="str">
        <f>IFERROR(VLOOKUP(C804,TD!$B$32:$F$36,2,0)," ")</f>
        <v xml:space="preserve"> </v>
      </c>
      <c r="Q804" s="125" t="str">
        <f>IFERROR(VLOOKUP(C804,TD!$B$32:$F$36,3,0)," ")</f>
        <v xml:space="preserve"> </v>
      </c>
      <c r="R804" s="125" t="str">
        <f>IFERROR(VLOOKUP(C804,TD!$B$32:$F$36,4,0)," ")</f>
        <v xml:space="preserve"> </v>
      </c>
      <c r="S804" s="51"/>
      <c r="T804" s="125" t="str">
        <f>IFERROR(VLOOKUP(S804,TD!$J$33:$K$43,2,0)," ")</f>
        <v xml:space="preserve"> </v>
      </c>
      <c r="U804" s="127" t="str">
        <f>CONCATENATE(S804,"-",T804)</f>
        <v xml:space="preserve">- </v>
      </c>
      <c r="V804" s="51"/>
      <c r="W804" s="125" t="str">
        <f>IFERROR(VLOOKUP(V804,TD!$N$33:$O$45,2,0)," ")</f>
        <v xml:space="preserve"> </v>
      </c>
      <c r="X804" s="127" t="str">
        <f>CONCATENATE(V804,"_",W804)</f>
        <v xml:space="preserve">_ </v>
      </c>
      <c r="Y804" s="127" t="str">
        <f>CONCATENATE(U804," ",X804)</f>
        <v xml:space="preserve">-  _ </v>
      </c>
      <c r="Z804" s="125" t="str">
        <f>CONCATENATE(P804,Q804,R804,S804,V804)</f>
        <v xml:space="preserve">   </v>
      </c>
      <c r="AA804" s="125" t="str">
        <f>IFERROR(VLOOKUP(Y804,TD!$K$46:$L$64,2,0)," ")</f>
        <v xml:space="preserve"> </v>
      </c>
      <c r="AB804" s="53"/>
      <c r="AC804" s="126"/>
    </row>
    <row r="805" spans="2:29" s="28" customFormat="1" ht="74.25" customHeight="1" x14ac:dyDescent="0.35">
      <c r="B805" s="77"/>
      <c r="C805" s="50"/>
      <c r="D805" s="123"/>
      <c r="E805" s="51"/>
      <c r="F805" s="123"/>
      <c r="G805" s="123"/>
      <c r="H805" s="97"/>
      <c r="I805" s="124"/>
      <c r="J805" s="124"/>
      <c r="K805" s="52"/>
      <c r="L805" s="53"/>
      <c r="M805" s="123"/>
      <c r="N805" s="53"/>
      <c r="O805" s="51"/>
      <c r="P805" s="125" t="str">
        <f>IFERROR(VLOOKUP(C805,TD!$B$32:$F$36,2,0)," ")</f>
        <v xml:space="preserve"> </v>
      </c>
      <c r="Q805" s="125" t="str">
        <f>IFERROR(VLOOKUP(C805,TD!$B$32:$F$36,3,0)," ")</f>
        <v xml:space="preserve"> </v>
      </c>
      <c r="R805" s="125" t="str">
        <f>IFERROR(VLOOKUP(C805,TD!$B$32:$F$36,4,0)," ")</f>
        <v xml:space="preserve"> </v>
      </c>
      <c r="S805" s="51"/>
      <c r="T805" s="125" t="str">
        <f>IFERROR(VLOOKUP(S805,TD!$J$33:$K$43,2,0)," ")</f>
        <v xml:space="preserve"> </v>
      </c>
      <c r="U805" s="127" t="str">
        <f>CONCATENATE(S805,"-",T805)</f>
        <v xml:space="preserve">- </v>
      </c>
      <c r="V805" s="51"/>
      <c r="W805" s="125" t="str">
        <f>IFERROR(VLOOKUP(V805,TD!$N$33:$O$45,2,0)," ")</f>
        <v xml:space="preserve"> </v>
      </c>
      <c r="X805" s="127" t="str">
        <f>CONCATENATE(V805,"_",W805)</f>
        <v xml:space="preserve">_ </v>
      </c>
      <c r="Y805" s="127" t="str">
        <f>CONCATENATE(U805," ",X805)</f>
        <v xml:space="preserve">-  _ </v>
      </c>
      <c r="Z805" s="125" t="str">
        <f>CONCATENATE(P805,Q805,R805,S805,V805)</f>
        <v xml:space="preserve">   </v>
      </c>
      <c r="AA805" s="125" t="str">
        <f>IFERROR(VLOOKUP(Y805,TD!$K$46:$L$64,2,0)," ")</f>
        <v xml:space="preserve"> </v>
      </c>
      <c r="AB805" s="53"/>
      <c r="AC805" s="126"/>
    </row>
    <row r="806" spans="2:29" s="28" customFormat="1" ht="74.25" customHeight="1" x14ac:dyDescent="0.35">
      <c r="B806" s="77"/>
      <c r="C806" s="50"/>
      <c r="D806" s="123"/>
      <c r="E806" s="51"/>
      <c r="F806" s="123"/>
      <c r="G806" s="123"/>
      <c r="H806" s="97"/>
      <c r="I806" s="124"/>
      <c r="J806" s="124"/>
      <c r="K806" s="52"/>
      <c r="L806" s="53"/>
      <c r="M806" s="123"/>
      <c r="N806" s="53"/>
      <c r="O806" s="51"/>
      <c r="P806" s="125" t="str">
        <f>IFERROR(VLOOKUP(C806,TD!$B$32:$F$36,2,0)," ")</f>
        <v xml:space="preserve"> </v>
      </c>
      <c r="Q806" s="125" t="str">
        <f>IFERROR(VLOOKUP(C806,TD!$B$32:$F$36,3,0)," ")</f>
        <v xml:space="preserve"> </v>
      </c>
      <c r="R806" s="125" t="str">
        <f>IFERROR(VLOOKUP(C806,TD!$B$32:$F$36,4,0)," ")</f>
        <v xml:space="preserve"> </v>
      </c>
      <c r="S806" s="51"/>
      <c r="T806" s="125" t="str">
        <f>IFERROR(VLOOKUP(S806,TD!$J$33:$K$43,2,0)," ")</f>
        <v xml:space="preserve"> </v>
      </c>
      <c r="U806" s="127" t="str">
        <f>CONCATENATE(S806,"-",T806)</f>
        <v xml:space="preserve">- </v>
      </c>
      <c r="V806" s="51"/>
      <c r="W806" s="125" t="str">
        <f>IFERROR(VLOOKUP(V806,TD!$N$33:$O$45,2,0)," ")</f>
        <v xml:space="preserve"> </v>
      </c>
      <c r="X806" s="127" t="str">
        <f>CONCATENATE(V806,"_",W806)</f>
        <v xml:space="preserve">_ </v>
      </c>
      <c r="Y806" s="127" t="str">
        <f>CONCATENATE(U806," ",X806)</f>
        <v xml:space="preserve">-  _ </v>
      </c>
      <c r="Z806" s="125" t="str">
        <f>CONCATENATE(P806,Q806,R806,S806,V806)</f>
        <v xml:space="preserve">   </v>
      </c>
      <c r="AA806" s="125" t="str">
        <f>IFERROR(VLOOKUP(Y806,TD!$K$46:$L$64,2,0)," ")</f>
        <v xml:space="preserve"> </v>
      </c>
      <c r="AB806" s="53"/>
      <c r="AC806" s="126"/>
    </row>
    <row r="807" spans="2:29" s="28" customFormat="1" ht="74.25" customHeight="1" x14ac:dyDescent="0.35">
      <c r="B807" s="77"/>
      <c r="C807" s="50"/>
      <c r="D807" s="123"/>
      <c r="E807" s="51"/>
      <c r="F807" s="123"/>
      <c r="G807" s="123"/>
      <c r="H807" s="97"/>
      <c r="I807" s="124"/>
      <c r="J807" s="124"/>
      <c r="K807" s="52"/>
      <c r="L807" s="53"/>
      <c r="M807" s="123"/>
      <c r="N807" s="53"/>
      <c r="O807" s="51"/>
      <c r="P807" s="125" t="str">
        <f>IFERROR(VLOOKUP(C807,TD!$B$32:$F$36,2,0)," ")</f>
        <v xml:space="preserve"> </v>
      </c>
      <c r="Q807" s="125" t="str">
        <f>IFERROR(VLOOKUP(C807,TD!$B$32:$F$36,3,0)," ")</f>
        <v xml:space="preserve"> </v>
      </c>
      <c r="R807" s="125" t="str">
        <f>IFERROR(VLOOKUP(C807,TD!$B$32:$F$36,4,0)," ")</f>
        <v xml:space="preserve"> </v>
      </c>
      <c r="S807" s="51"/>
      <c r="T807" s="125" t="str">
        <f>IFERROR(VLOOKUP(S807,TD!$J$33:$K$43,2,0)," ")</f>
        <v xml:space="preserve"> </v>
      </c>
      <c r="U807" s="127" t="str">
        <f>CONCATENATE(S807,"-",T807)</f>
        <v xml:space="preserve">- </v>
      </c>
      <c r="V807" s="51"/>
      <c r="W807" s="125" t="str">
        <f>IFERROR(VLOOKUP(V807,TD!$N$33:$O$45,2,0)," ")</f>
        <v xml:space="preserve"> </v>
      </c>
      <c r="X807" s="127" t="str">
        <f>CONCATENATE(V807,"_",W807)</f>
        <v xml:space="preserve">_ </v>
      </c>
      <c r="Y807" s="127" t="str">
        <f>CONCATENATE(U807," ",X807)</f>
        <v xml:space="preserve">-  _ </v>
      </c>
      <c r="Z807" s="125" t="str">
        <f>CONCATENATE(P807,Q807,R807,S807,V807)</f>
        <v xml:space="preserve">   </v>
      </c>
      <c r="AA807" s="125" t="str">
        <f>IFERROR(VLOOKUP(Y807,TD!$K$46:$L$64,2,0)," ")</f>
        <v xml:space="preserve"> </v>
      </c>
      <c r="AB807" s="53"/>
      <c r="AC807" s="126"/>
    </row>
    <row r="808" spans="2:29" s="28" customFormat="1" ht="74.25" customHeight="1" x14ac:dyDescent="0.35">
      <c r="B808" s="77"/>
      <c r="C808" s="50"/>
      <c r="D808" s="123"/>
      <c r="E808" s="51"/>
      <c r="F808" s="123"/>
      <c r="G808" s="123"/>
      <c r="H808" s="97"/>
      <c r="I808" s="124"/>
      <c r="J808" s="124"/>
      <c r="K808" s="52"/>
      <c r="L808" s="53"/>
      <c r="M808" s="123"/>
      <c r="N808" s="53"/>
      <c r="O808" s="51"/>
      <c r="P808" s="125" t="str">
        <f>IFERROR(VLOOKUP(C808,TD!$B$32:$F$36,2,0)," ")</f>
        <v xml:space="preserve"> </v>
      </c>
      <c r="Q808" s="125" t="str">
        <f>IFERROR(VLOOKUP(C808,TD!$B$32:$F$36,3,0)," ")</f>
        <v xml:space="preserve"> </v>
      </c>
      <c r="R808" s="125" t="str">
        <f>IFERROR(VLOOKUP(C808,TD!$B$32:$F$36,4,0)," ")</f>
        <v xml:space="preserve"> </v>
      </c>
      <c r="S808" s="51"/>
      <c r="T808" s="125" t="str">
        <f>IFERROR(VLOOKUP(S808,TD!$J$33:$K$43,2,0)," ")</f>
        <v xml:space="preserve"> </v>
      </c>
      <c r="U808" s="127" t="str">
        <f>CONCATENATE(S808,"-",T808)</f>
        <v xml:space="preserve">- </v>
      </c>
      <c r="V808" s="51"/>
      <c r="W808" s="125" t="str">
        <f>IFERROR(VLOOKUP(V808,TD!$N$33:$O$45,2,0)," ")</f>
        <v xml:space="preserve"> </v>
      </c>
      <c r="X808" s="127" t="str">
        <f>CONCATENATE(V808,"_",W808)</f>
        <v xml:space="preserve">_ </v>
      </c>
      <c r="Y808" s="127" t="str">
        <f>CONCATENATE(U808," ",X808)</f>
        <v xml:space="preserve">-  _ </v>
      </c>
      <c r="Z808" s="125" t="str">
        <f>CONCATENATE(P808,Q808,R808,S808,V808)</f>
        <v xml:space="preserve">   </v>
      </c>
      <c r="AA808" s="125" t="str">
        <f>IFERROR(VLOOKUP(Y808,TD!$K$46:$L$64,2,0)," ")</f>
        <v xml:space="preserve"> </v>
      </c>
      <c r="AB808" s="53"/>
      <c r="AC808" s="126"/>
    </row>
    <row r="809" spans="2:29" s="28" customFormat="1" ht="74.25" customHeight="1" x14ac:dyDescent="0.35">
      <c r="B809" s="77"/>
      <c r="C809" s="50"/>
      <c r="D809" s="123"/>
      <c r="E809" s="51"/>
      <c r="F809" s="123"/>
      <c r="G809" s="123"/>
      <c r="H809" s="97"/>
      <c r="I809" s="124"/>
      <c r="J809" s="124"/>
      <c r="K809" s="52"/>
      <c r="L809" s="53"/>
      <c r="M809" s="123"/>
      <c r="N809" s="53"/>
      <c r="O809" s="51"/>
      <c r="P809" s="125" t="str">
        <f>IFERROR(VLOOKUP(C809,TD!$B$32:$F$36,2,0)," ")</f>
        <v xml:space="preserve"> </v>
      </c>
      <c r="Q809" s="125" t="str">
        <f>IFERROR(VLOOKUP(C809,TD!$B$32:$F$36,3,0)," ")</f>
        <v xml:space="preserve"> </v>
      </c>
      <c r="R809" s="125" t="str">
        <f>IFERROR(VLOOKUP(C809,TD!$B$32:$F$36,4,0)," ")</f>
        <v xml:space="preserve"> </v>
      </c>
      <c r="S809" s="51"/>
      <c r="T809" s="125" t="str">
        <f>IFERROR(VLOOKUP(S809,TD!$J$33:$K$43,2,0)," ")</f>
        <v xml:space="preserve"> </v>
      </c>
      <c r="U809" s="127" t="str">
        <f>CONCATENATE(S809,"-",T809)</f>
        <v xml:space="preserve">- </v>
      </c>
      <c r="V809" s="51"/>
      <c r="W809" s="125" t="str">
        <f>IFERROR(VLOOKUP(V809,TD!$N$33:$O$45,2,0)," ")</f>
        <v xml:space="preserve"> </v>
      </c>
      <c r="X809" s="127" t="str">
        <f>CONCATENATE(V809,"_",W809)</f>
        <v xml:space="preserve">_ </v>
      </c>
      <c r="Y809" s="127" t="str">
        <f>CONCATENATE(U809," ",X809)</f>
        <v xml:space="preserve">-  _ </v>
      </c>
      <c r="Z809" s="125" t="str">
        <f>CONCATENATE(P809,Q809,R809,S809,V809)</f>
        <v xml:space="preserve">   </v>
      </c>
      <c r="AA809" s="125" t="str">
        <f>IFERROR(VLOOKUP(Y809,TD!$K$46:$L$64,2,0)," ")</f>
        <v xml:space="preserve"> </v>
      </c>
      <c r="AB809" s="53"/>
      <c r="AC809" s="126"/>
    </row>
    <row r="810" spans="2:29" s="28" customFormat="1" ht="74.25" customHeight="1" x14ac:dyDescent="0.35">
      <c r="B810" s="77"/>
      <c r="C810" s="50"/>
      <c r="D810" s="123"/>
      <c r="E810" s="51"/>
      <c r="F810" s="123"/>
      <c r="G810" s="123"/>
      <c r="H810" s="97"/>
      <c r="I810" s="124"/>
      <c r="J810" s="124"/>
      <c r="K810" s="52"/>
      <c r="L810" s="53"/>
      <c r="M810" s="123"/>
      <c r="N810" s="53"/>
      <c r="O810" s="51"/>
      <c r="P810" s="125" t="str">
        <f>IFERROR(VLOOKUP(C810,TD!$B$32:$F$36,2,0)," ")</f>
        <v xml:space="preserve"> </v>
      </c>
      <c r="Q810" s="125" t="str">
        <f>IFERROR(VLOOKUP(C810,TD!$B$32:$F$36,3,0)," ")</f>
        <v xml:space="preserve"> </v>
      </c>
      <c r="R810" s="125" t="str">
        <f>IFERROR(VLOOKUP(C810,TD!$B$32:$F$36,4,0)," ")</f>
        <v xml:space="preserve"> </v>
      </c>
      <c r="S810" s="51"/>
      <c r="T810" s="125" t="str">
        <f>IFERROR(VLOOKUP(S810,TD!$J$33:$K$43,2,0)," ")</f>
        <v xml:space="preserve"> </v>
      </c>
      <c r="U810" s="127" t="str">
        <f>CONCATENATE(S810,"-",T810)</f>
        <v xml:space="preserve">- </v>
      </c>
      <c r="V810" s="51"/>
      <c r="W810" s="125" t="str">
        <f>IFERROR(VLOOKUP(V810,TD!$N$33:$O$45,2,0)," ")</f>
        <v xml:space="preserve"> </v>
      </c>
      <c r="X810" s="127" t="str">
        <f>CONCATENATE(V810,"_",W810)</f>
        <v xml:space="preserve">_ </v>
      </c>
      <c r="Y810" s="127" t="str">
        <f>CONCATENATE(U810," ",X810)</f>
        <v xml:space="preserve">-  _ </v>
      </c>
      <c r="Z810" s="125" t="str">
        <f>CONCATENATE(P810,Q810,R810,S810,V810)</f>
        <v xml:space="preserve">   </v>
      </c>
      <c r="AA810" s="125" t="str">
        <f>IFERROR(VLOOKUP(Y810,TD!$K$46:$L$64,2,0)," ")</f>
        <v xml:space="preserve"> </v>
      </c>
      <c r="AB810" s="53"/>
      <c r="AC810" s="126"/>
    </row>
    <row r="811" spans="2:29" s="28" customFormat="1" ht="74.25" customHeight="1" x14ac:dyDescent="0.35">
      <c r="B811" s="77"/>
      <c r="C811" s="50"/>
      <c r="D811" s="123"/>
      <c r="E811" s="51"/>
      <c r="F811" s="123"/>
      <c r="G811" s="123"/>
      <c r="H811" s="97"/>
      <c r="I811" s="124"/>
      <c r="J811" s="124"/>
      <c r="K811" s="52"/>
      <c r="L811" s="53"/>
      <c r="M811" s="123"/>
      <c r="N811" s="53"/>
      <c r="O811" s="51"/>
      <c r="P811" s="125" t="str">
        <f>IFERROR(VLOOKUP(C811,TD!$B$32:$F$36,2,0)," ")</f>
        <v xml:space="preserve"> </v>
      </c>
      <c r="Q811" s="125" t="str">
        <f>IFERROR(VLOOKUP(C811,TD!$B$32:$F$36,3,0)," ")</f>
        <v xml:space="preserve"> </v>
      </c>
      <c r="R811" s="125" t="str">
        <f>IFERROR(VLOOKUP(C811,TD!$B$32:$F$36,4,0)," ")</f>
        <v xml:space="preserve"> </v>
      </c>
      <c r="S811" s="51"/>
      <c r="T811" s="125" t="str">
        <f>IFERROR(VLOOKUP(S811,TD!$J$33:$K$43,2,0)," ")</f>
        <v xml:space="preserve"> </v>
      </c>
      <c r="U811" s="127" t="str">
        <f>CONCATENATE(S811,"-",T811)</f>
        <v xml:space="preserve">- </v>
      </c>
      <c r="V811" s="51"/>
      <c r="W811" s="125" t="str">
        <f>IFERROR(VLOOKUP(V811,TD!$N$33:$O$45,2,0)," ")</f>
        <v xml:space="preserve"> </v>
      </c>
      <c r="X811" s="127" t="str">
        <f>CONCATENATE(V811,"_",W811)</f>
        <v xml:space="preserve">_ </v>
      </c>
      <c r="Y811" s="127" t="str">
        <f>CONCATENATE(U811," ",X811)</f>
        <v xml:space="preserve">-  _ </v>
      </c>
      <c r="Z811" s="125" t="str">
        <f>CONCATENATE(P811,Q811,R811,S811,V811)</f>
        <v xml:space="preserve">   </v>
      </c>
      <c r="AA811" s="125" t="str">
        <f>IFERROR(VLOOKUP(Y811,TD!$K$46:$L$64,2,0)," ")</f>
        <v xml:space="preserve"> </v>
      </c>
      <c r="AB811" s="53"/>
      <c r="AC811" s="126"/>
    </row>
    <row r="812" spans="2:29" s="28" customFormat="1" ht="74.25" customHeight="1" x14ac:dyDescent="0.35">
      <c r="B812" s="77"/>
      <c r="C812" s="50"/>
      <c r="D812" s="123"/>
      <c r="E812" s="51"/>
      <c r="F812" s="123"/>
      <c r="G812" s="123"/>
      <c r="H812" s="97"/>
      <c r="I812" s="124"/>
      <c r="J812" s="124"/>
      <c r="K812" s="52"/>
      <c r="L812" s="53"/>
      <c r="M812" s="123"/>
      <c r="N812" s="53"/>
      <c r="O812" s="51"/>
      <c r="P812" s="125" t="str">
        <f>IFERROR(VLOOKUP(C812,TD!$B$32:$F$36,2,0)," ")</f>
        <v xml:space="preserve"> </v>
      </c>
      <c r="Q812" s="125" t="str">
        <f>IFERROR(VLOOKUP(C812,TD!$B$32:$F$36,3,0)," ")</f>
        <v xml:space="preserve"> </v>
      </c>
      <c r="R812" s="125" t="str">
        <f>IFERROR(VLOOKUP(C812,TD!$B$32:$F$36,4,0)," ")</f>
        <v xml:space="preserve"> </v>
      </c>
      <c r="S812" s="51"/>
      <c r="T812" s="125" t="str">
        <f>IFERROR(VLOOKUP(S812,TD!$J$33:$K$43,2,0)," ")</f>
        <v xml:space="preserve"> </v>
      </c>
      <c r="U812" s="127" t="str">
        <f>CONCATENATE(S812,"-",T812)</f>
        <v xml:space="preserve">- </v>
      </c>
      <c r="V812" s="51"/>
      <c r="W812" s="125" t="str">
        <f>IFERROR(VLOOKUP(V812,TD!$N$33:$O$45,2,0)," ")</f>
        <v xml:space="preserve"> </v>
      </c>
      <c r="X812" s="127" t="str">
        <f>CONCATENATE(V812,"_",W812)</f>
        <v xml:space="preserve">_ </v>
      </c>
      <c r="Y812" s="127" t="str">
        <f>CONCATENATE(U812," ",X812)</f>
        <v xml:space="preserve">-  _ </v>
      </c>
      <c r="Z812" s="125" t="str">
        <f>CONCATENATE(P812,Q812,R812,S812,V812)</f>
        <v xml:space="preserve">   </v>
      </c>
      <c r="AA812" s="125" t="str">
        <f>IFERROR(VLOOKUP(Y812,TD!$K$46:$L$64,2,0)," ")</f>
        <v xml:space="preserve"> </v>
      </c>
      <c r="AB812" s="53"/>
      <c r="AC812" s="126"/>
    </row>
    <row r="813" spans="2:29" s="28" customFormat="1" ht="74.25" customHeight="1" x14ac:dyDescent="0.35">
      <c r="B813" s="77"/>
      <c r="C813" s="50"/>
      <c r="D813" s="123"/>
      <c r="E813" s="51"/>
      <c r="F813" s="123"/>
      <c r="G813" s="123"/>
      <c r="H813" s="97"/>
      <c r="I813" s="124"/>
      <c r="J813" s="124"/>
      <c r="K813" s="52"/>
      <c r="L813" s="53"/>
      <c r="M813" s="123"/>
      <c r="N813" s="53"/>
      <c r="O813" s="51"/>
      <c r="P813" s="125" t="str">
        <f>IFERROR(VLOOKUP(C813,TD!$B$32:$F$36,2,0)," ")</f>
        <v xml:space="preserve"> </v>
      </c>
      <c r="Q813" s="125" t="str">
        <f>IFERROR(VLOOKUP(C813,TD!$B$32:$F$36,3,0)," ")</f>
        <v xml:space="preserve"> </v>
      </c>
      <c r="R813" s="125" t="str">
        <f>IFERROR(VLOOKUP(C813,TD!$B$32:$F$36,4,0)," ")</f>
        <v xml:space="preserve"> </v>
      </c>
      <c r="S813" s="51"/>
      <c r="T813" s="125" t="str">
        <f>IFERROR(VLOOKUP(S813,TD!$J$33:$K$43,2,0)," ")</f>
        <v xml:space="preserve"> </v>
      </c>
      <c r="U813" s="127" t="str">
        <f>CONCATENATE(S813,"-",T813)</f>
        <v xml:space="preserve">- </v>
      </c>
      <c r="V813" s="51"/>
      <c r="W813" s="125" t="str">
        <f>IFERROR(VLOOKUP(V813,TD!$N$33:$O$45,2,0)," ")</f>
        <v xml:space="preserve"> </v>
      </c>
      <c r="X813" s="127" t="str">
        <f>CONCATENATE(V813,"_",W813)</f>
        <v xml:space="preserve">_ </v>
      </c>
      <c r="Y813" s="127" t="str">
        <f>CONCATENATE(U813," ",X813)</f>
        <v xml:space="preserve">-  _ </v>
      </c>
      <c r="Z813" s="125" t="str">
        <f>CONCATENATE(P813,Q813,R813,S813,V813)</f>
        <v xml:space="preserve">   </v>
      </c>
      <c r="AA813" s="125" t="str">
        <f>IFERROR(VLOOKUP(Y813,TD!$K$46:$L$64,2,0)," ")</f>
        <v xml:space="preserve"> </v>
      </c>
      <c r="AB813" s="53"/>
      <c r="AC813" s="126"/>
    </row>
    <row r="814" spans="2:29" s="28" customFormat="1" ht="74.25" customHeight="1" x14ac:dyDescent="0.35">
      <c r="B814" s="77"/>
      <c r="C814" s="50"/>
      <c r="D814" s="123"/>
      <c r="E814" s="51"/>
      <c r="F814" s="123"/>
      <c r="G814" s="123"/>
      <c r="H814" s="97"/>
      <c r="I814" s="124"/>
      <c r="J814" s="124"/>
      <c r="K814" s="52"/>
      <c r="L814" s="53"/>
      <c r="M814" s="123"/>
      <c r="N814" s="53"/>
      <c r="O814" s="51"/>
      <c r="P814" s="125" t="str">
        <f>IFERROR(VLOOKUP(C814,TD!$B$32:$F$36,2,0)," ")</f>
        <v xml:space="preserve"> </v>
      </c>
      <c r="Q814" s="125" t="str">
        <f>IFERROR(VLOOKUP(C814,TD!$B$32:$F$36,3,0)," ")</f>
        <v xml:space="preserve"> </v>
      </c>
      <c r="R814" s="125" t="str">
        <f>IFERROR(VLOOKUP(C814,TD!$B$32:$F$36,4,0)," ")</f>
        <v xml:space="preserve"> </v>
      </c>
      <c r="S814" s="51"/>
      <c r="T814" s="125" t="str">
        <f>IFERROR(VLOOKUP(S814,TD!$J$33:$K$43,2,0)," ")</f>
        <v xml:space="preserve"> </v>
      </c>
      <c r="U814" s="127" t="str">
        <f>CONCATENATE(S814,"-",T814)</f>
        <v xml:space="preserve">- </v>
      </c>
      <c r="V814" s="51"/>
      <c r="W814" s="125" t="str">
        <f>IFERROR(VLOOKUP(V814,TD!$N$33:$O$45,2,0)," ")</f>
        <v xml:space="preserve"> </v>
      </c>
      <c r="X814" s="127" t="str">
        <f>CONCATENATE(V814,"_",W814)</f>
        <v xml:space="preserve">_ </v>
      </c>
      <c r="Y814" s="127" t="str">
        <f>CONCATENATE(U814," ",X814)</f>
        <v xml:space="preserve">-  _ </v>
      </c>
      <c r="Z814" s="125" t="str">
        <f>CONCATENATE(P814,Q814,R814,S814,V814)</f>
        <v xml:space="preserve">   </v>
      </c>
      <c r="AA814" s="125" t="str">
        <f>IFERROR(VLOOKUP(Y814,TD!$K$46:$L$64,2,0)," ")</f>
        <v xml:space="preserve"> </v>
      </c>
      <c r="AB814" s="53"/>
      <c r="AC814" s="126"/>
    </row>
    <row r="815" spans="2:29" s="28" customFormat="1" ht="74.25" customHeight="1" x14ac:dyDescent="0.35">
      <c r="B815" s="77"/>
      <c r="C815" s="50"/>
      <c r="D815" s="123"/>
      <c r="E815" s="51"/>
      <c r="F815" s="123"/>
      <c r="G815" s="123"/>
      <c r="H815" s="97"/>
      <c r="I815" s="124"/>
      <c r="J815" s="124"/>
      <c r="K815" s="52"/>
      <c r="L815" s="53"/>
      <c r="M815" s="123"/>
      <c r="N815" s="53"/>
      <c r="O815" s="51"/>
      <c r="P815" s="125" t="str">
        <f>IFERROR(VLOOKUP(C815,TD!$B$32:$F$36,2,0)," ")</f>
        <v xml:space="preserve"> </v>
      </c>
      <c r="Q815" s="125" t="str">
        <f>IFERROR(VLOOKUP(C815,TD!$B$32:$F$36,3,0)," ")</f>
        <v xml:space="preserve"> </v>
      </c>
      <c r="R815" s="125" t="str">
        <f>IFERROR(VLOOKUP(C815,TD!$B$32:$F$36,4,0)," ")</f>
        <v xml:space="preserve"> </v>
      </c>
      <c r="S815" s="51"/>
      <c r="T815" s="125" t="str">
        <f>IFERROR(VLOOKUP(S815,TD!$J$33:$K$43,2,0)," ")</f>
        <v xml:space="preserve"> </v>
      </c>
      <c r="U815" s="127" t="str">
        <f>CONCATENATE(S815,"-",T815)</f>
        <v xml:space="preserve">- </v>
      </c>
      <c r="V815" s="51"/>
      <c r="W815" s="125" t="str">
        <f>IFERROR(VLOOKUP(V815,TD!$N$33:$O$45,2,0)," ")</f>
        <v xml:space="preserve"> </v>
      </c>
      <c r="X815" s="127" t="str">
        <f>CONCATENATE(V815,"_",W815)</f>
        <v xml:space="preserve">_ </v>
      </c>
      <c r="Y815" s="127" t="str">
        <f>CONCATENATE(U815," ",X815)</f>
        <v xml:space="preserve">-  _ </v>
      </c>
      <c r="Z815" s="125" t="str">
        <f>CONCATENATE(P815,Q815,R815,S815,V815)</f>
        <v xml:space="preserve">   </v>
      </c>
      <c r="AA815" s="125" t="str">
        <f>IFERROR(VLOOKUP(Y815,TD!$K$46:$L$64,2,0)," ")</f>
        <v xml:space="preserve"> </v>
      </c>
      <c r="AB815" s="53"/>
      <c r="AC815" s="126"/>
    </row>
    <row r="816" spans="2:29" s="28" customFormat="1" ht="74.25" customHeight="1" x14ac:dyDescent="0.35">
      <c r="B816" s="77"/>
      <c r="C816" s="50"/>
      <c r="D816" s="123"/>
      <c r="E816" s="51"/>
      <c r="F816" s="123"/>
      <c r="G816" s="123"/>
      <c r="H816" s="97"/>
      <c r="I816" s="124"/>
      <c r="J816" s="124"/>
      <c r="K816" s="52"/>
      <c r="L816" s="53"/>
      <c r="M816" s="123"/>
      <c r="N816" s="53"/>
      <c r="O816" s="51"/>
      <c r="P816" s="125" t="str">
        <f>IFERROR(VLOOKUP(C816,TD!$B$32:$F$36,2,0)," ")</f>
        <v xml:space="preserve"> </v>
      </c>
      <c r="Q816" s="125" t="str">
        <f>IFERROR(VLOOKUP(C816,TD!$B$32:$F$36,3,0)," ")</f>
        <v xml:space="preserve"> </v>
      </c>
      <c r="R816" s="125" t="str">
        <f>IFERROR(VLOOKUP(C816,TD!$B$32:$F$36,4,0)," ")</f>
        <v xml:space="preserve"> </v>
      </c>
      <c r="S816" s="51"/>
      <c r="T816" s="125" t="str">
        <f>IFERROR(VLOOKUP(S816,TD!$J$33:$K$43,2,0)," ")</f>
        <v xml:space="preserve"> </v>
      </c>
      <c r="U816" s="127" t="str">
        <f>CONCATENATE(S816,"-",T816)</f>
        <v xml:space="preserve">- </v>
      </c>
      <c r="V816" s="51"/>
      <c r="W816" s="125" t="str">
        <f>IFERROR(VLOOKUP(V816,TD!$N$33:$O$45,2,0)," ")</f>
        <v xml:space="preserve"> </v>
      </c>
      <c r="X816" s="127" t="str">
        <f>CONCATENATE(V816,"_",W816)</f>
        <v xml:space="preserve">_ </v>
      </c>
      <c r="Y816" s="127" t="str">
        <f>CONCATENATE(U816," ",X816)</f>
        <v xml:space="preserve">-  _ </v>
      </c>
      <c r="Z816" s="125" t="str">
        <f>CONCATENATE(P816,Q816,R816,S816,V816)</f>
        <v xml:space="preserve">   </v>
      </c>
      <c r="AA816" s="125" t="str">
        <f>IFERROR(VLOOKUP(Y816,TD!$K$46:$L$64,2,0)," ")</f>
        <v xml:space="preserve"> </v>
      </c>
      <c r="AB816" s="53"/>
      <c r="AC816" s="126"/>
    </row>
    <row r="817" spans="2:29" s="28" customFormat="1" ht="74.25" customHeight="1" x14ac:dyDescent="0.35">
      <c r="B817" s="77"/>
      <c r="C817" s="50"/>
      <c r="D817" s="123"/>
      <c r="E817" s="51"/>
      <c r="F817" s="123"/>
      <c r="G817" s="123"/>
      <c r="H817" s="97"/>
      <c r="I817" s="124"/>
      <c r="J817" s="124"/>
      <c r="K817" s="52"/>
      <c r="L817" s="53"/>
      <c r="M817" s="123"/>
      <c r="N817" s="53"/>
      <c r="O817" s="51"/>
      <c r="P817" s="125" t="str">
        <f>IFERROR(VLOOKUP(C817,TD!$B$32:$F$36,2,0)," ")</f>
        <v xml:space="preserve"> </v>
      </c>
      <c r="Q817" s="125" t="str">
        <f>IFERROR(VLOOKUP(C817,TD!$B$32:$F$36,3,0)," ")</f>
        <v xml:space="preserve"> </v>
      </c>
      <c r="R817" s="125" t="str">
        <f>IFERROR(VLOOKUP(C817,TD!$B$32:$F$36,4,0)," ")</f>
        <v xml:space="preserve"> </v>
      </c>
      <c r="S817" s="51"/>
      <c r="T817" s="125" t="str">
        <f>IFERROR(VLOOKUP(S817,TD!$J$33:$K$43,2,0)," ")</f>
        <v xml:space="preserve"> </v>
      </c>
      <c r="U817" s="127" t="str">
        <f>CONCATENATE(S817,"-",T817)</f>
        <v xml:space="preserve">- </v>
      </c>
      <c r="V817" s="51"/>
      <c r="W817" s="125" t="str">
        <f>IFERROR(VLOOKUP(V817,TD!$N$33:$O$45,2,0)," ")</f>
        <v xml:space="preserve"> </v>
      </c>
      <c r="X817" s="127" t="str">
        <f>CONCATENATE(V817,"_",W817)</f>
        <v xml:space="preserve">_ </v>
      </c>
      <c r="Y817" s="127" t="str">
        <f>CONCATENATE(U817," ",X817)</f>
        <v xml:space="preserve">-  _ </v>
      </c>
      <c r="Z817" s="125" t="str">
        <f>CONCATENATE(P817,Q817,R817,S817,V817)</f>
        <v xml:space="preserve">   </v>
      </c>
      <c r="AA817" s="125" t="str">
        <f>IFERROR(VLOOKUP(Y817,TD!$K$46:$L$64,2,0)," ")</f>
        <v xml:space="preserve"> </v>
      </c>
      <c r="AB817" s="53"/>
      <c r="AC817" s="126"/>
    </row>
    <row r="818" spans="2:29" s="28" customFormat="1" ht="74.25" customHeight="1" x14ac:dyDescent="0.35">
      <c r="B818" s="77"/>
      <c r="C818" s="50"/>
      <c r="D818" s="123"/>
      <c r="E818" s="51"/>
      <c r="F818" s="123"/>
      <c r="G818" s="123"/>
      <c r="H818" s="97"/>
      <c r="I818" s="124"/>
      <c r="J818" s="124"/>
      <c r="K818" s="52"/>
      <c r="L818" s="53"/>
      <c r="M818" s="123"/>
      <c r="N818" s="53"/>
      <c r="O818" s="51"/>
      <c r="P818" s="125" t="str">
        <f>IFERROR(VLOOKUP(C818,TD!$B$32:$F$36,2,0)," ")</f>
        <v xml:space="preserve"> </v>
      </c>
      <c r="Q818" s="125" t="str">
        <f>IFERROR(VLOOKUP(C818,TD!$B$32:$F$36,3,0)," ")</f>
        <v xml:space="preserve"> </v>
      </c>
      <c r="R818" s="125" t="str">
        <f>IFERROR(VLOOKUP(C818,TD!$B$32:$F$36,4,0)," ")</f>
        <v xml:space="preserve"> </v>
      </c>
      <c r="S818" s="51"/>
      <c r="T818" s="125" t="str">
        <f>IFERROR(VLOOKUP(S818,TD!$J$33:$K$43,2,0)," ")</f>
        <v xml:space="preserve"> </v>
      </c>
      <c r="U818" s="127" t="str">
        <f>CONCATENATE(S818,"-",T818)</f>
        <v xml:space="preserve">- </v>
      </c>
      <c r="V818" s="51"/>
      <c r="W818" s="125" t="str">
        <f>IFERROR(VLOOKUP(V818,TD!$N$33:$O$45,2,0)," ")</f>
        <v xml:space="preserve"> </v>
      </c>
      <c r="X818" s="127" t="str">
        <f>CONCATENATE(V818,"_",W818)</f>
        <v xml:space="preserve">_ </v>
      </c>
      <c r="Y818" s="127" t="str">
        <f>CONCATENATE(U818," ",X818)</f>
        <v xml:space="preserve">-  _ </v>
      </c>
      <c r="Z818" s="125" t="str">
        <f>CONCATENATE(P818,Q818,R818,S818,V818)</f>
        <v xml:space="preserve">   </v>
      </c>
      <c r="AA818" s="125" t="str">
        <f>IFERROR(VLOOKUP(Y818,TD!$K$46:$L$64,2,0)," ")</f>
        <v xml:space="preserve"> </v>
      </c>
      <c r="AB818" s="53"/>
      <c r="AC818" s="126"/>
    </row>
    <row r="819" spans="2:29" s="28" customFormat="1" ht="74.25" customHeight="1" x14ac:dyDescent="0.35">
      <c r="B819" s="77"/>
      <c r="C819" s="50"/>
      <c r="D819" s="123"/>
      <c r="E819" s="51"/>
      <c r="F819" s="123"/>
      <c r="G819" s="123"/>
      <c r="H819" s="97"/>
      <c r="I819" s="124"/>
      <c r="J819" s="124"/>
      <c r="K819" s="52"/>
      <c r="L819" s="53"/>
      <c r="M819" s="123"/>
      <c r="N819" s="53"/>
      <c r="O819" s="51"/>
      <c r="P819" s="125" t="str">
        <f>IFERROR(VLOOKUP(C819,TD!$B$32:$F$36,2,0)," ")</f>
        <v xml:space="preserve"> </v>
      </c>
      <c r="Q819" s="125" t="str">
        <f>IFERROR(VLOOKUP(C819,TD!$B$32:$F$36,3,0)," ")</f>
        <v xml:space="preserve"> </v>
      </c>
      <c r="R819" s="125" t="str">
        <f>IFERROR(VLOOKUP(C819,TD!$B$32:$F$36,4,0)," ")</f>
        <v xml:space="preserve"> </v>
      </c>
      <c r="S819" s="51"/>
      <c r="T819" s="125" t="str">
        <f>IFERROR(VLOOKUP(S819,TD!$J$33:$K$43,2,0)," ")</f>
        <v xml:space="preserve"> </v>
      </c>
      <c r="U819" s="127" t="str">
        <f>CONCATENATE(S819,"-",T819)</f>
        <v xml:space="preserve">- </v>
      </c>
      <c r="V819" s="51"/>
      <c r="W819" s="125" t="str">
        <f>IFERROR(VLOOKUP(V819,TD!$N$33:$O$45,2,0)," ")</f>
        <v xml:space="preserve"> </v>
      </c>
      <c r="X819" s="127" t="str">
        <f>CONCATENATE(V819,"_",W819)</f>
        <v xml:space="preserve">_ </v>
      </c>
      <c r="Y819" s="127" t="str">
        <f>CONCATENATE(U819," ",X819)</f>
        <v xml:space="preserve">-  _ </v>
      </c>
      <c r="Z819" s="125" t="str">
        <f>CONCATENATE(P819,Q819,R819,S819,V819)</f>
        <v xml:space="preserve">   </v>
      </c>
      <c r="AA819" s="125" t="str">
        <f>IFERROR(VLOOKUP(Y819,TD!$K$46:$L$64,2,0)," ")</f>
        <v xml:space="preserve"> </v>
      </c>
      <c r="AB819" s="53"/>
      <c r="AC819" s="126"/>
    </row>
    <row r="820" spans="2:29" s="28" customFormat="1" ht="74.25" customHeight="1" x14ac:dyDescent="0.35">
      <c r="B820" s="77"/>
      <c r="C820" s="50"/>
      <c r="D820" s="123"/>
      <c r="E820" s="51"/>
      <c r="F820" s="123"/>
      <c r="G820" s="123"/>
      <c r="H820" s="97"/>
      <c r="I820" s="124"/>
      <c r="J820" s="124"/>
      <c r="K820" s="52"/>
      <c r="L820" s="53"/>
      <c r="M820" s="123"/>
      <c r="N820" s="53"/>
      <c r="O820" s="51"/>
      <c r="P820" s="125" t="str">
        <f>IFERROR(VLOOKUP(C820,TD!$B$32:$F$36,2,0)," ")</f>
        <v xml:space="preserve"> </v>
      </c>
      <c r="Q820" s="125" t="str">
        <f>IFERROR(VLOOKUP(C820,TD!$B$32:$F$36,3,0)," ")</f>
        <v xml:space="preserve"> </v>
      </c>
      <c r="R820" s="125" t="str">
        <f>IFERROR(VLOOKUP(C820,TD!$B$32:$F$36,4,0)," ")</f>
        <v xml:space="preserve"> </v>
      </c>
      <c r="S820" s="51"/>
      <c r="T820" s="125" t="str">
        <f>IFERROR(VLOOKUP(S820,TD!$J$33:$K$43,2,0)," ")</f>
        <v xml:space="preserve"> </v>
      </c>
      <c r="U820" s="127" t="str">
        <f>CONCATENATE(S820,"-",T820)</f>
        <v xml:space="preserve">- </v>
      </c>
      <c r="V820" s="51"/>
      <c r="W820" s="125" t="str">
        <f>IFERROR(VLOOKUP(V820,TD!$N$33:$O$45,2,0)," ")</f>
        <v xml:space="preserve"> </v>
      </c>
      <c r="X820" s="127" t="str">
        <f>CONCATENATE(V820,"_",W820)</f>
        <v xml:space="preserve">_ </v>
      </c>
      <c r="Y820" s="127" t="str">
        <f>CONCATENATE(U820," ",X820)</f>
        <v xml:space="preserve">-  _ </v>
      </c>
      <c r="Z820" s="125" t="str">
        <f>CONCATENATE(P820,Q820,R820,S820,V820)</f>
        <v xml:space="preserve">   </v>
      </c>
      <c r="AA820" s="125" t="str">
        <f>IFERROR(VLOOKUP(Y820,TD!$K$46:$L$64,2,0)," ")</f>
        <v xml:space="preserve"> </v>
      </c>
      <c r="AB820" s="53"/>
      <c r="AC820" s="126"/>
    </row>
    <row r="821" spans="2:29" s="28" customFormat="1" ht="74.25" customHeight="1" x14ac:dyDescent="0.35">
      <c r="B821" s="77"/>
      <c r="C821" s="50"/>
      <c r="D821" s="123"/>
      <c r="E821" s="51"/>
      <c r="F821" s="123"/>
      <c r="G821" s="123"/>
      <c r="H821" s="97"/>
      <c r="I821" s="124"/>
      <c r="J821" s="124"/>
      <c r="K821" s="52"/>
      <c r="L821" s="53"/>
      <c r="M821" s="123"/>
      <c r="N821" s="53"/>
      <c r="O821" s="51"/>
      <c r="P821" s="125" t="str">
        <f>IFERROR(VLOOKUP(C821,TD!$B$32:$F$36,2,0)," ")</f>
        <v xml:space="preserve"> </v>
      </c>
      <c r="Q821" s="125" t="str">
        <f>IFERROR(VLOOKUP(C821,TD!$B$32:$F$36,3,0)," ")</f>
        <v xml:space="preserve"> </v>
      </c>
      <c r="R821" s="125" t="str">
        <f>IFERROR(VLOOKUP(C821,TD!$B$32:$F$36,4,0)," ")</f>
        <v xml:space="preserve"> </v>
      </c>
      <c r="S821" s="51"/>
      <c r="T821" s="125" t="str">
        <f>IFERROR(VLOOKUP(S821,TD!$J$33:$K$43,2,0)," ")</f>
        <v xml:space="preserve"> </v>
      </c>
      <c r="U821" s="127" t="str">
        <f>CONCATENATE(S821,"-",T821)</f>
        <v xml:space="preserve">- </v>
      </c>
      <c r="V821" s="51"/>
      <c r="W821" s="125" t="str">
        <f>IFERROR(VLOOKUP(V821,TD!$N$33:$O$45,2,0)," ")</f>
        <v xml:space="preserve"> </v>
      </c>
      <c r="X821" s="127" t="str">
        <f>CONCATENATE(V821,"_",W821)</f>
        <v xml:space="preserve">_ </v>
      </c>
      <c r="Y821" s="127" t="str">
        <f>CONCATENATE(U821," ",X821)</f>
        <v xml:space="preserve">-  _ </v>
      </c>
      <c r="Z821" s="125" t="str">
        <f>CONCATENATE(P821,Q821,R821,S821,V821)</f>
        <v xml:space="preserve">   </v>
      </c>
      <c r="AA821" s="125" t="str">
        <f>IFERROR(VLOOKUP(Y821,TD!$K$46:$L$64,2,0)," ")</f>
        <v xml:space="preserve"> </v>
      </c>
      <c r="AB821" s="53"/>
      <c r="AC821" s="126"/>
    </row>
    <row r="822" spans="2:29" s="28" customFormat="1" ht="74.25" customHeight="1" x14ac:dyDescent="0.35">
      <c r="B822" s="77"/>
      <c r="C822" s="50"/>
      <c r="D822" s="123"/>
      <c r="E822" s="51"/>
      <c r="F822" s="123"/>
      <c r="G822" s="123"/>
      <c r="H822" s="97"/>
      <c r="I822" s="124"/>
      <c r="J822" s="124"/>
      <c r="K822" s="52"/>
      <c r="L822" s="53"/>
      <c r="M822" s="123"/>
      <c r="N822" s="53"/>
      <c r="O822" s="51"/>
      <c r="P822" s="125" t="str">
        <f>IFERROR(VLOOKUP(C822,TD!$B$32:$F$36,2,0)," ")</f>
        <v xml:space="preserve"> </v>
      </c>
      <c r="Q822" s="125" t="str">
        <f>IFERROR(VLOOKUP(C822,TD!$B$32:$F$36,3,0)," ")</f>
        <v xml:space="preserve"> </v>
      </c>
      <c r="R822" s="125" t="str">
        <f>IFERROR(VLOOKUP(C822,TD!$B$32:$F$36,4,0)," ")</f>
        <v xml:space="preserve"> </v>
      </c>
      <c r="S822" s="51"/>
      <c r="T822" s="125" t="str">
        <f>IFERROR(VLOOKUP(S822,TD!$J$33:$K$43,2,0)," ")</f>
        <v xml:space="preserve"> </v>
      </c>
      <c r="U822" s="127" t="str">
        <f>CONCATENATE(S822,"-",T822)</f>
        <v xml:space="preserve">- </v>
      </c>
      <c r="V822" s="51"/>
      <c r="W822" s="125" t="str">
        <f>IFERROR(VLOOKUP(V822,TD!$N$33:$O$45,2,0)," ")</f>
        <v xml:space="preserve"> </v>
      </c>
      <c r="X822" s="127" t="str">
        <f>CONCATENATE(V822,"_",W822)</f>
        <v xml:space="preserve">_ </v>
      </c>
      <c r="Y822" s="127" t="str">
        <f>CONCATENATE(U822," ",X822)</f>
        <v xml:space="preserve">-  _ </v>
      </c>
      <c r="Z822" s="125" t="str">
        <f>CONCATENATE(P822,Q822,R822,S822,V822)</f>
        <v xml:space="preserve">   </v>
      </c>
      <c r="AA822" s="125" t="str">
        <f>IFERROR(VLOOKUP(Y822,TD!$K$46:$L$64,2,0)," ")</f>
        <v xml:space="preserve"> </v>
      </c>
      <c r="AB822" s="53"/>
      <c r="AC822" s="126"/>
    </row>
    <row r="823" spans="2:29" s="28" customFormat="1" ht="74.25" customHeight="1" x14ac:dyDescent="0.35">
      <c r="B823" s="77"/>
      <c r="C823" s="50"/>
      <c r="D823" s="123"/>
      <c r="E823" s="51"/>
      <c r="F823" s="123"/>
      <c r="G823" s="123"/>
      <c r="H823" s="97"/>
      <c r="I823" s="124"/>
      <c r="J823" s="124"/>
      <c r="K823" s="52"/>
      <c r="L823" s="53"/>
      <c r="M823" s="123"/>
      <c r="N823" s="53"/>
      <c r="O823" s="51"/>
      <c r="P823" s="125" t="str">
        <f>IFERROR(VLOOKUP(C823,TD!$B$32:$F$36,2,0)," ")</f>
        <v xml:space="preserve"> </v>
      </c>
      <c r="Q823" s="125" t="str">
        <f>IFERROR(VLOOKUP(C823,TD!$B$32:$F$36,3,0)," ")</f>
        <v xml:space="preserve"> </v>
      </c>
      <c r="R823" s="125" t="str">
        <f>IFERROR(VLOOKUP(C823,TD!$B$32:$F$36,4,0)," ")</f>
        <v xml:space="preserve"> </v>
      </c>
      <c r="S823" s="51"/>
      <c r="T823" s="125" t="str">
        <f>IFERROR(VLOOKUP(S823,TD!$J$33:$K$43,2,0)," ")</f>
        <v xml:space="preserve"> </v>
      </c>
      <c r="U823" s="127" t="str">
        <f>CONCATENATE(S823,"-",T823)</f>
        <v xml:space="preserve">- </v>
      </c>
      <c r="V823" s="51"/>
      <c r="W823" s="125" t="str">
        <f>IFERROR(VLOOKUP(V823,TD!$N$33:$O$45,2,0)," ")</f>
        <v xml:space="preserve"> </v>
      </c>
      <c r="X823" s="127" t="str">
        <f>CONCATENATE(V823,"_",W823)</f>
        <v xml:space="preserve">_ </v>
      </c>
      <c r="Y823" s="127" t="str">
        <f>CONCATENATE(U823," ",X823)</f>
        <v xml:space="preserve">-  _ </v>
      </c>
      <c r="Z823" s="125" t="str">
        <f>CONCATENATE(P823,Q823,R823,S823,V823)</f>
        <v xml:space="preserve">   </v>
      </c>
      <c r="AA823" s="125" t="str">
        <f>IFERROR(VLOOKUP(Y823,TD!$K$46:$L$64,2,0)," ")</f>
        <v xml:space="preserve"> </v>
      </c>
      <c r="AB823" s="53"/>
      <c r="AC823" s="126"/>
    </row>
    <row r="824" spans="2:29" s="28" customFormat="1" ht="74.25" customHeight="1" x14ac:dyDescent="0.35">
      <c r="B824" s="77"/>
      <c r="C824" s="50"/>
      <c r="D824" s="123"/>
      <c r="E824" s="51"/>
      <c r="F824" s="123"/>
      <c r="G824" s="123"/>
      <c r="H824" s="97"/>
      <c r="I824" s="124"/>
      <c r="J824" s="124"/>
      <c r="K824" s="52"/>
      <c r="L824" s="53"/>
      <c r="M824" s="123"/>
      <c r="N824" s="53"/>
      <c r="O824" s="51"/>
      <c r="P824" s="125" t="str">
        <f>IFERROR(VLOOKUP(C824,TD!$B$32:$F$36,2,0)," ")</f>
        <v xml:space="preserve"> </v>
      </c>
      <c r="Q824" s="125" t="str">
        <f>IFERROR(VLOOKUP(C824,TD!$B$32:$F$36,3,0)," ")</f>
        <v xml:space="preserve"> </v>
      </c>
      <c r="R824" s="125" t="str">
        <f>IFERROR(VLOOKUP(C824,TD!$B$32:$F$36,4,0)," ")</f>
        <v xml:space="preserve"> </v>
      </c>
      <c r="S824" s="51"/>
      <c r="T824" s="125" t="str">
        <f>IFERROR(VLOOKUP(S824,TD!$J$33:$K$43,2,0)," ")</f>
        <v xml:space="preserve"> </v>
      </c>
      <c r="U824" s="127" t="str">
        <f>CONCATENATE(S824,"-",T824)</f>
        <v xml:space="preserve">- </v>
      </c>
      <c r="V824" s="51"/>
      <c r="W824" s="125" t="str">
        <f>IFERROR(VLOOKUP(V824,TD!$N$33:$O$45,2,0)," ")</f>
        <v xml:space="preserve"> </v>
      </c>
      <c r="X824" s="127" t="str">
        <f>CONCATENATE(V824,"_",W824)</f>
        <v xml:space="preserve">_ </v>
      </c>
      <c r="Y824" s="127" t="str">
        <f>CONCATENATE(U824," ",X824)</f>
        <v xml:space="preserve">-  _ </v>
      </c>
      <c r="Z824" s="125" t="str">
        <f>CONCATENATE(P824,Q824,R824,S824,V824)</f>
        <v xml:space="preserve">   </v>
      </c>
      <c r="AA824" s="125" t="str">
        <f>IFERROR(VLOOKUP(Y824,TD!$K$46:$L$64,2,0)," ")</f>
        <v xml:space="preserve"> </v>
      </c>
      <c r="AB824" s="53"/>
      <c r="AC824" s="126"/>
    </row>
    <row r="825" spans="2:29" s="28" customFormat="1" ht="74.25" customHeight="1" x14ac:dyDescent="0.35">
      <c r="B825" s="77"/>
      <c r="C825" s="50"/>
      <c r="D825" s="123"/>
      <c r="E825" s="51"/>
      <c r="F825" s="123"/>
      <c r="G825" s="123"/>
      <c r="H825" s="97"/>
      <c r="I825" s="124"/>
      <c r="J825" s="124"/>
      <c r="K825" s="52"/>
      <c r="L825" s="53"/>
      <c r="M825" s="123"/>
      <c r="N825" s="53"/>
      <c r="O825" s="51"/>
      <c r="P825" s="125" t="str">
        <f>IFERROR(VLOOKUP(C825,TD!$B$32:$F$36,2,0)," ")</f>
        <v xml:space="preserve"> </v>
      </c>
      <c r="Q825" s="125" t="str">
        <f>IFERROR(VLOOKUP(C825,TD!$B$32:$F$36,3,0)," ")</f>
        <v xml:space="preserve"> </v>
      </c>
      <c r="R825" s="125" t="str">
        <f>IFERROR(VLOOKUP(C825,TD!$B$32:$F$36,4,0)," ")</f>
        <v xml:space="preserve"> </v>
      </c>
      <c r="S825" s="51"/>
      <c r="T825" s="125" t="str">
        <f>IFERROR(VLOOKUP(S825,TD!$J$33:$K$43,2,0)," ")</f>
        <v xml:space="preserve"> </v>
      </c>
      <c r="U825" s="127" t="str">
        <f>CONCATENATE(S825,"-",T825)</f>
        <v xml:space="preserve">- </v>
      </c>
      <c r="V825" s="51"/>
      <c r="W825" s="125" t="str">
        <f>IFERROR(VLOOKUP(V825,TD!$N$33:$O$45,2,0)," ")</f>
        <v xml:space="preserve"> </v>
      </c>
      <c r="X825" s="127" t="str">
        <f>CONCATENATE(V825,"_",W825)</f>
        <v xml:space="preserve">_ </v>
      </c>
      <c r="Y825" s="127" t="str">
        <f>CONCATENATE(U825," ",X825)</f>
        <v xml:space="preserve">-  _ </v>
      </c>
      <c r="Z825" s="125" t="str">
        <f>CONCATENATE(P825,Q825,R825,S825,V825)</f>
        <v xml:space="preserve">   </v>
      </c>
      <c r="AA825" s="125" t="str">
        <f>IFERROR(VLOOKUP(Y825,TD!$K$46:$L$64,2,0)," ")</f>
        <v xml:space="preserve"> </v>
      </c>
      <c r="AB825" s="53"/>
      <c r="AC825" s="126"/>
    </row>
    <row r="826" spans="2:29" s="28" customFormat="1" ht="74.25" customHeight="1" x14ac:dyDescent="0.35">
      <c r="B826" s="77"/>
      <c r="C826" s="50"/>
      <c r="D826" s="123"/>
      <c r="E826" s="51"/>
      <c r="F826" s="123"/>
      <c r="G826" s="123"/>
      <c r="H826" s="97"/>
      <c r="I826" s="124"/>
      <c r="J826" s="124"/>
      <c r="K826" s="52"/>
      <c r="L826" s="53"/>
      <c r="M826" s="123"/>
      <c r="N826" s="53"/>
      <c r="O826" s="51"/>
      <c r="P826" s="125" t="str">
        <f>IFERROR(VLOOKUP(C826,TD!$B$32:$F$36,2,0)," ")</f>
        <v xml:space="preserve"> </v>
      </c>
      <c r="Q826" s="125" t="str">
        <f>IFERROR(VLOOKUP(C826,TD!$B$32:$F$36,3,0)," ")</f>
        <v xml:space="preserve"> </v>
      </c>
      <c r="R826" s="125" t="str">
        <f>IFERROR(VLOOKUP(C826,TD!$B$32:$F$36,4,0)," ")</f>
        <v xml:space="preserve"> </v>
      </c>
      <c r="S826" s="51"/>
      <c r="T826" s="125" t="str">
        <f>IFERROR(VLOOKUP(S826,TD!$J$33:$K$43,2,0)," ")</f>
        <v xml:space="preserve"> </v>
      </c>
      <c r="U826" s="127" t="str">
        <f>CONCATENATE(S826,"-",T826)</f>
        <v xml:space="preserve">- </v>
      </c>
      <c r="V826" s="51"/>
      <c r="W826" s="125" t="str">
        <f>IFERROR(VLOOKUP(V826,TD!$N$33:$O$45,2,0)," ")</f>
        <v xml:space="preserve"> </v>
      </c>
      <c r="X826" s="127" t="str">
        <f>CONCATENATE(V826,"_",W826)</f>
        <v xml:space="preserve">_ </v>
      </c>
      <c r="Y826" s="127" t="str">
        <f>CONCATENATE(U826," ",X826)</f>
        <v xml:space="preserve">-  _ </v>
      </c>
      <c r="Z826" s="125" t="str">
        <f>CONCATENATE(P826,Q826,R826,S826,V826)</f>
        <v xml:space="preserve">   </v>
      </c>
      <c r="AA826" s="125" t="str">
        <f>IFERROR(VLOOKUP(Y826,TD!$K$46:$L$64,2,0)," ")</f>
        <v xml:space="preserve"> </v>
      </c>
      <c r="AB826" s="53"/>
      <c r="AC826" s="126"/>
    </row>
    <row r="827" spans="2:29" s="28" customFormat="1" ht="74.25" customHeight="1" x14ac:dyDescent="0.35">
      <c r="B827" s="77"/>
      <c r="C827" s="50"/>
      <c r="D827" s="123"/>
      <c r="E827" s="51"/>
      <c r="F827" s="123"/>
      <c r="G827" s="123"/>
      <c r="H827" s="97"/>
      <c r="I827" s="124"/>
      <c r="J827" s="124"/>
      <c r="K827" s="52"/>
      <c r="L827" s="53"/>
      <c r="M827" s="123"/>
      <c r="N827" s="53"/>
      <c r="O827" s="51"/>
      <c r="P827" s="125" t="str">
        <f>IFERROR(VLOOKUP(C827,TD!$B$32:$F$36,2,0)," ")</f>
        <v xml:space="preserve"> </v>
      </c>
      <c r="Q827" s="125" t="str">
        <f>IFERROR(VLOOKUP(C827,TD!$B$32:$F$36,3,0)," ")</f>
        <v xml:space="preserve"> </v>
      </c>
      <c r="R827" s="125" t="str">
        <f>IFERROR(VLOOKUP(C827,TD!$B$32:$F$36,4,0)," ")</f>
        <v xml:space="preserve"> </v>
      </c>
      <c r="S827" s="51"/>
      <c r="T827" s="125" t="str">
        <f>IFERROR(VLOOKUP(S827,TD!$J$33:$K$43,2,0)," ")</f>
        <v xml:space="preserve"> </v>
      </c>
      <c r="U827" s="127" t="str">
        <f>CONCATENATE(S827,"-",T827)</f>
        <v xml:space="preserve">- </v>
      </c>
      <c r="V827" s="51"/>
      <c r="W827" s="125" t="str">
        <f>IFERROR(VLOOKUP(V827,TD!$N$33:$O$45,2,0)," ")</f>
        <v xml:space="preserve"> </v>
      </c>
      <c r="X827" s="127" t="str">
        <f>CONCATENATE(V827,"_",W827)</f>
        <v xml:space="preserve">_ </v>
      </c>
      <c r="Y827" s="127" t="str">
        <f>CONCATENATE(U827," ",X827)</f>
        <v xml:space="preserve">-  _ </v>
      </c>
      <c r="Z827" s="125" t="str">
        <f>CONCATENATE(P827,Q827,R827,S827,V827)</f>
        <v xml:space="preserve">   </v>
      </c>
      <c r="AA827" s="125" t="str">
        <f>IFERROR(VLOOKUP(Y827,TD!$K$46:$L$64,2,0)," ")</f>
        <v xml:space="preserve"> </v>
      </c>
      <c r="AB827" s="53"/>
      <c r="AC827" s="126"/>
    </row>
    <row r="828" spans="2:29" s="28" customFormat="1" ht="74.25" customHeight="1" x14ac:dyDescent="0.35">
      <c r="B828" s="77"/>
      <c r="C828" s="50"/>
      <c r="D828" s="123"/>
      <c r="E828" s="51"/>
      <c r="F828" s="123"/>
      <c r="G828" s="123"/>
      <c r="H828" s="97"/>
      <c r="I828" s="124"/>
      <c r="J828" s="124"/>
      <c r="K828" s="52"/>
      <c r="L828" s="53"/>
      <c r="M828" s="123"/>
      <c r="N828" s="53"/>
      <c r="O828" s="51"/>
      <c r="P828" s="125" t="str">
        <f>IFERROR(VLOOKUP(C828,TD!$B$32:$F$36,2,0)," ")</f>
        <v xml:space="preserve"> </v>
      </c>
      <c r="Q828" s="125" t="str">
        <f>IFERROR(VLOOKUP(C828,TD!$B$32:$F$36,3,0)," ")</f>
        <v xml:space="preserve"> </v>
      </c>
      <c r="R828" s="125" t="str">
        <f>IFERROR(VLOOKUP(C828,TD!$B$32:$F$36,4,0)," ")</f>
        <v xml:space="preserve"> </v>
      </c>
      <c r="S828" s="51"/>
      <c r="T828" s="125" t="str">
        <f>IFERROR(VLOOKUP(S828,TD!$J$33:$K$43,2,0)," ")</f>
        <v xml:space="preserve"> </v>
      </c>
      <c r="U828" s="127" t="str">
        <f>CONCATENATE(S828,"-",T828)</f>
        <v xml:space="preserve">- </v>
      </c>
      <c r="V828" s="51"/>
      <c r="W828" s="125" t="str">
        <f>IFERROR(VLOOKUP(V828,TD!$N$33:$O$45,2,0)," ")</f>
        <v xml:space="preserve"> </v>
      </c>
      <c r="X828" s="127" t="str">
        <f>CONCATENATE(V828,"_",W828)</f>
        <v xml:space="preserve">_ </v>
      </c>
      <c r="Y828" s="127" t="str">
        <f>CONCATENATE(U828," ",X828)</f>
        <v xml:space="preserve">-  _ </v>
      </c>
      <c r="Z828" s="125" t="str">
        <f>CONCATENATE(P828,Q828,R828,S828,V828)</f>
        <v xml:space="preserve">   </v>
      </c>
      <c r="AA828" s="125" t="str">
        <f>IFERROR(VLOOKUP(Y828,TD!$K$46:$L$64,2,0)," ")</f>
        <v xml:space="preserve"> </v>
      </c>
      <c r="AB828" s="53"/>
      <c r="AC828" s="126"/>
    </row>
    <row r="829" spans="2:29" s="28" customFormat="1" ht="74.25" customHeight="1" x14ac:dyDescent="0.35">
      <c r="B829" s="77"/>
      <c r="C829" s="50"/>
      <c r="D829" s="123"/>
      <c r="E829" s="51"/>
      <c r="F829" s="123"/>
      <c r="G829" s="123"/>
      <c r="H829" s="97"/>
      <c r="I829" s="124"/>
      <c r="J829" s="124"/>
      <c r="K829" s="52"/>
      <c r="L829" s="53"/>
      <c r="M829" s="123"/>
      <c r="N829" s="53"/>
      <c r="O829" s="51"/>
      <c r="P829" s="125" t="str">
        <f>IFERROR(VLOOKUP(C829,TD!$B$32:$F$36,2,0)," ")</f>
        <v xml:space="preserve"> </v>
      </c>
      <c r="Q829" s="125" t="str">
        <f>IFERROR(VLOOKUP(C829,TD!$B$32:$F$36,3,0)," ")</f>
        <v xml:space="preserve"> </v>
      </c>
      <c r="R829" s="125" t="str">
        <f>IFERROR(VLOOKUP(C829,TD!$B$32:$F$36,4,0)," ")</f>
        <v xml:space="preserve"> </v>
      </c>
      <c r="S829" s="51"/>
      <c r="T829" s="125" t="str">
        <f>IFERROR(VLOOKUP(S829,TD!$J$33:$K$43,2,0)," ")</f>
        <v xml:space="preserve"> </v>
      </c>
      <c r="U829" s="127" t="str">
        <f>CONCATENATE(S829,"-",T829)</f>
        <v xml:space="preserve">- </v>
      </c>
      <c r="V829" s="51"/>
      <c r="W829" s="125" t="str">
        <f>IFERROR(VLOOKUP(V829,TD!$N$33:$O$45,2,0)," ")</f>
        <v xml:space="preserve"> </v>
      </c>
      <c r="X829" s="127" t="str">
        <f>CONCATENATE(V829,"_",W829)</f>
        <v xml:space="preserve">_ </v>
      </c>
      <c r="Y829" s="127" t="str">
        <f>CONCATENATE(U829," ",X829)</f>
        <v xml:space="preserve">-  _ </v>
      </c>
      <c r="Z829" s="125" t="str">
        <f>CONCATENATE(P829,Q829,R829,S829,V829)</f>
        <v xml:space="preserve">   </v>
      </c>
      <c r="AA829" s="125" t="str">
        <f>IFERROR(VLOOKUP(Y829,TD!$K$46:$L$64,2,0)," ")</f>
        <v xml:space="preserve"> </v>
      </c>
      <c r="AB829" s="53"/>
      <c r="AC829" s="126"/>
    </row>
    <row r="830" spans="2:29" s="28" customFormat="1" ht="74.25" customHeight="1" x14ac:dyDescent="0.35">
      <c r="B830" s="77"/>
      <c r="C830" s="50"/>
      <c r="D830" s="123"/>
      <c r="E830" s="51"/>
      <c r="F830" s="123"/>
      <c r="G830" s="123"/>
      <c r="H830" s="97"/>
      <c r="I830" s="124"/>
      <c r="J830" s="124"/>
      <c r="K830" s="52"/>
      <c r="L830" s="53"/>
      <c r="M830" s="123"/>
      <c r="N830" s="53"/>
      <c r="O830" s="51"/>
      <c r="P830" s="125" t="str">
        <f>IFERROR(VLOOKUP(C830,TD!$B$32:$F$36,2,0)," ")</f>
        <v xml:space="preserve"> </v>
      </c>
      <c r="Q830" s="125" t="str">
        <f>IFERROR(VLOOKUP(C830,TD!$B$32:$F$36,3,0)," ")</f>
        <v xml:space="preserve"> </v>
      </c>
      <c r="R830" s="125" t="str">
        <f>IFERROR(VLOOKUP(C830,TD!$B$32:$F$36,4,0)," ")</f>
        <v xml:space="preserve"> </v>
      </c>
      <c r="S830" s="51"/>
      <c r="T830" s="125" t="str">
        <f>IFERROR(VLOOKUP(S830,TD!$J$33:$K$43,2,0)," ")</f>
        <v xml:space="preserve"> </v>
      </c>
      <c r="U830" s="127" t="str">
        <f>CONCATENATE(S830,"-",T830)</f>
        <v xml:space="preserve">- </v>
      </c>
      <c r="V830" s="51"/>
      <c r="W830" s="125" t="str">
        <f>IFERROR(VLOOKUP(V830,TD!$N$33:$O$45,2,0)," ")</f>
        <v xml:space="preserve"> </v>
      </c>
      <c r="X830" s="127" t="str">
        <f>CONCATENATE(V830,"_",W830)</f>
        <v xml:space="preserve">_ </v>
      </c>
      <c r="Y830" s="127" t="str">
        <f>CONCATENATE(U830," ",X830)</f>
        <v xml:space="preserve">-  _ </v>
      </c>
      <c r="Z830" s="125" t="str">
        <f>CONCATENATE(P830,Q830,R830,S830,V830)</f>
        <v xml:space="preserve">   </v>
      </c>
      <c r="AA830" s="125" t="str">
        <f>IFERROR(VLOOKUP(Y830,TD!$K$46:$L$64,2,0)," ")</f>
        <v xml:space="preserve"> </v>
      </c>
      <c r="AB830" s="53"/>
      <c r="AC830" s="126"/>
    </row>
    <row r="831" spans="2:29" s="28" customFormat="1" ht="74.25" customHeight="1" x14ac:dyDescent="0.35">
      <c r="B831" s="77"/>
      <c r="C831" s="50"/>
      <c r="D831" s="123"/>
      <c r="E831" s="51"/>
      <c r="F831" s="123"/>
      <c r="G831" s="123"/>
      <c r="H831" s="97"/>
      <c r="I831" s="124"/>
      <c r="J831" s="124"/>
      <c r="K831" s="52"/>
      <c r="L831" s="53"/>
      <c r="M831" s="123"/>
      <c r="N831" s="53"/>
      <c r="O831" s="51"/>
      <c r="P831" s="125" t="str">
        <f>IFERROR(VLOOKUP(C831,TD!$B$32:$F$36,2,0)," ")</f>
        <v xml:space="preserve"> </v>
      </c>
      <c r="Q831" s="125" t="str">
        <f>IFERROR(VLOOKUP(C831,TD!$B$32:$F$36,3,0)," ")</f>
        <v xml:space="preserve"> </v>
      </c>
      <c r="R831" s="125" t="str">
        <f>IFERROR(VLOOKUP(C831,TD!$B$32:$F$36,4,0)," ")</f>
        <v xml:space="preserve"> </v>
      </c>
      <c r="S831" s="51"/>
      <c r="T831" s="125" t="str">
        <f>IFERROR(VLOOKUP(S831,TD!$J$33:$K$43,2,0)," ")</f>
        <v xml:space="preserve"> </v>
      </c>
      <c r="U831" s="127" t="str">
        <f>CONCATENATE(S831,"-",T831)</f>
        <v xml:space="preserve">- </v>
      </c>
      <c r="V831" s="51"/>
      <c r="W831" s="125" t="str">
        <f>IFERROR(VLOOKUP(V831,TD!$N$33:$O$45,2,0)," ")</f>
        <v xml:space="preserve"> </v>
      </c>
      <c r="X831" s="127" t="str">
        <f>CONCATENATE(V831,"_",W831)</f>
        <v xml:space="preserve">_ </v>
      </c>
      <c r="Y831" s="127" t="str">
        <f>CONCATENATE(U831," ",X831)</f>
        <v xml:space="preserve">-  _ </v>
      </c>
      <c r="Z831" s="125" t="str">
        <f>CONCATENATE(P831,Q831,R831,S831,V831)</f>
        <v xml:space="preserve">   </v>
      </c>
      <c r="AA831" s="125" t="str">
        <f>IFERROR(VLOOKUP(Y831,TD!$K$46:$L$64,2,0)," ")</f>
        <v xml:space="preserve"> </v>
      </c>
      <c r="AB831" s="53"/>
      <c r="AC831" s="126"/>
    </row>
    <row r="832" spans="2:29" s="28" customFormat="1" ht="74.25" customHeight="1" x14ac:dyDescent="0.35">
      <c r="B832" s="77"/>
      <c r="C832" s="50"/>
      <c r="D832" s="123"/>
      <c r="E832" s="51"/>
      <c r="F832" s="123"/>
      <c r="G832" s="123"/>
      <c r="H832" s="97"/>
      <c r="I832" s="124"/>
      <c r="J832" s="124"/>
      <c r="K832" s="52"/>
      <c r="L832" s="53"/>
      <c r="M832" s="123"/>
      <c r="N832" s="53"/>
      <c r="O832" s="51"/>
      <c r="P832" s="125" t="str">
        <f>IFERROR(VLOOKUP(C832,TD!$B$32:$F$36,2,0)," ")</f>
        <v xml:space="preserve"> </v>
      </c>
      <c r="Q832" s="125" t="str">
        <f>IFERROR(VLOOKUP(C832,TD!$B$32:$F$36,3,0)," ")</f>
        <v xml:space="preserve"> </v>
      </c>
      <c r="R832" s="125" t="str">
        <f>IFERROR(VLOOKUP(C832,TD!$B$32:$F$36,4,0)," ")</f>
        <v xml:space="preserve"> </v>
      </c>
      <c r="S832" s="51"/>
      <c r="T832" s="125" t="str">
        <f>IFERROR(VLOOKUP(S832,TD!$J$33:$K$43,2,0)," ")</f>
        <v xml:space="preserve"> </v>
      </c>
      <c r="U832" s="127" t="str">
        <f>CONCATENATE(S832,"-",T832)</f>
        <v xml:space="preserve">- </v>
      </c>
      <c r="V832" s="51"/>
      <c r="W832" s="125" t="str">
        <f>IFERROR(VLOOKUP(V832,TD!$N$33:$O$45,2,0)," ")</f>
        <v xml:space="preserve"> </v>
      </c>
      <c r="X832" s="127" t="str">
        <f>CONCATENATE(V832,"_",W832)</f>
        <v xml:space="preserve">_ </v>
      </c>
      <c r="Y832" s="127" t="str">
        <f>CONCATENATE(U832," ",X832)</f>
        <v xml:space="preserve">-  _ </v>
      </c>
      <c r="Z832" s="125" t="str">
        <f>CONCATENATE(P832,Q832,R832,S832,V832)</f>
        <v xml:space="preserve">   </v>
      </c>
      <c r="AA832" s="125" t="str">
        <f>IFERROR(VLOOKUP(Y832,TD!$K$46:$L$64,2,0)," ")</f>
        <v xml:space="preserve"> </v>
      </c>
      <c r="AB832" s="53"/>
      <c r="AC832" s="126"/>
    </row>
    <row r="833" spans="2:29" s="28" customFormat="1" ht="74.25" customHeight="1" x14ac:dyDescent="0.35">
      <c r="B833" s="77"/>
      <c r="C833" s="50"/>
      <c r="D833" s="123"/>
      <c r="E833" s="51"/>
      <c r="F833" s="123"/>
      <c r="G833" s="123"/>
      <c r="H833" s="97"/>
      <c r="I833" s="124"/>
      <c r="J833" s="124"/>
      <c r="K833" s="52"/>
      <c r="L833" s="53"/>
      <c r="M833" s="123"/>
      <c r="N833" s="53"/>
      <c r="O833" s="51"/>
      <c r="P833" s="125" t="str">
        <f>IFERROR(VLOOKUP(C833,TD!$B$32:$F$36,2,0)," ")</f>
        <v xml:space="preserve"> </v>
      </c>
      <c r="Q833" s="125" t="str">
        <f>IFERROR(VLOOKUP(C833,TD!$B$32:$F$36,3,0)," ")</f>
        <v xml:space="preserve"> </v>
      </c>
      <c r="R833" s="125" t="str">
        <f>IFERROR(VLOOKUP(C833,TD!$B$32:$F$36,4,0)," ")</f>
        <v xml:space="preserve"> </v>
      </c>
      <c r="S833" s="51"/>
      <c r="T833" s="125" t="str">
        <f>IFERROR(VLOOKUP(S833,TD!$J$33:$K$43,2,0)," ")</f>
        <v xml:space="preserve"> </v>
      </c>
      <c r="U833" s="127" t="str">
        <f>CONCATENATE(S833,"-",T833)</f>
        <v xml:space="preserve">- </v>
      </c>
      <c r="V833" s="51"/>
      <c r="W833" s="125" t="str">
        <f>IFERROR(VLOOKUP(V833,TD!$N$33:$O$45,2,0)," ")</f>
        <v xml:space="preserve"> </v>
      </c>
      <c r="X833" s="127" t="str">
        <f>CONCATENATE(V833,"_",W833)</f>
        <v xml:space="preserve">_ </v>
      </c>
      <c r="Y833" s="127" t="str">
        <f>CONCATENATE(U833," ",X833)</f>
        <v xml:space="preserve">-  _ </v>
      </c>
      <c r="Z833" s="125" t="str">
        <f>CONCATENATE(P833,Q833,R833,S833,V833)</f>
        <v xml:space="preserve">   </v>
      </c>
      <c r="AA833" s="125" t="str">
        <f>IFERROR(VLOOKUP(Y833,TD!$K$46:$L$64,2,0)," ")</f>
        <v xml:space="preserve"> </v>
      </c>
      <c r="AB833" s="53"/>
      <c r="AC833" s="126"/>
    </row>
    <row r="834" spans="2:29" s="28" customFormat="1" ht="74.25" customHeight="1" x14ac:dyDescent="0.35">
      <c r="B834" s="77"/>
      <c r="C834" s="50"/>
      <c r="D834" s="123"/>
      <c r="E834" s="51"/>
      <c r="F834" s="123"/>
      <c r="G834" s="123"/>
      <c r="H834" s="97"/>
      <c r="I834" s="124"/>
      <c r="J834" s="124"/>
      <c r="K834" s="52"/>
      <c r="L834" s="53"/>
      <c r="M834" s="123"/>
      <c r="N834" s="53"/>
      <c r="O834" s="51"/>
      <c r="P834" s="125" t="str">
        <f>IFERROR(VLOOKUP(C834,TD!$B$32:$F$36,2,0)," ")</f>
        <v xml:space="preserve"> </v>
      </c>
      <c r="Q834" s="125" t="str">
        <f>IFERROR(VLOOKUP(C834,TD!$B$32:$F$36,3,0)," ")</f>
        <v xml:space="preserve"> </v>
      </c>
      <c r="R834" s="125" t="str">
        <f>IFERROR(VLOOKUP(C834,TD!$B$32:$F$36,4,0)," ")</f>
        <v xml:space="preserve"> </v>
      </c>
      <c r="S834" s="51"/>
      <c r="T834" s="125" t="str">
        <f>IFERROR(VLOOKUP(S834,TD!$J$33:$K$43,2,0)," ")</f>
        <v xml:space="preserve"> </v>
      </c>
      <c r="U834" s="127" t="str">
        <f>CONCATENATE(S834,"-",T834)</f>
        <v xml:space="preserve">- </v>
      </c>
      <c r="V834" s="51"/>
      <c r="W834" s="125" t="str">
        <f>IFERROR(VLOOKUP(V834,TD!$N$33:$O$45,2,0)," ")</f>
        <v xml:space="preserve"> </v>
      </c>
      <c r="X834" s="127" t="str">
        <f>CONCATENATE(V834,"_",W834)</f>
        <v xml:space="preserve">_ </v>
      </c>
      <c r="Y834" s="127" t="str">
        <f>CONCATENATE(U834," ",X834)</f>
        <v xml:space="preserve">-  _ </v>
      </c>
      <c r="Z834" s="125" t="str">
        <f>CONCATENATE(P834,Q834,R834,S834,V834)</f>
        <v xml:space="preserve">   </v>
      </c>
      <c r="AA834" s="125" t="str">
        <f>IFERROR(VLOOKUP(Y834,TD!$K$46:$L$64,2,0)," ")</f>
        <v xml:space="preserve"> </v>
      </c>
      <c r="AB834" s="53"/>
      <c r="AC834" s="126"/>
    </row>
    <row r="835" spans="2:29" s="28" customFormat="1" ht="74.25" customHeight="1" x14ac:dyDescent="0.35">
      <c r="B835" s="77"/>
      <c r="C835" s="50"/>
      <c r="D835" s="123"/>
      <c r="E835" s="51"/>
      <c r="F835" s="123"/>
      <c r="G835" s="123"/>
      <c r="H835" s="97"/>
      <c r="I835" s="124"/>
      <c r="J835" s="124"/>
      <c r="K835" s="52"/>
      <c r="L835" s="53"/>
      <c r="M835" s="123"/>
      <c r="N835" s="53"/>
      <c r="O835" s="51"/>
      <c r="P835" s="125" t="str">
        <f>IFERROR(VLOOKUP(C835,TD!$B$32:$F$36,2,0)," ")</f>
        <v xml:space="preserve"> </v>
      </c>
      <c r="Q835" s="125" t="str">
        <f>IFERROR(VLOOKUP(C835,TD!$B$32:$F$36,3,0)," ")</f>
        <v xml:space="preserve"> </v>
      </c>
      <c r="R835" s="125" t="str">
        <f>IFERROR(VLOOKUP(C835,TD!$B$32:$F$36,4,0)," ")</f>
        <v xml:space="preserve"> </v>
      </c>
      <c r="S835" s="51"/>
      <c r="T835" s="125" t="str">
        <f>IFERROR(VLOOKUP(S835,TD!$J$33:$K$43,2,0)," ")</f>
        <v xml:space="preserve"> </v>
      </c>
      <c r="U835" s="127" t="str">
        <f>CONCATENATE(S835,"-",T835)</f>
        <v xml:space="preserve">- </v>
      </c>
      <c r="V835" s="51"/>
      <c r="W835" s="125" t="str">
        <f>IFERROR(VLOOKUP(V835,TD!$N$33:$O$45,2,0)," ")</f>
        <v xml:space="preserve"> </v>
      </c>
      <c r="X835" s="127" t="str">
        <f>CONCATENATE(V835,"_",W835)</f>
        <v xml:space="preserve">_ </v>
      </c>
      <c r="Y835" s="127" t="str">
        <f>CONCATENATE(U835," ",X835)</f>
        <v xml:space="preserve">-  _ </v>
      </c>
      <c r="Z835" s="125" t="str">
        <f>CONCATENATE(P835,Q835,R835,S835,V835)</f>
        <v xml:space="preserve">   </v>
      </c>
      <c r="AA835" s="125" t="str">
        <f>IFERROR(VLOOKUP(Y835,TD!$K$46:$L$64,2,0)," ")</f>
        <v xml:space="preserve"> </v>
      </c>
      <c r="AB835" s="53"/>
      <c r="AC835" s="126"/>
    </row>
    <row r="836" spans="2:29" s="28" customFormat="1" ht="74.25" customHeight="1" x14ac:dyDescent="0.35">
      <c r="B836" s="77"/>
      <c r="C836" s="50"/>
      <c r="D836" s="123"/>
      <c r="E836" s="51"/>
      <c r="F836" s="123"/>
      <c r="G836" s="123"/>
      <c r="H836" s="97"/>
      <c r="I836" s="124"/>
      <c r="J836" s="124"/>
      <c r="K836" s="52"/>
      <c r="L836" s="53"/>
      <c r="M836" s="123"/>
      <c r="N836" s="53"/>
      <c r="O836" s="51"/>
      <c r="P836" s="125" t="str">
        <f>IFERROR(VLOOKUP(C836,TD!$B$32:$F$36,2,0)," ")</f>
        <v xml:space="preserve"> </v>
      </c>
      <c r="Q836" s="125" t="str">
        <f>IFERROR(VLOOKUP(C836,TD!$B$32:$F$36,3,0)," ")</f>
        <v xml:space="preserve"> </v>
      </c>
      <c r="R836" s="125" t="str">
        <f>IFERROR(VLOOKUP(C836,TD!$B$32:$F$36,4,0)," ")</f>
        <v xml:space="preserve"> </v>
      </c>
      <c r="S836" s="51"/>
      <c r="T836" s="125" t="str">
        <f>IFERROR(VLOOKUP(S836,TD!$J$33:$K$43,2,0)," ")</f>
        <v xml:space="preserve"> </v>
      </c>
      <c r="U836" s="127" t="str">
        <f>CONCATENATE(S836,"-",T836)</f>
        <v xml:space="preserve">- </v>
      </c>
      <c r="V836" s="51"/>
      <c r="W836" s="125" t="str">
        <f>IFERROR(VLOOKUP(V836,TD!$N$33:$O$45,2,0)," ")</f>
        <v xml:space="preserve"> </v>
      </c>
      <c r="X836" s="127" t="str">
        <f>CONCATENATE(V836,"_",W836)</f>
        <v xml:space="preserve">_ </v>
      </c>
      <c r="Y836" s="127" t="str">
        <f>CONCATENATE(U836," ",X836)</f>
        <v xml:space="preserve">-  _ </v>
      </c>
      <c r="Z836" s="125" t="str">
        <f>CONCATENATE(P836,Q836,R836,S836,V836)</f>
        <v xml:space="preserve">   </v>
      </c>
      <c r="AA836" s="125" t="str">
        <f>IFERROR(VLOOKUP(Y836,TD!$K$46:$L$64,2,0)," ")</f>
        <v xml:space="preserve"> </v>
      </c>
      <c r="AB836" s="53"/>
      <c r="AC836" s="126"/>
    </row>
    <row r="837" spans="2:29" s="28" customFormat="1" ht="74.25" customHeight="1" x14ac:dyDescent="0.35">
      <c r="B837" s="77"/>
      <c r="C837" s="50"/>
      <c r="D837" s="123"/>
      <c r="E837" s="51"/>
      <c r="F837" s="123"/>
      <c r="G837" s="123"/>
      <c r="H837" s="97"/>
      <c r="I837" s="124"/>
      <c r="J837" s="124"/>
      <c r="K837" s="52"/>
      <c r="L837" s="53"/>
      <c r="M837" s="123"/>
      <c r="N837" s="53"/>
      <c r="O837" s="51"/>
      <c r="P837" s="125" t="str">
        <f>IFERROR(VLOOKUP(C837,TD!$B$32:$F$36,2,0)," ")</f>
        <v xml:space="preserve"> </v>
      </c>
      <c r="Q837" s="125" t="str">
        <f>IFERROR(VLOOKUP(C837,TD!$B$32:$F$36,3,0)," ")</f>
        <v xml:space="preserve"> </v>
      </c>
      <c r="R837" s="125" t="str">
        <f>IFERROR(VLOOKUP(C837,TD!$B$32:$F$36,4,0)," ")</f>
        <v xml:space="preserve"> </v>
      </c>
      <c r="S837" s="51"/>
      <c r="T837" s="125" t="str">
        <f>IFERROR(VLOOKUP(S837,TD!$J$33:$K$43,2,0)," ")</f>
        <v xml:space="preserve"> </v>
      </c>
      <c r="U837" s="127" t="str">
        <f>CONCATENATE(S837,"-",T837)</f>
        <v xml:space="preserve">- </v>
      </c>
      <c r="V837" s="51"/>
      <c r="W837" s="125" t="str">
        <f>IFERROR(VLOOKUP(V837,TD!$N$33:$O$45,2,0)," ")</f>
        <v xml:space="preserve"> </v>
      </c>
      <c r="X837" s="127" t="str">
        <f>CONCATENATE(V837,"_",W837)</f>
        <v xml:space="preserve">_ </v>
      </c>
      <c r="Y837" s="127" t="str">
        <f>CONCATENATE(U837," ",X837)</f>
        <v xml:space="preserve">-  _ </v>
      </c>
      <c r="Z837" s="125" t="str">
        <f>CONCATENATE(P837,Q837,R837,S837,V837)</f>
        <v xml:space="preserve">   </v>
      </c>
      <c r="AA837" s="125" t="str">
        <f>IFERROR(VLOOKUP(Y837,TD!$K$46:$L$64,2,0)," ")</f>
        <v xml:space="preserve"> </v>
      </c>
      <c r="AB837" s="53"/>
      <c r="AC837" s="126"/>
    </row>
    <row r="838" spans="2:29" s="28" customFormat="1" ht="74.25" customHeight="1" x14ac:dyDescent="0.35">
      <c r="B838" s="77"/>
      <c r="C838" s="50"/>
      <c r="D838" s="123"/>
      <c r="E838" s="51"/>
      <c r="F838" s="123"/>
      <c r="G838" s="123"/>
      <c r="H838" s="97"/>
      <c r="I838" s="124"/>
      <c r="J838" s="124"/>
      <c r="K838" s="52"/>
      <c r="L838" s="53"/>
      <c r="M838" s="123"/>
      <c r="N838" s="53"/>
      <c r="O838" s="51"/>
      <c r="P838" s="125" t="str">
        <f>IFERROR(VLOOKUP(C838,TD!$B$32:$F$36,2,0)," ")</f>
        <v xml:space="preserve"> </v>
      </c>
      <c r="Q838" s="125" t="str">
        <f>IFERROR(VLOOKUP(C838,TD!$B$32:$F$36,3,0)," ")</f>
        <v xml:space="preserve"> </v>
      </c>
      <c r="R838" s="125" t="str">
        <f>IFERROR(VLOOKUP(C838,TD!$B$32:$F$36,4,0)," ")</f>
        <v xml:space="preserve"> </v>
      </c>
      <c r="S838" s="51"/>
      <c r="T838" s="125" t="str">
        <f>IFERROR(VLOOKUP(S838,TD!$J$33:$K$43,2,0)," ")</f>
        <v xml:space="preserve"> </v>
      </c>
      <c r="U838" s="127" t="str">
        <f>CONCATENATE(S838,"-",T838)</f>
        <v xml:space="preserve">- </v>
      </c>
      <c r="V838" s="51"/>
      <c r="W838" s="125" t="str">
        <f>IFERROR(VLOOKUP(V838,TD!$N$33:$O$45,2,0)," ")</f>
        <v xml:space="preserve"> </v>
      </c>
      <c r="X838" s="127" t="str">
        <f>CONCATENATE(V838,"_",W838)</f>
        <v xml:space="preserve">_ </v>
      </c>
      <c r="Y838" s="127" t="str">
        <f>CONCATENATE(U838," ",X838)</f>
        <v xml:space="preserve">-  _ </v>
      </c>
      <c r="Z838" s="125" t="str">
        <f>CONCATENATE(P838,Q838,R838,S838,V838)</f>
        <v xml:space="preserve">   </v>
      </c>
      <c r="AA838" s="125" t="str">
        <f>IFERROR(VLOOKUP(Y838,TD!$K$46:$L$64,2,0)," ")</f>
        <v xml:space="preserve"> </v>
      </c>
      <c r="AB838" s="53"/>
      <c r="AC838" s="126"/>
    </row>
    <row r="839" spans="2:29" s="28" customFormat="1" ht="74.25" customHeight="1" x14ac:dyDescent="0.35">
      <c r="B839" s="77"/>
      <c r="C839" s="50"/>
      <c r="D839" s="123"/>
      <c r="E839" s="51"/>
      <c r="F839" s="123"/>
      <c r="G839" s="123"/>
      <c r="H839" s="97"/>
      <c r="I839" s="124"/>
      <c r="J839" s="124"/>
      <c r="K839" s="52"/>
      <c r="L839" s="53"/>
      <c r="M839" s="123"/>
      <c r="N839" s="53"/>
      <c r="O839" s="51"/>
      <c r="P839" s="125" t="str">
        <f>IFERROR(VLOOKUP(C839,TD!$B$32:$F$36,2,0)," ")</f>
        <v xml:space="preserve"> </v>
      </c>
      <c r="Q839" s="125" t="str">
        <f>IFERROR(VLOOKUP(C839,TD!$B$32:$F$36,3,0)," ")</f>
        <v xml:space="preserve"> </v>
      </c>
      <c r="R839" s="125" t="str">
        <f>IFERROR(VLOOKUP(C839,TD!$B$32:$F$36,4,0)," ")</f>
        <v xml:space="preserve"> </v>
      </c>
      <c r="S839" s="51"/>
      <c r="T839" s="125" t="str">
        <f>IFERROR(VLOOKUP(S839,TD!$J$33:$K$43,2,0)," ")</f>
        <v xml:space="preserve"> </v>
      </c>
      <c r="U839" s="127" t="str">
        <f>CONCATENATE(S839,"-",T839)</f>
        <v xml:space="preserve">- </v>
      </c>
      <c r="V839" s="51"/>
      <c r="W839" s="125" t="str">
        <f>IFERROR(VLOOKUP(V839,TD!$N$33:$O$45,2,0)," ")</f>
        <v xml:space="preserve"> </v>
      </c>
      <c r="X839" s="127" t="str">
        <f>CONCATENATE(V839,"_",W839)</f>
        <v xml:space="preserve">_ </v>
      </c>
      <c r="Y839" s="127" t="str">
        <f>CONCATENATE(U839," ",X839)</f>
        <v xml:space="preserve">-  _ </v>
      </c>
      <c r="Z839" s="125" t="str">
        <f>CONCATENATE(P839,Q839,R839,S839,V839)</f>
        <v xml:space="preserve">   </v>
      </c>
      <c r="AA839" s="125" t="str">
        <f>IFERROR(VLOOKUP(Y839,TD!$K$46:$L$64,2,0)," ")</f>
        <v xml:space="preserve"> </v>
      </c>
      <c r="AB839" s="53"/>
      <c r="AC839" s="126"/>
    </row>
    <row r="840" spans="2:29" s="28" customFormat="1" ht="74.25" customHeight="1" x14ac:dyDescent="0.35">
      <c r="B840" s="77"/>
      <c r="C840" s="50"/>
      <c r="D840" s="123"/>
      <c r="E840" s="51"/>
      <c r="F840" s="123"/>
      <c r="G840" s="123"/>
      <c r="H840" s="97"/>
      <c r="I840" s="124"/>
      <c r="J840" s="124"/>
      <c r="K840" s="52"/>
      <c r="L840" s="53"/>
      <c r="M840" s="123"/>
      <c r="N840" s="53"/>
      <c r="O840" s="51"/>
      <c r="P840" s="125" t="str">
        <f>IFERROR(VLOOKUP(C840,TD!$B$32:$F$36,2,0)," ")</f>
        <v xml:space="preserve"> </v>
      </c>
      <c r="Q840" s="125" t="str">
        <f>IFERROR(VLOOKUP(C840,TD!$B$32:$F$36,3,0)," ")</f>
        <v xml:space="preserve"> </v>
      </c>
      <c r="R840" s="125" t="str">
        <f>IFERROR(VLOOKUP(C840,TD!$B$32:$F$36,4,0)," ")</f>
        <v xml:space="preserve"> </v>
      </c>
      <c r="S840" s="51"/>
      <c r="T840" s="125" t="str">
        <f>IFERROR(VLOOKUP(S840,TD!$J$33:$K$43,2,0)," ")</f>
        <v xml:space="preserve"> </v>
      </c>
      <c r="U840" s="127" t="str">
        <f>CONCATENATE(S840,"-",T840)</f>
        <v xml:space="preserve">- </v>
      </c>
      <c r="V840" s="51"/>
      <c r="W840" s="125" t="str">
        <f>IFERROR(VLOOKUP(V840,TD!$N$33:$O$45,2,0)," ")</f>
        <v xml:space="preserve"> </v>
      </c>
      <c r="X840" s="127" t="str">
        <f>CONCATENATE(V840,"_",W840)</f>
        <v xml:space="preserve">_ </v>
      </c>
      <c r="Y840" s="127" t="str">
        <f>CONCATENATE(U840," ",X840)</f>
        <v xml:space="preserve">-  _ </v>
      </c>
      <c r="Z840" s="125" t="str">
        <f>CONCATENATE(P840,Q840,R840,S840,V840)</f>
        <v xml:space="preserve">   </v>
      </c>
      <c r="AA840" s="125" t="str">
        <f>IFERROR(VLOOKUP(Y840,TD!$K$46:$L$64,2,0)," ")</f>
        <v xml:space="preserve"> </v>
      </c>
      <c r="AB840" s="53"/>
      <c r="AC840" s="126"/>
    </row>
    <row r="841" spans="2:29" s="28" customFormat="1" ht="74.25" customHeight="1" x14ac:dyDescent="0.35">
      <c r="B841" s="77"/>
      <c r="C841" s="50"/>
      <c r="D841" s="123"/>
      <c r="E841" s="51"/>
      <c r="F841" s="123"/>
      <c r="G841" s="123"/>
      <c r="H841" s="97"/>
      <c r="I841" s="124"/>
      <c r="J841" s="124"/>
      <c r="K841" s="52"/>
      <c r="L841" s="53"/>
      <c r="M841" s="123"/>
      <c r="N841" s="53"/>
      <c r="O841" s="51"/>
      <c r="P841" s="125" t="str">
        <f>IFERROR(VLOOKUP(C841,TD!$B$32:$F$36,2,0)," ")</f>
        <v xml:space="preserve"> </v>
      </c>
      <c r="Q841" s="125" t="str">
        <f>IFERROR(VLOOKUP(C841,TD!$B$32:$F$36,3,0)," ")</f>
        <v xml:space="preserve"> </v>
      </c>
      <c r="R841" s="125" t="str">
        <f>IFERROR(VLOOKUP(C841,TD!$B$32:$F$36,4,0)," ")</f>
        <v xml:space="preserve"> </v>
      </c>
      <c r="S841" s="51"/>
      <c r="T841" s="125" t="str">
        <f>IFERROR(VLOOKUP(S841,TD!$J$33:$K$43,2,0)," ")</f>
        <v xml:space="preserve"> </v>
      </c>
      <c r="U841" s="127" t="str">
        <f>CONCATENATE(S841,"-",T841)</f>
        <v xml:space="preserve">- </v>
      </c>
      <c r="V841" s="51"/>
      <c r="W841" s="125" t="str">
        <f>IFERROR(VLOOKUP(V841,TD!$N$33:$O$45,2,0)," ")</f>
        <v xml:space="preserve"> </v>
      </c>
      <c r="X841" s="127" t="str">
        <f>CONCATENATE(V841,"_",W841)</f>
        <v xml:space="preserve">_ </v>
      </c>
      <c r="Y841" s="127" t="str">
        <f>CONCATENATE(U841," ",X841)</f>
        <v xml:space="preserve">-  _ </v>
      </c>
      <c r="Z841" s="125" t="str">
        <f>CONCATENATE(P841,Q841,R841,S841,V841)</f>
        <v xml:space="preserve">   </v>
      </c>
      <c r="AA841" s="125" t="str">
        <f>IFERROR(VLOOKUP(Y841,TD!$K$46:$L$64,2,0)," ")</f>
        <v xml:space="preserve"> </v>
      </c>
      <c r="AB841" s="53"/>
      <c r="AC841" s="126"/>
    </row>
    <row r="842" spans="2:29" s="28" customFormat="1" ht="74.25" customHeight="1" x14ac:dyDescent="0.35">
      <c r="B842" s="77"/>
      <c r="C842" s="50"/>
      <c r="D842" s="123"/>
      <c r="E842" s="51"/>
      <c r="F842" s="123"/>
      <c r="G842" s="123"/>
      <c r="H842" s="97"/>
      <c r="I842" s="124"/>
      <c r="J842" s="124"/>
      <c r="K842" s="52"/>
      <c r="L842" s="53"/>
      <c r="M842" s="123"/>
      <c r="N842" s="53"/>
      <c r="O842" s="51"/>
      <c r="P842" s="125" t="str">
        <f>IFERROR(VLOOKUP(C842,TD!$B$32:$F$36,2,0)," ")</f>
        <v xml:space="preserve"> </v>
      </c>
      <c r="Q842" s="125" t="str">
        <f>IFERROR(VLOOKUP(C842,TD!$B$32:$F$36,3,0)," ")</f>
        <v xml:space="preserve"> </v>
      </c>
      <c r="R842" s="125" t="str">
        <f>IFERROR(VLOOKUP(C842,TD!$B$32:$F$36,4,0)," ")</f>
        <v xml:space="preserve"> </v>
      </c>
      <c r="S842" s="51"/>
      <c r="T842" s="125" t="str">
        <f>IFERROR(VLOOKUP(S842,TD!$J$33:$K$43,2,0)," ")</f>
        <v xml:space="preserve"> </v>
      </c>
      <c r="U842" s="127" t="str">
        <f>CONCATENATE(S842,"-",T842)</f>
        <v xml:space="preserve">- </v>
      </c>
      <c r="V842" s="51"/>
      <c r="W842" s="125" t="str">
        <f>IFERROR(VLOOKUP(V842,TD!$N$33:$O$45,2,0)," ")</f>
        <v xml:space="preserve"> </v>
      </c>
      <c r="X842" s="127" t="str">
        <f>CONCATENATE(V842,"_",W842)</f>
        <v xml:space="preserve">_ </v>
      </c>
      <c r="Y842" s="127" t="str">
        <f>CONCATENATE(U842," ",X842)</f>
        <v xml:space="preserve">-  _ </v>
      </c>
      <c r="Z842" s="125" t="str">
        <f>CONCATENATE(P842,Q842,R842,S842,V842)</f>
        <v xml:space="preserve">   </v>
      </c>
      <c r="AA842" s="125" t="str">
        <f>IFERROR(VLOOKUP(Y842,TD!$K$46:$L$64,2,0)," ")</f>
        <v xml:space="preserve"> </v>
      </c>
      <c r="AB842" s="53"/>
      <c r="AC842" s="126"/>
    </row>
    <row r="843" spans="2:29" s="28" customFormat="1" ht="74.25" customHeight="1" x14ac:dyDescent="0.35">
      <c r="B843" s="77"/>
      <c r="C843" s="50"/>
      <c r="D843" s="123"/>
      <c r="E843" s="51"/>
      <c r="F843" s="123"/>
      <c r="G843" s="123"/>
      <c r="H843" s="97"/>
      <c r="I843" s="124"/>
      <c r="J843" s="124"/>
      <c r="K843" s="52"/>
      <c r="L843" s="53"/>
      <c r="M843" s="123"/>
      <c r="N843" s="53"/>
      <c r="O843" s="51"/>
      <c r="P843" s="125" t="str">
        <f>IFERROR(VLOOKUP(C843,TD!$B$32:$F$36,2,0)," ")</f>
        <v xml:space="preserve"> </v>
      </c>
      <c r="Q843" s="125" t="str">
        <f>IFERROR(VLOOKUP(C843,TD!$B$32:$F$36,3,0)," ")</f>
        <v xml:space="preserve"> </v>
      </c>
      <c r="R843" s="125" t="str">
        <f>IFERROR(VLOOKUP(C843,TD!$B$32:$F$36,4,0)," ")</f>
        <v xml:space="preserve"> </v>
      </c>
      <c r="S843" s="51"/>
      <c r="T843" s="125" t="str">
        <f>IFERROR(VLOOKUP(S843,TD!$J$33:$K$43,2,0)," ")</f>
        <v xml:space="preserve"> </v>
      </c>
      <c r="U843" s="127" t="str">
        <f>CONCATENATE(S843,"-",T843)</f>
        <v xml:space="preserve">- </v>
      </c>
      <c r="V843" s="51"/>
      <c r="W843" s="125" t="str">
        <f>IFERROR(VLOOKUP(V843,TD!$N$33:$O$45,2,0)," ")</f>
        <v xml:space="preserve"> </v>
      </c>
      <c r="X843" s="127" t="str">
        <f>CONCATENATE(V843,"_",W843)</f>
        <v xml:space="preserve">_ </v>
      </c>
      <c r="Y843" s="127" t="str">
        <f>CONCATENATE(U843," ",X843)</f>
        <v xml:space="preserve">-  _ </v>
      </c>
      <c r="Z843" s="125" t="str">
        <f>CONCATENATE(P843,Q843,R843,S843,V843)</f>
        <v xml:space="preserve">   </v>
      </c>
      <c r="AA843" s="125" t="str">
        <f>IFERROR(VLOOKUP(Y843,TD!$K$46:$L$64,2,0)," ")</f>
        <v xml:space="preserve"> </v>
      </c>
      <c r="AB843" s="53"/>
      <c r="AC843" s="126"/>
    </row>
    <row r="844" spans="2:29" s="28" customFormat="1" ht="74.25" customHeight="1" x14ac:dyDescent="0.35">
      <c r="B844" s="77"/>
      <c r="C844" s="50"/>
      <c r="D844" s="123"/>
      <c r="E844" s="51"/>
      <c r="F844" s="123"/>
      <c r="G844" s="123"/>
      <c r="H844" s="97"/>
      <c r="I844" s="124"/>
      <c r="J844" s="124"/>
      <c r="K844" s="52"/>
      <c r="L844" s="53"/>
      <c r="M844" s="123"/>
      <c r="N844" s="53"/>
      <c r="O844" s="51"/>
      <c r="P844" s="125" t="str">
        <f>IFERROR(VLOOKUP(C844,TD!$B$32:$F$36,2,0)," ")</f>
        <v xml:space="preserve"> </v>
      </c>
      <c r="Q844" s="125" t="str">
        <f>IFERROR(VLOOKUP(C844,TD!$B$32:$F$36,3,0)," ")</f>
        <v xml:space="preserve"> </v>
      </c>
      <c r="R844" s="125" t="str">
        <f>IFERROR(VLOOKUP(C844,TD!$B$32:$F$36,4,0)," ")</f>
        <v xml:space="preserve"> </v>
      </c>
      <c r="S844" s="51"/>
      <c r="T844" s="125" t="str">
        <f>IFERROR(VLOOKUP(S844,TD!$J$33:$K$43,2,0)," ")</f>
        <v xml:space="preserve"> </v>
      </c>
      <c r="U844" s="127" t="str">
        <f>CONCATENATE(S844,"-",T844)</f>
        <v xml:space="preserve">- </v>
      </c>
      <c r="V844" s="51"/>
      <c r="W844" s="125" t="str">
        <f>IFERROR(VLOOKUP(V844,TD!$N$33:$O$45,2,0)," ")</f>
        <v xml:space="preserve"> </v>
      </c>
      <c r="X844" s="127" t="str">
        <f>CONCATENATE(V844,"_",W844)</f>
        <v xml:space="preserve">_ </v>
      </c>
      <c r="Y844" s="127" t="str">
        <f>CONCATENATE(U844," ",X844)</f>
        <v xml:space="preserve">-  _ </v>
      </c>
      <c r="Z844" s="125" t="str">
        <f>CONCATENATE(P844,Q844,R844,S844,V844)</f>
        <v xml:space="preserve">   </v>
      </c>
      <c r="AA844" s="125" t="str">
        <f>IFERROR(VLOOKUP(Y844,TD!$K$46:$L$64,2,0)," ")</f>
        <v xml:space="preserve"> </v>
      </c>
      <c r="AB844" s="53"/>
      <c r="AC844" s="126"/>
    </row>
    <row r="845" spans="2:29" s="28" customFormat="1" ht="74.25" customHeight="1" x14ac:dyDescent="0.35">
      <c r="B845" s="77"/>
      <c r="C845" s="50"/>
      <c r="D845" s="123"/>
      <c r="E845" s="51"/>
      <c r="F845" s="123"/>
      <c r="G845" s="123"/>
      <c r="H845" s="97"/>
      <c r="I845" s="124"/>
      <c r="J845" s="124"/>
      <c r="K845" s="52"/>
      <c r="L845" s="53"/>
      <c r="M845" s="123"/>
      <c r="N845" s="53"/>
      <c r="O845" s="51"/>
      <c r="P845" s="125" t="str">
        <f>IFERROR(VLOOKUP(C845,TD!$B$32:$F$36,2,0)," ")</f>
        <v xml:space="preserve"> </v>
      </c>
      <c r="Q845" s="125" t="str">
        <f>IFERROR(VLOOKUP(C845,TD!$B$32:$F$36,3,0)," ")</f>
        <v xml:space="preserve"> </v>
      </c>
      <c r="R845" s="125" t="str">
        <f>IFERROR(VLOOKUP(C845,TD!$B$32:$F$36,4,0)," ")</f>
        <v xml:space="preserve"> </v>
      </c>
      <c r="S845" s="51"/>
      <c r="T845" s="125" t="str">
        <f>IFERROR(VLOOKUP(S845,TD!$J$33:$K$43,2,0)," ")</f>
        <v xml:space="preserve"> </v>
      </c>
      <c r="U845" s="127" t="str">
        <f>CONCATENATE(S845,"-",T845)</f>
        <v xml:space="preserve">- </v>
      </c>
      <c r="V845" s="51"/>
      <c r="W845" s="125" t="str">
        <f>IFERROR(VLOOKUP(V845,TD!$N$33:$O$45,2,0)," ")</f>
        <v xml:space="preserve"> </v>
      </c>
      <c r="X845" s="127" t="str">
        <f>CONCATENATE(V845,"_",W845)</f>
        <v xml:space="preserve">_ </v>
      </c>
      <c r="Y845" s="127" t="str">
        <f>CONCATENATE(U845," ",X845)</f>
        <v xml:space="preserve">-  _ </v>
      </c>
      <c r="Z845" s="125" t="str">
        <f>CONCATENATE(P845,Q845,R845,S845,V845)</f>
        <v xml:space="preserve">   </v>
      </c>
      <c r="AA845" s="125" t="str">
        <f>IFERROR(VLOOKUP(Y845,TD!$K$46:$L$64,2,0)," ")</f>
        <v xml:space="preserve"> </v>
      </c>
      <c r="AB845" s="53"/>
      <c r="AC845" s="126"/>
    </row>
    <row r="846" spans="2:29" s="28" customFormat="1" ht="74.25" customHeight="1" x14ac:dyDescent="0.35">
      <c r="B846" s="77"/>
      <c r="C846" s="50"/>
      <c r="D846" s="123"/>
      <c r="E846" s="51"/>
      <c r="F846" s="123"/>
      <c r="G846" s="123"/>
      <c r="H846" s="97"/>
      <c r="I846" s="124"/>
      <c r="J846" s="124"/>
      <c r="K846" s="52"/>
      <c r="L846" s="53"/>
      <c r="M846" s="123"/>
      <c r="N846" s="53"/>
      <c r="O846" s="51"/>
      <c r="P846" s="125" t="str">
        <f>IFERROR(VLOOKUP(C846,TD!$B$32:$F$36,2,0)," ")</f>
        <v xml:space="preserve"> </v>
      </c>
      <c r="Q846" s="125" t="str">
        <f>IFERROR(VLOOKUP(C846,TD!$B$32:$F$36,3,0)," ")</f>
        <v xml:space="preserve"> </v>
      </c>
      <c r="R846" s="125" t="str">
        <f>IFERROR(VLOOKUP(C846,TD!$B$32:$F$36,4,0)," ")</f>
        <v xml:space="preserve"> </v>
      </c>
      <c r="S846" s="51"/>
      <c r="T846" s="125" t="str">
        <f>IFERROR(VLOOKUP(S846,TD!$J$33:$K$43,2,0)," ")</f>
        <v xml:space="preserve"> </v>
      </c>
      <c r="U846" s="127" t="str">
        <f>CONCATENATE(S846,"-",T846)</f>
        <v xml:space="preserve">- </v>
      </c>
      <c r="V846" s="51"/>
      <c r="W846" s="125" t="str">
        <f>IFERROR(VLOOKUP(V846,TD!$N$33:$O$45,2,0)," ")</f>
        <v xml:space="preserve"> </v>
      </c>
      <c r="X846" s="127" t="str">
        <f>CONCATENATE(V846,"_",W846)</f>
        <v xml:space="preserve">_ </v>
      </c>
      <c r="Y846" s="127" t="str">
        <f>CONCATENATE(U846," ",X846)</f>
        <v xml:space="preserve">-  _ </v>
      </c>
      <c r="Z846" s="125" t="str">
        <f>CONCATENATE(P846,Q846,R846,S846,V846)</f>
        <v xml:space="preserve">   </v>
      </c>
      <c r="AA846" s="125" t="str">
        <f>IFERROR(VLOOKUP(Y846,TD!$K$46:$L$64,2,0)," ")</f>
        <v xml:space="preserve"> </v>
      </c>
      <c r="AB846" s="53"/>
      <c r="AC846" s="126"/>
    </row>
    <row r="847" spans="2:29" s="28" customFormat="1" ht="74.25" customHeight="1" x14ac:dyDescent="0.35">
      <c r="B847" s="77"/>
      <c r="C847" s="50"/>
      <c r="D847" s="123"/>
      <c r="E847" s="51"/>
      <c r="F847" s="123"/>
      <c r="G847" s="123"/>
      <c r="H847" s="97"/>
      <c r="I847" s="124"/>
      <c r="J847" s="124"/>
      <c r="K847" s="52"/>
      <c r="L847" s="53"/>
      <c r="M847" s="123"/>
      <c r="N847" s="53"/>
      <c r="O847" s="51"/>
      <c r="P847" s="125" t="str">
        <f>IFERROR(VLOOKUP(C847,TD!$B$32:$F$36,2,0)," ")</f>
        <v xml:space="preserve"> </v>
      </c>
      <c r="Q847" s="125" t="str">
        <f>IFERROR(VLOOKUP(C847,TD!$B$32:$F$36,3,0)," ")</f>
        <v xml:space="preserve"> </v>
      </c>
      <c r="R847" s="125" t="str">
        <f>IFERROR(VLOOKUP(C847,TD!$B$32:$F$36,4,0)," ")</f>
        <v xml:space="preserve"> </v>
      </c>
      <c r="S847" s="51"/>
      <c r="T847" s="125" t="str">
        <f>IFERROR(VLOOKUP(S847,TD!$J$33:$K$43,2,0)," ")</f>
        <v xml:space="preserve"> </v>
      </c>
      <c r="U847" s="127" t="str">
        <f>CONCATENATE(S847,"-",T847)</f>
        <v xml:space="preserve">- </v>
      </c>
      <c r="V847" s="51"/>
      <c r="W847" s="125" t="str">
        <f>IFERROR(VLOOKUP(V847,TD!$N$33:$O$45,2,0)," ")</f>
        <v xml:space="preserve"> </v>
      </c>
      <c r="X847" s="127" t="str">
        <f>CONCATENATE(V847,"_",W847)</f>
        <v xml:space="preserve">_ </v>
      </c>
      <c r="Y847" s="127" t="str">
        <f>CONCATENATE(U847," ",X847)</f>
        <v xml:space="preserve">-  _ </v>
      </c>
      <c r="Z847" s="125" t="str">
        <f>CONCATENATE(P847,Q847,R847,S847,V847)</f>
        <v xml:space="preserve">   </v>
      </c>
      <c r="AA847" s="125" t="str">
        <f>IFERROR(VLOOKUP(Y847,TD!$K$46:$L$64,2,0)," ")</f>
        <v xml:space="preserve"> </v>
      </c>
      <c r="AB847" s="53"/>
      <c r="AC847" s="126"/>
    </row>
    <row r="848" spans="2:29" s="28" customFormat="1" ht="74.25" customHeight="1" x14ac:dyDescent="0.35">
      <c r="B848" s="77"/>
      <c r="C848" s="50"/>
      <c r="D848" s="123"/>
      <c r="E848" s="51"/>
      <c r="F848" s="123"/>
      <c r="G848" s="123"/>
      <c r="H848" s="97"/>
      <c r="I848" s="124"/>
      <c r="J848" s="124"/>
      <c r="K848" s="52"/>
      <c r="L848" s="53"/>
      <c r="M848" s="123"/>
      <c r="N848" s="53"/>
      <c r="O848" s="51"/>
      <c r="P848" s="125" t="str">
        <f>IFERROR(VLOOKUP(C848,TD!$B$32:$F$36,2,0)," ")</f>
        <v xml:space="preserve"> </v>
      </c>
      <c r="Q848" s="125" t="str">
        <f>IFERROR(VLOOKUP(C848,TD!$B$32:$F$36,3,0)," ")</f>
        <v xml:space="preserve"> </v>
      </c>
      <c r="R848" s="125" t="str">
        <f>IFERROR(VLOOKUP(C848,TD!$B$32:$F$36,4,0)," ")</f>
        <v xml:space="preserve"> </v>
      </c>
      <c r="S848" s="51"/>
      <c r="T848" s="125" t="str">
        <f>IFERROR(VLOOKUP(S848,TD!$J$33:$K$43,2,0)," ")</f>
        <v xml:space="preserve"> </v>
      </c>
      <c r="U848" s="127" t="str">
        <f>CONCATENATE(S848,"-",T848)</f>
        <v xml:space="preserve">- </v>
      </c>
      <c r="V848" s="51"/>
      <c r="W848" s="125" t="str">
        <f>IFERROR(VLOOKUP(V848,TD!$N$33:$O$45,2,0)," ")</f>
        <v xml:space="preserve"> </v>
      </c>
      <c r="X848" s="127" t="str">
        <f>CONCATENATE(V848,"_",W848)</f>
        <v xml:space="preserve">_ </v>
      </c>
      <c r="Y848" s="127" t="str">
        <f>CONCATENATE(U848," ",X848)</f>
        <v xml:space="preserve">-  _ </v>
      </c>
      <c r="Z848" s="125" t="str">
        <f>CONCATENATE(P848,Q848,R848,S848,V848)</f>
        <v xml:space="preserve">   </v>
      </c>
      <c r="AA848" s="125" t="str">
        <f>IFERROR(VLOOKUP(Y848,TD!$K$46:$L$64,2,0)," ")</f>
        <v xml:space="preserve"> </v>
      </c>
      <c r="AB848" s="53"/>
      <c r="AC848" s="126"/>
    </row>
    <row r="849" spans="2:29" s="28" customFormat="1" ht="74.25" customHeight="1" x14ac:dyDescent="0.35">
      <c r="B849" s="77"/>
      <c r="C849" s="50"/>
      <c r="D849" s="123"/>
      <c r="E849" s="51"/>
      <c r="F849" s="123"/>
      <c r="G849" s="123"/>
      <c r="H849" s="97"/>
      <c r="I849" s="124"/>
      <c r="J849" s="124"/>
      <c r="K849" s="52"/>
      <c r="L849" s="53"/>
      <c r="M849" s="123"/>
      <c r="N849" s="53"/>
      <c r="O849" s="51"/>
      <c r="P849" s="125" t="str">
        <f>IFERROR(VLOOKUP(C849,TD!$B$32:$F$36,2,0)," ")</f>
        <v xml:space="preserve"> </v>
      </c>
      <c r="Q849" s="125" t="str">
        <f>IFERROR(VLOOKUP(C849,TD!$B$32:$F$36,3,0)," ")</f>
        <v xml:space="preserve"> </v>
      </c>
      <c r="R849" s="125" t="str">
        <f>IFERROR(VLOOKUP(C849,TD!$B$32:$F$36,4,0)," ")</f>
        <v xml:space="preserve"> </v>
      </c>
      <c r="S849" s="51"/>
      <c r="T849" s="125" t="str">
        <f>IFERROR(VLOOKUP(S849,TD!$J$33:$K$43,2,0)," ")</f>
        <v xml:space="preserve"> </v>
      </c>
      <c r="U849" s="127" t="str">
        <f>CONCATENATE(S849,"-",T849)</f>
        <v xml:space="preserve">- </v>
      </c>
      <c r="V849" s="51"/>
      <c r="W849" s="125" t="str">
        <f>IFERROR(VLOOKUP(V849,TD!$N$33:$O$45,2,0)," ")</f>
        <v xml:space="preserve"> </v>
      </c>
      <c r="X849" s="127" t="str">
        <f>CONCATENATE(V849,"_",W849)</f>
        <v xml:space="preserve">_ </v>
      </c>
      <c r="Y849" s="127" t="str">
        <f>CONCATENATE(U849," ",X849)</f>
        <v xml:space="preserve">-  _ </v>
      </c>
      <c r="Z849" s="125" t="str">
        <f>CONCATENATE(P849,Q849,R849,S849,V849)</f>
        <v xml:space="preserve">   </v>
      </c>
      <c r="AA849" s="125" t="str">
        <f>IFERROR(VLOOKUP(Y849,TD!$K$46:$L$64,2,0)," ")</f>
        <v xml:space="preserve"> </v>
      </c>
      <c r="AB849" s="53"/>
      <c r="AC849" s="126"/>
    </row>
    <row r="850" spans="2:29" s="28" customFormat="1" ht="74.25" customHeight="1" x14ac:dyDescent="0.35">
      <c r="B850" s="77"/>
      <c r="C850" s="50"/>
      <c r="D850" s="123"/>
      <c r="E850" s="51"/>
      <c r="F850" s="123"/>
      <c r="G850" s="123"/>
      <c r="H850" s="97"/>
      <c r="I850" s="124"/>
      <c r="J850" s="124"/>
      <c r="K850" s="52"/>
      <c r="L850" s="53"/>
      <c r="M850" s="123"/>
      <c r="N850" s="53"/>
      <c r="O850" s="51"/>
      <c r="P850" s="125" t="str">
        <f>IFERROR(VLOOKUP(C850,TD!$B$32:$F$36,2,0)," ")</f>
        <v xml:space="preserve"> </v>
      </c>
      <c r="Q850" s="125" t="str">
        <f>IFERROR(VLOOKUP(C850,TD!$B$32:$F$36,3,0)," ")</f>
        <v xml:space="preserve"> </v>
      </c>
      <c r="R850" s="125" t="str">
        <f>IFERROR(VLOOKUP(C850,TD!$B$32:$F$36,4,0)," ")</f>
        <v xml:space="preserve"> </v>
      </c>
      <c r="S850" s="51"/>
      <c r="T850" s="125" t="str">
        <f>IFERROR(VLOOKUP(S850,TD!$J$33:$K$43,2,0)," ")</f>
        <v xml:space="preserve"> </v>
      </c>
      <c r="U850" s="127" t="str">
        <f>CONCATENATE(S850,"-",T850)</f>
        <v xml:space="preserve">- </v>
      </c>
      <c r="V850" s="51"/>
      <c r="W850" s="125" t="str">
        <f>IFERROR(VLOOKUP(V850,TD!$N$33:$O$45,2,0)," ")</f>
        <v xml:space="preserve"> </v>
      </c>
      <c r="X850" s="127" t="str">
        <f>CONCATENATE(V850,"_",W850)</f>
        <v xml:space="preserve">_ </v>
      </c>
      <c r="Y850" s="127" t="str">
        <f>CONCATENATE(U850," ",X850)</f>
        <v xml:space="preserve">-  _ </v>
      </c>
      <c r="Z850" s="125" t="str">
        <f>CONCATENATE(P850,Q850,R850,S850,V850)</f>
        <v xml:space="preserve">   </v>
      </c>
      <c r="AA850" s="125" t="str">
        <f>IFERROR(VLOOKUP(Y850,TD!$K$46:$L$64,2,0)," ")</f>
        <v xml:space="preserve"> </v>
      </c>
      <c r="AB850" s="53"/>
      <c r="AC850" s="126"/>
    </row>
    <row r="851" spans="2:29" s="28" customFormat="1" ht="74.25" customHeight="1" x14ac:dyDescent="0.35">
      <c r="B851" s="77"/>
      <c r="C851" s="50"/>
      <c r="D851" s="123"/>
      <c r="E851" s="51"/>
      <c r="F851" s="123"/>
      <c r="G851" s="123"/>
      <c r="H851" s="97"/>
      <c r="I851" s="124"/>
      <c r="J851" s="124"/>
      <c r="K851" s="52"/>
      <c r="L851" s="53"/>
      <c r="M851" s="123"/>
      <c r="N851" s="53"/>
      <c r="O851" s="51"/>
      <c r="P851" s="125" t="str">
        <f>IFERROR(VLOOKUP(C851,TD!$B$32:$F$36,2,0)," ")</f>
        <v xml:space="preserve"> </v>
      </c>
      <c r="Q851" s="125" t="str">
        <f>IFERROR(VLOOKUP(C851,TD!$B$32:$F$36,3,0)," ")</f>
        <v xml:space="preserve"> </v>
      </c>
      <c r="R851" s="125" t="str">
        <f>IFERROR(VLOOKUP(C851,TD!$B$32:$F$36,4,0)," ")</f>
        <v xml:space="preserve"> </v>
      </c>
      <c r="S851" s="51"/>
      <c r="T851" s="125" t="str">
        <f>IFERROR(VLOOKUP(S851,TD!$J$33:$K$43,2,0)," ")</f>
        <v xml:space="preserve"> </v>
      </c>
      <c r="U851" s="127" t="str">
        <f>CONCATENATE(S851,"-",T851)</f>
        <v xml:space="preserve">- </v>
      </c>
      <c r="V851" s="51"/>
      <c r="W851" s="125" t="str">
        <f>IFERROR(VLOOKUP(V851,TD!$N$33:$O$45,2,0)," ")</f>
        <v xml:space="preserve"> </v>
      </c>
      <c r="X851" s="127" t="str">
        <f>CONCATENATE(V851,"_",W851)</f>
        <v xml:space="preserve">_ </v>
      </c>
      <c r="Y851" s="127" t="str">
        <f>CONCATENATE(U851," ",X851)</f>
        <v xml:space="preserve">-  _ </v>
      </c>
      <c r="Z851" s="125" t="str">
        <f>CONCATENATE(P851,Q851,R851,S851,V851)</f>
        <v xml:space="preserve">   </v>
      </c>
      <c r="AA851" s="125" t="str">
        <f>IFERROR(VLOOKUP(Y851,TD!$K$46:$L$64,2,0)," ")</f>
        <v xml:space="preserve"> </v>
      </c>
      <c r="AB851" s="53"/>
      <c r="AC851" s="126"/>
    </row>
    <row r="852" spans="2:29" s="28" customFormat="1" ht="74.25" customHeight="1" x14ac:dyDescent="0.35">
      <c r="B852" s="77"/>
      <c r="C852" s="50"/>
      <c r="D852" s="123"/>
      <c r="E852" s="51"/>
      <c r="F852" s="123"/>
      <c r="G852" s="123"/>
      <c r="H852" s="97"/>
      <c r="I852" s="124"/>
      <c r="J852" s="124"/>
      <c r="K852" s="52"/>
      <c r="L852" s="53"/>
      <c r="M852" s="123"/>
      <c r="N852" s="53"/>
      <c r="O852" s="51"/>
      <c r="P852" s="125" t="str">
        <f>IFERROR(VLOOKUP(C852,TD!$B$32:$F$36,2,0)," ")</f>
        <v xml:space="preserve"> </v>
      </c>
      <c r="Q852" s="125" t="str">
        <f>IFERROR(VLOOKUP(C852,TD!$B$32:$F$36,3,0)," ")</f>
        <v xml:space="preserve"> </v>
      </c>
      <c r="R852" s="125" t="str">
        <f>IFERROR(VLOOKUP(C852,TD!$B$32:$F$36,4,0)," ")</f>
        <v xml:space="preserve"> </v>
      </c>
      <c r="S852" s="51"/>
      <c r="T852" s="125" t="str">
        <f>IFERROR(VLOOKUP(S852,TD!$J$33:$K$43,2,0)," ")</f>
        <v xml:space="preserve"> </v>
      </c>
      <c r="U852" s="127" t="str">
        <f>CONCATENATE(S852,"-",T852)</f>
        <v xml:space="preserve">- </v>
      </c>
      <c r="V852" s="51"/>
      <c r="W852" s="125" t="str">
        <f>IFERROR(VLOOKUP(V852,TD!$N$33:$O$45,2,0)," ")</f>
        <v xml:space="preserve"> </v>
      </c>
      <c r="X852" s="127" t="str">
        <f>CONCATENATE(V852,"_",W852)</f>
        <v xml:space="preserve">_ </v>
      </c>
      <c r="Y852" s="127" t="str">
        <f>CONCATENATE(U852," ",X852)</f>
        <v xml:space="preserve">-  _ </v>
      </c>
      <c r="Z852" s="125" t="str">
        <f>CONCATENATE(P852,Q852,R852,S852,V852)</f>
        <v xml:space="preserve">   </v>
      </c>
      <c r="AA852" s="125" t="str">
        <f>IFERROR(VLOOKUP(Y852,TD!$K$46:$L$64,2,0)," ")</f>
        <v xml:space="preserve"> </v>
      </c>
      <c r="AB852" s="53"/>
      <c r="AC852" s="126"/>
    </row>
    <row r="853" spans="2:29" s="28" customFormat="1" ht="74.25" customHeight="1" x14ac:dyDescent="0.35">
      <c r="B853" s="77"/>
      <c r="C853" s="50"/>
      <c r="D853" s="123"/>
      <c r="E853" s="51"/>
      <c r="F853" s="123"/>
      <c r="G853" s="123"/>
      <c r="H853" s="97"/>
      <c r="I853" s="124"/>
      <c r="J853" s="124"/>
      <c r="K853" s="52"/>
      <c r="L853" s="53"/>
      <c r="M853" s="123"/>
      <c r="N853" s="53"/>
      <c r="O853" s="51"/>
      <c r="P853" s="125" t="str">
        <f>IFERROR(VLOOKUP(C853,TD!$B$32:$F$36,2,0)," ")</f>
        <v xml:space="preserve"> </v>
      </c>
      <c r="Q853" s="125" t="str">
        <f>IFERROR(VLOOKUP(C853,TD!$B$32:$F$36,3,0)," ")</f>
        <v xml:space="preserve"> </v>
      </c>
      <c r="R853" s="125" t="str">
        <f>IFERROR(VLOOKUP(C853,TD!$B$32:$F$36,4,0)," ")</f>
        <v xml:space="preserve"> </v>
      </c>
      <c r="S853" s="51"/>
      <c r="T853" s="125" t="str">
        <f>IFERROR(VLOOKUP(S853,TD!$J$33:$K$43,2,0)," ")</f>
        <v xml:space="preserve"> </v>
      </c>
      <c r="U853" s="127" t="str">
        <f>CONCATENATE(S853,"-",T853)</f>
        <v xml:space="preserve">- </v>
      </c>
      <c r="V853" s="51"/>
      <c r="W853" s="125" t="str">
        <f>IFERROR(VLOOKUP(V853,TD!$N$33:$O$45,2,0)," ")</f>
        <v xml:space="preserve"> </v>
      </c>
      <c r="X853" s="127" t="str">
        <f>CONCATENATE(V853,"_",W853)</f>
        <v xml:space="preserve">_ </v>
      </c>
      <c r="Y853" s="127" t="str">
        <f>CONCATENATE(U853," ",X853)</f>
        <v xml:space="preserve">-  _ </v>
      </c>
      <c r="Z853" s="125" t="str">
        <f>CONCATENATE(P853,Q853,R853,S853,V853)</f>
        <v xml:space="preserve">   </v>
      </c>
      <c r="AA853" s="125" t="str">
        <f>IFERROR(VLOOKUP(Y853,TD!$K$46:$L$64,2,0)," ")</f>
        <v xml:space="preserve"> </v>
      </c>
      <c r="AB853" s="53"/>
      <c r="AC853" s="126"/>
    </row>
    <row r="854" spans="2:29" s="28" customFormat="1" ht="74.25" customHeight="1" x14ac:dyDescent="0.35">
      <c r="B854" s="78"/>
      <c r="C854" s="79"/>
      <c r="D854" s="128"/>
      <c r="E854" s="129"/>
      <c r="F854" s="128"/>
      <c r="G854" s="128"/>
      <c r="H854" s="169"/>
      <c r="I854" s="130"/>
      <c r="J854" s="130"/>
      <c r="K854" s="80"/>
      <c r="L854" s="81"/>
      <c r="M854" s="128"/>
      <c r="N854" s="81"/>
      <c r="O854" s="129"/>
      <c r="P854" s="131" t="str">
        <f>IFERROR(VLOOKUP(C854,TD!$B$32:$F$36,2,0)," ")</f>
        <v xml:space="preserve"> </v>
      </c>
      <c r="Q854" s="131" t="str">
        <f>IFERROR(VLOOKUP(C854,TD!$B$32:$F$36,3,0)," ")</f>
        <v xml:space="preserve"> </v>
      </c>
      <c r="R854" s="131" t="str">
        <f>IFERROR(VLOOKUP(C854,TD!$B$32:$F$36,4,0)," ")</f>
        <v xml:space="preserve"> </v>
      </c>
      <c r="S854" s="129"/>
      <c r="T854" s="131"/>
      <c r="U854" s="138" t="str">
        <f>CONCATENATE(S854,"-",T854)</f>
        <v>-</v>
      </c>
      <c r="V854" s="129"/>
      <c r="W854" s="131"/>
      <c r="X854" s="138" t="str">
        <f>CONCATENATE(V854,"_",W854)</f>
        <v>_</v>
      </c>
      <c r="Y854" s="138" t="str">
        <f>CONCATENATE(U854," ",X854)</f>
        <v>- _</v>
      </c>
      <c r="Z854" s="131" t="str">
        <f>CONCATENATE(P854,Q854,R854,S854,V854)</f>
        <v xml:space="preserve">   </v>
      </c>
      <c r="AA854" s="131" t="str">
        <f>IFERROR(VLOOKUP(Y854,TD!$K$46:$L$64,2,0)," ")</f>
        <v xml:space="preserve"> </v>
      </c>
      <c r="AB854" s="81"/>
      <c r="AC854" s="132"/>
    </row>
    <row r="855" spans="2:29" ht="74.25" customHeight="1" x14ac:dyDescent="0.35">
      <c r="B855" s="77"/>
      <c r="C855" s="50"/>
      <c r="D855" s="123"/>
      <c r="E855" s="51"/>
      <c r="F855" s="123"/>
      <c r="G855" s="123"/>
      <c r="H855" s="97"/>
      <c r="I855" s="124"/>
      <c r="J855" s="124"/>
      <c r="K855" s="52"/>
      <c r="L855" s="53"/>
      <c r="M855" s="123"/>
      <c r="N855" s="53"/>
      <c r="O855" s="51"/>
      <c r="P855" s="125" t="str">
        <f>IFERROR(VLOOKUP(C855,TD!$B$32:$F$36,2,0)," ")</f>
        <v xml:space="preserve"> </v>
      </c>
      <c r="Q855" s="125" t="str">
        <f>IFERROR(VLOOKUP(C855,TD!$B$32:$F$36,3,0)," ")</f>
        <v xml:space="preserve"> </v>
      </c>
      <c r="R855" s="125" t="str">
        <f>IFERROR(VLOOKUP(C855,TD!$B$32:$F$36,4,0)," ")</f>
        <v xml:space="preserve"> </v>
      </c>
      <c r="S855" s="51"/>
      <c r="T855" s="125"/>
      <c r="U855" s="127" t="str">
        <f>CONCATENATE(S855,"-",T855)</f>
        <v>-</v>
      </c>
      <c r="V855" s="51"/>
      <c r="W855" s="125"/>
      <c r="X855" s="127" t="str">
        <f>CONCATENATE(V855,"_",W855)</f>
        <v>_</v>
      </c>
      <c r="Y855" s="127" t="str">
        <f>CONCATENATE(U855," ",X855)</f>
        <v>- _</v>
      </c>
      <c r="Z855" s="125" t="str">
        <f>CONCATENATE(P855,Q855,R855,S855,V855)</f>
        <v xml:space="preserve">   </v>
      </c>
      <c r="AA855" s="125" t="str">
        <f>IFERROR(VLOOKUP(Y855,TD!$K$46:$L$64,2,0)," ")</f>
        <v xml:space="preserve"> </v>
      </c>
      <c r="AB855" s="53"/>
      <c r="AC855" s="126"/>
    </row>
    <row r="856" spans="2:29" ht="74.25" customHeight="1" x14ac:dyDescent="0.35">
      <c r="B856" s="77"/>
      <c r="C856" s="50"/>
      <c r="D856" s="123"/>
      <c r="E856" s="51"/>
      <c r="F856" s="123"/>
      <c r="G856" s="123"/>
      <c r="H856" s="97"/>
      <c r="I856" s="124"/>
      <c r="J856" s="124"/>
      <c r="K856" s="52"/>
      <c r="L856" s="53"/>
      <c r="M856" s="123"/>
      <c r="N856" s="53"/>
      <c r="O856" s="51"/>
      <c r="P856" s="125" t="str">
        <f>IFERROR(VLOOKUP(C856,TD!$B$32:$F$36,2,0)," ")</f>
        <v xml:space="preserve"> </v>
      </c>
      <c r="Q856" s="125" t="str">
        <f>IFERROR(VLOOKUP(C856,TD!$B$32:$F$36,3,0)," ")</f>
        <v xml:space="preserve"> </v>
      </c>
      <c r="R856" s="125" t="str">
        <f>IFERROR(VLOOKUP(C856,TD!$B$32:$F$36,4,0)," ")</f>
        <v xml:space="preserve"> </v>
      </c>
      <c r="S856" s="51"/>
      <c r="T856" s="125"/>
      <c r="U856" s="127" t="str">
        <f>CONCATENATE(S856,"-",T856)</f>
        <v>-</v>
      </c>
      <c r="V856" s="51"/>
      <c r="W856" s="125"/>
      <c r="X856" s="127" t="str">
        <f>CONCATENATE(V856,"_",W856)</f>
        <v>_</v>
      </c>
      <c r="Y856" s="127" t="str">
        <f>CONCATENATE(U856," ",X856)</f>
        <v>- _</v>
      </c>
      <c r="Z856" s="125" t="str">
        <f>CONCATENATE(P856,Q856,R856,S856,V856)</f>
        <v xml:space="preserve">   </v>
      </c>
      <c r="AA856" s="125" t="str">
        <f>IFERROR(VLOOKUP(Y856,TD!$K$46:$L$64,2,0)," ")</f>
        <v xml:space="preserve"> </v>
      </c>
      <c r="AB856" s="53"/>
      <c r="AC856" s="126"/>
    </row>
    <row r="857" spans="2:29" ht="74.25" customHeight="1" x14ac:dyDescent="0.35">
      <c r="B857" s="77"/>
      <c r="C857" s="50"/>
      <c r="D857" s="123"/>
      <c r="E857" s="51"/>
      <c r="F857" s="123"/>
      <c r="G857" s="123"/>
      <c r="H857" s="97"/>
      <c r="I857" s="124"/>
      <c r="J857" s="124"/>
      <c r="K857" s="52"/>
      <c r="L857" s="53"/>
      <c r="M857" s="123"/>
      <c r="N857" s="53"/>
      <c r="O857" s="51"/>
      <c r="P857" s="125" t="str">
        <f>IFERROR(VLOOKUP(C857,TD!$B$32:$F$36,2,0)," ")</f>
        <v xml:space="preserve"> </v>
      </c>
      <c r="Q857" s="125" t="str">
        <f>IFERROR(VLOOKUP(C857,TD!$B$32:$F$36,3,0)," ")</f>
        <v xml:space="preserve"> </v>
      </c>
      <c r="R857" s="125" t="str">
        <f>IFERROR(VLOOKUP(C857,TD!$B$32:$F$36,4,0)," ")</f>
        <v xml:space="preserve"> </v>
      </c>
      <c r="S857" s="51"/>
      <c r="T857" s="125"/>
      <c r="U857" s="127" t="str">
        <f>CONCATENATE(S857,"-",T857)</f>
        <v>-</v>
      </c>
      <c r="V857" s="51"/>
      <c r="W857" s="125"/>
      <c r="X857" s="127" t="str">
        <f>CONCATENATE(V857,"_",W857)</f>
        <v>_</v>
      </c>
      <c r="Y857" s="127" t="str">
        <f>CONCATENATE(U857," ",X857)</f>
        <v>- _</v>
      </c>
      <c r="Z857" s="125" t="str">
        <f>CONCATENATE(P857,Q857,R857,S857,V857)</f>
        <v xml:space="preserve">   </v>
      </c>
      <c r="AA857" s="125" t="str">
        <f>IFERROR(VLOOKUP(Y857,TD!$K$46:$L$64,2,0)," ")</f>
        <v xml:space="preserve"> </v>
      </c>
      <c r="AB857" s="53"/>
      <c r="AC857" s="126"/>
    </row>
    <row r="858" spans="2:29" ht="74.25" customHeight="1" x14ac:dyDescent="0.35">
      <c r="B858" s="77"/>
      <c r="C858" s="50"/>
      <c r="D858" s="123"/>
      <c r="E858" s="51"/>
      <c r="F858" s="123"/>
      <c r="G858" s="123"/>
      <c r="H858" s="97"/>
      <c r="I858" s="124"/>
      <c r="J858" s="124"/>
      <c r="K858" s="52"/>
      <c r="L858" s="53"/>
      <c r="M858" s="123"/>
      <c r="N858" s="53"/>
      <c r="O858" s="51"/>
      <c r="P858" s="125" t="str">
        <f>IFERROR(VLOOKUP(C858,TD!$B$32:$F$36,2,0)," ")</f>
        <v xml:space="preserve"> </v>
      </c>
      <c r="Q858" s="125" t="str">
        <f>IFERROR(VLOOKUP(C858,TD!$B$32:$F$36,3,0)," ")</f>
        <v xml:space="preserve"> </v>
      </c>
      <c r="R858" s="125" t="str">
        <f>IFERROR(VLOOKUP(C858,TD!$B$32:$F$36,4,0)," ")</f>
        <v xml:space="preserve"> </v>
      </c>
      <c r="S858" s="51"/>
      <c r="T858" s="125"/>
      <c r="U858" s="127" t="str">
        <f>CONCATENATE(S858,"-",T858)</f>
        <v>-</v>
      </c>
      <c r="V858" s="51"/>
      <c r="W858" s="125"/>
      <c r="X858" s="127" t="str">
        <f>CONCATENATE(V858,"_",W858)</f>
        <v>_</v>
      </c>
      <c r="Y858" s="127" t="str">
        <f>CONCATENATE(U858," ",X858)</f>
        <v>- _</v>
      </c>
      <c r="Z858" s="125" t="str">
        <f>CONCATENATE(P858,Q858,R858,S858,V858)</f>
        <v xml:space="preserve">   </v>
      </c>
      <c r="AA858" s="125" t="str">
        <f>IFERROR(VLOOKUP(Y858,TD!$K$46:$L$64,2,0)," ")</f>
        <v xml:space="preserve"> </v>
      </c>
      <c r="AB858" s="53"/>
      <c r="AC858" s="126"/>
    </row>
    <row r="864" spans="2:29" ht="74.25" customHeight="1" x14ac:dyDescent="0.35">
      <c r="AA864" s="133"/>
    </row>
    <row r="865" spans="6:27" ht="74.25" customHeight="1" x14ac:dyDescent="0.35">
      <c r="AA865" s="133"/>
    </row>
    <row r="866" spans="6:27" ht="74.25" customHeight="1" x14ac:dyDescent="0.35">
      <c r="AA866" s="133"/>
    </row>
    <row r="869" spans="6:27" ht="74.25" customHeight="1" x14ac:dyDescent="0.45">
      <c r="F869" s="83"/>
      <c r="G869" s="83"/>
    </row>
    <row r="870" spans="6:27" ht="74.25" customHeight="1" x14ac:dyDescent="0.45">
      <c r="F870" s="83"/>
      <c r="G870" s="83"/>
    </row>
  </sheetData>
  <mergeCells count="7">
    <mergeCell ref="M6:O6"/>
    <mergeCell ref="B2:C2"/>
    <mergeCell ref="E3:L3"/>
    <mergeCell ref="E4:L4"/>
    <mergeCell ref="E5:L5"/>
    <mergeCell ref="M4:O4"/>
    <mergeCell ref="M5:O5"/>
  </mergeCells>
  <conditionalFormatting sqref="B1:B1048576">
    <cfRule type="duplicateValues" dxfId="46" priority="7"/>
    <cfRule type="duplicateValues" dxfId="45" priority="3957"/>
    <cfRule type="duplicateValues" dxfId="44" priority="3958"/>
  </conditionalFormatting>
  <conditionalFormatting sqref="E3:E5">
    <cfRule type="duplicateValues" dxfId="43" priority="151" stopIfTrue="1"/>
    <cfRule type="duplicateValues" dxfId="42" priority="152" stopIfTrue="1"/>
    <cfRule type="duplicateValues" dxfId="41" priority="153"/>
    <cfRule type="duplicateValues" dxfId="40" priority="154"/>
    <cfRule type="duplicateValues" dxfId="39" priority="155"/>
  </conditionalFormatting>
  <conditionalFormatting sqref="E3:E8 B5:B65417">
    <cfRule type="expression" dxfId="38" priority="3616" stopIfTrue="1">
      <formula>AND(COUNTIF($E$3:$E$8, B3)+COUNTIF(#REF!, B3)&gt;1,NOT(ISBLANK(B3)))</formula>
    </cfRule>
  </conditionalFormatting>
  <conditionalFormatting sqref="B5:B65417">
    <cfRule type="duplicateValues" dxfId="37" priority="11918"/>
    <cfRule type="duplicateValues" dxfId="36" priority="11919"/>
    <cfRule type="duplicateValues" dxfId="35" priority="11920"/>
    <cfRule type="duplicateValues" dxfId="34" priority="11921" stopIfTrue="1"/>
  </conditionalFormatting>
  <conditionalFormatting sqref="B10:B65417">
    <cfRule type="expression" dxfId="33" priority="11926" stopIfTrue="1">
      <formula>AND(COUNTIF(#REF!, B10)+COUNTIF($B$2:$B$10, B10)+COUNTIF($B$11:$B$858, B10)&gt;1,NOT(ISBLANK(B10)))</formula>
    </cfRule>
    <cfRule type="expression" dxfId="32" priority="11927" stopIfTrue="1">
      <formula>AND(COUNTIF($B$2:$B$10, B10)+COUNTIF($B$11:$B$858, B10)&gt;1,NOT(ISBLANK(B10)))</formula>
    </cfRule>
    <cfRule type="expression" dxfId="31" priority="11928" stopIfTrue="1">
      <formula>AND(COUNTIF(#REF!, B10)+COUNTIF($B$10:$B$10, B10)&gt;1,NOT(ISBLANK(B10)))</formula>
    </cfRule>
    <cfRule type="duplicateValues" dxfId="30" priority="11929" stopIfTrue="1"/>
    <cfRule type="duplicateValues" dxfId="29" priority="11930" stopIfTrue="1"/>
    <cfRule type="duplicateValues" dxfId="28" priority="11931" stopIfTrue="1"/>
    <cfRule type="duplicateValues" dxfId="27" priority="11932" stopIfTrue="1"/>
    <cfRule type="duplicateValues" dxfId="26" priority="11933" stopIfTrue="1"/>
    <cfRule type="duplicateValues" dxfId="25" priority="11934"/>
    <cfRule type="duplicateValues" dxfId="24" priority="11935"/>
    <cfRule type="duplicateValues" dxfId="23" priority="11936" stopIfTrue="1"/>
    <cfRule type="duplicateValues" dxfId="22" priority="11937" stopIfTrue="1"/>
    <cfRule type="duplicateValues" dxfId="21" priority="11938" stopIfTrue="1"/>
    <cfRule type="duplicateValues" dxfId="20" priority="11939" stopIfTrue="1"/>
    <cfRule type="duplicateValues" dxfId="19" priority="11940" stopIfTrue="1"/>
    <cfRule type="duplicateValues" dxfId="18" priority="11941" stopIfTrue="1"/>
    <cfRule type="duplicateValues" dxfId="17" priority="11942" stopIfTrue="1"/>
    <cfRule type="duplicateValues" dxfId="16" priority="11943" stopIfTrue="1"/>
    <cfRule type="duplicateValues" dxfId="15" priority="11944" stopIfTrue="1"/>
    <cfRule type="duplicateValues" dxfId="14" priority="11945" stopIfTrue="1"/>
    <cfRule type="duplicateValues" dxfId="13" priority="11946"/>
    <cfRule type="duplicateValues" dxfId="12" priority="11947"/>
    <cfRule type="duplicateValues" dxfId="11" priority="11948"/>
    <cfRule type="duplicateValues" dxfId="10" priority="11949"/>
  </conditionalFormatting>
  <conditionalFormatting sqref="B11:B858">
    <cfRule type="duplicateValues" dxfId="4" priority="11974"/>
    <cfRule type="duplicateValues" dxfId="5" priority="11975"/>
    <cfRule type="duplicateValues" dxfId="6" priority="11976"/>
    <cfRule type="duplicateValues" dxfId="7" priority="11977"/>
    <cfRule type="duplicateValues" dxfId="8" priority="11978"/>
    <cfRule type="duplicateValues" dxfId="9" priority="1"/>
  </conditionalFormatting>
  <pageMargins left="0.7" right="0.7" top="0.75" bottom="0.75" header="0.3" footer="0.3"/>
  <pageSetup paperSize="9" scale="12" orientation="portrait" horizontalDpi="4294967294" verticalDpi="4294967294" r:id="rId1"/>
  <customProperties>
    <customPr name="EpmWorksheetKeyString_GUID" r:id="rId2"/>
  </customProperties>
  <ignoredErrors>
    <ignoredError sqref="P4:P6" unlockedFormula="1"/>
  </ignoredErrors>
  <drawing r:id="rId3"/>
  <legacyDrawing r:id="rId4"/>
  <tableParts count="1">
    <tablePart r:id="rId5"/>
  </tableParts>
  <extLst>
    <ext xmlns:x14="http://schemas.microsoft.com/office/spreadsheetml/2009/9/main" uri="{CCE6A557-97BC-4b89-ADB6-D9C93CAAB3DF}">
      <x14:dataValidations xmlns:xm="http://schemas.microsoft.com/office/excel/2006/main" count="11">
        <x14:dataValidation type="list" allowBlank="1" showInputMessage="1" showErrorMessage="1" xr:uid="{00000000-0002-0000-0100-000000000000}">
          <x14:formula1>
            <xm:f>TD!$J$3:$J$23</xm:f>
          </x14:formula1>
          <xm:sqref>O11:O451 O459:O858</xm:sqref>
        </x14:dataValidation>
        <x14:dataValidation type="list" allowBlank="1" showInputMessage="1" showErrorMessage="1" xr:uid="{A4510439-3D81-44AE-BA95-C366D1F44B78}">
          <x14:formula1>
            <xm:f>'C:\Users\asus\Downloads\[271320241226135151536 (1).xlsx]TD'!#REF!</xm:f>
          </x14:formula1>
          <xm:sqref>AB227</xm:sqref>
        </x14:dataValidation>
        <x14:dataValidation type="list" allowBlank="1" showInputMessage="1" showErrorMessage="1" xr:uid="{00000000-0002-0000-0100-000001000000}">
          <x14:formula1>
            <xm:f>TD!$F$2:$F$26</xm:f>
          </x14:formula1>
          <xm:sqref>AB462:AB508 AB228:AB455 AB11:AB226 AB514:AB858</xm:sqref>
        </x14:dataValidation>
        <x14:dataValidation type="list" allowBlank="1" showInputMessage="1" showErrorMessage="1" xr:uid="{00000000-0002-0000-0100-000007000000}">
          <x14:formula1>
            <xm:f>TD!$Q$2:$Q$5</xm:f>
          </x14:formula1>
          <xm:sqref>N859:N1048576 M11:M858</xm:sqref>
        </x14:dataValidation>
        <x14:dataValidation type="list" allowBlank="1" showInputMessage="1" showErrorMessage="1" xr:uid="{00000000-0002-0000-0100-000002000000}">
          <x14:formula1>
            <xm:f>TD!$D$2:$D$29</xm:f>
          </x14:formula1>
          <xm:sqref>G11:G858</xm:sqref>
        </x14:dataValidation>
        <x14:dataValidation type="list" allowBlank="1" showInputMessage="1" showErrorMessage="1" xr:uid="{00000000-0002-0000-0100-000003000000}">
          <x14:formula1>
            <xm:f>TD!$J$33:$J$43</xm:f>
          </x14:formula1>
          <xm:sqref>S11:S858</xm:sqref>
        </x14:dataValidation>
        <x14:dataValidation type="list" allowBlank="1" showInputMessage="1" showErrorMessage="1" xr:uid="{00000000-0002-0000-0100-000004000000}">
          <x14:formula1>
            <xm:f>TD!$X$33:$X$34</xm:f>
          </x14:formula1>
          <xm:sqref>AC11:AC858</xm:sqref>
        </x14:dataValidation>
        <x14:dataValidation type="list" allowBlank="1" showInputMessage="1" showErrorMessage="1" xr:uid="{00000000-0002-0000-0100-000005000000}">
          <x14:formula1>
            <xm:f>TD!$B$2:$B$11</xm:f>
          </x14:formula1>
          <xm:sqref>N11:N858</xm:sqref>
        </x14:dataValidation>
        <x14:dataValidation type="list" allowBlank="1" showInputMessage="1" showErrorMessage="1" xr:uid="{00000000-0002-0000-0100-000006000000}">
          <x14:formula1>
            <xm:f>TD!$L$2:$L$5</xm:f>
          </x14:formula1>
          <xm:sqref>C11:C1048576</xm:sqref>
        </x14:dataValidation>
        <x14:dataValidation type="list" allowBlank="1" showInputMessage="1" showErrorMessage="1" xr:uid="{00000000-0002-0000-0100-000008000000}">
          <x14:formula1>
            <xm:f>TD!$O$2:$O$15</xm:f>
          </x14:formula1>
          <xm:sqref>D11:D1048576</xm:sqref>
        </x14:dataValidation>
        <x14:dataValidation type="list" allowBlank="1" showInputMessage="1" showErrorMessage="1" xr:uid="{00000000-0002-0000-0100-000009000000}">
          <x14:formula1>
            <xm:f>TD!$N$33:$N$45</xm:f>
          </x14:formula1>
          <xm:sqref>V11:V858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2"/>
  <dimension ref="B2:M39"/>
  <sheetViews>
    <sheetView topLeftCell="B1" zoomScale="70" zoomScaleNormal="70" workbookViewId="0">
      <selection activeCell="J15" sqref="J15"/>
    </sheetView>
  </sheetViews>
  <sheetFormatPr baseColWidth="10" defaultColWidth="17.1796875" defaultRowHeight="16.5" x14ac:dyDescent="0.45"/>
  <cols>
    <col min="1" max="1" width="5.54296875" style="83" customWidth="1"/>
    <col min="2" max="3" width="17.1796875" style="83"/>
    <col min="4" max="4" width="20.453125" style="83" customWidth="1"/>
    <col min="5" max="5" width="29.54296875" style="83" customWidth="1"/>
    <col min="6" max="6" width="20.54296875" style="84" customWidth="1"/>
    <col min="7" max="7" width="6.453125" style="83" customWidth="1"/>
    <col min="8" max="8" width="24.54296875" style="83" customWidth="1"/>
    <col min="9" max="9" width="24.453125" style="83" customWidth="1"/>
    <col min="10" max="10" width="19.1796875" style="83" customWidth="1"/>
    <col min="11" max="11" width="28.81640625" style="84" bestFit="1" customWidth="1"/>
    <col min="12" max="12" width="21.54296875" style="83" customWidth="1"/>
    <col min="13" max="16384" width="17.1796875" style="83"/>
  </cols>
  <sheetData>
    <row r="2" spans="2:13" x14ac:dyDescent="0.45">
      <c r="B2" s="82" t="s">
        <v>424</v>
      </c>
      <c r="C2" s="82"/>
      <c r="H2" s="82" t="s">
        <v>431</v>
      </c>
    </row>
    <row r="3" spans="2:13" x14ac:dyDescent="0.45">
      <c r="B3" s="82" t="s">
        <v>425</v>
      </c>
      <c r="H3" s="82" t="s">
        <v>425</v>
      </c>
    </row>
    <row r="4" spans="2:13" x14ac:dyDescent="0.45">
      <c r="B4" s="82" t="s">
        <v>208</v>
      </c>
      <c r="C4" s="82"/>
      <c r="H4" s="82" t="s">
        <v>208</v>
      </c>
      <c r="I4" s="82"/>
    </row>
    <row r="5" spans="2:13" s="25" customFormat="1" ht="33" x14ac:dyDescent="0.35">
      <c r="B5" s="55" t="s">
        <v>52</v>
      </c>
      <c r="C5" s="55" t="s">
        <v>0</v>
      </c>
      <c r="D5" s="64" t="s">
        <v>2</v>
      </c>
      <c r="E5" s="55" t="s">
        <v>231</v>
      </c>
      <c r="F5" s="91" t="s">
        <v>423</v>
      </c>
      <c r="G5" s="24"/>
      <c r="H5" s="55" t="s">
        <v>52</v>
      </c>
      <c r="I5" s="55" t="s">
        <v>0</v>
      </c>
      <c r="J5" s="64" t="s">
        <v>2</v>
      </c>
      <c r="K5" s="55" t="s">
        <v>231</v>
      </c>
      <c r="L5" s="91" t="s">
        <v>423</v>
      </c>
      <c r="M5" s="91" t="s">
        <v>426</v>
      </c>
    </row>
    <row r="6" spans="2:13" x14ac:dyDescent="0.45">
      <c r="B6" s="86" t="s">
        <v>208</v>
      </c>
      <c r="C6" s="86" t="s">
        <v>45</v>
      </c>
      <c r="D6" s="86" t="s">
        <v>219</v>
      </c>
      <c r="E6" s="86" t="s">
        <v>266</v>
      </c>
      <c r="F6" s="87">
        <v>260870960</v>
      </c>
      <c r="H6" s="86" t="s">
        <v>208</v>
      </c>
      <c r="I6" s="86" t="s">
        <v>45</v>
      </c>
      <c r="J6" s="86" t="s">
        <v>219</v>
      </c>
      <c r="K6" s="86" t="s">
        <v>266</v>
      </c>
      <c r="L6" s="87">
        <v>260870960</v>
      </c>
      <c r="M6" s="89">
        <f t="shared" ref="M6:M19" si="0">+F6-L6</f>
        <v>0</v>
      </c>
    </row>
    <row r="7" spans="2:13" x14ac:dyDescent="0.45">
      <c r="B7" s="86" t="s">
        <v>208</v>
      </c>
      <c r="C7" s="86" t="s">
        <v>161</v>
      </c>
      <c r="D7" s="86" t="s">
        <v>220</v>
      </c>
      <c r="E7" s="86" t="s">
        <v>273</v>
      </c>
      <c r="F7" s="87">
        <v>260870960</v>
      </c>
      <c r="H7" s="86" t="s">
        <v>208</v>
      </c>
      <c r="I7" s="86" t="s">
        <v>161</v>
      </c>
      <c r="J7" s="86" t="s">
        <v>220</v>
      </c>
      <c r="K7" s="86" t="s">
        <v>273</v>
      </c>
      <c r="L7" s="87">
        <v>260870960</v>
      </c>
      <c r="M7" s="89">
        <f t="shared" si="0"/>
        <v>0</v>
      </c>
    </row>
    <row r="8" spans="2:13" x14ac:dyDescent="0.45">
      <c r="B8" s="86" t="s">
        <v>208</v>
      </c>
      <c r="C8" s="86" t="s">
        <v>162</v>
      </c>
      <c r="D8" s="86" t="s">
        <v>214</v>
      </c>
      <c r="E8" s="86" t="s">
        <v>269</v>
      </c>
      <c r="F8" s="87">
        <v>481960117</v>
      </c>
      <c r="H8" s="86" t="s">
        <v>208</v>
      </c>
      <c r="I8" s="86" t="s">
        <v>162</v>
      </c>
      <c r="J8" s="86" t="s">
        <v>214</v>
      </c>
      <c r="K8" s="86" t="s">
        <v>269</v>
      </c>
      <c r="L8" s="87">
        <v>481960117</v>
      </c>
      <c r="M8" s="89">
        <f t="shared" si="0"/>
        <v>0</v>
      </c>
    </row>
    <row r="9" spans="2:13" x14ac:dyDescent="0.45">
      <c r="B9" s="86" t="s">
        <v>208</v>
      </c>
      <c r="C9" s="86" t="s">
        <v>162</v>
      </c>
      <c r="D9" s="86" t="s">
        <v>215</v>
      </c>
      <c r="E9" s="86" t="s">
        <v>269</v>
      </c>
      <c r="F9" s="87">
        <v>926338572</v>
      </c>
      <c r="H9" s="86" t="s">
        <v>208</v>
      </c>
      <c r="I9" s="86" t="s">
        <v>162</v>
      </c>
      <c r="J9" s="86" t="s">
        <v>215</v>
      </c>
      <c r="K9" s="86" t="s">
        <v>269</v>
      </c>
      <c r="L9" s="87">
        <v>926338572</v>
      </c>
      <c r="M9" s="89">
        <f t="shared" si="0"/>
        <v>0</v>
      </c>
    </row>
    <row r="10" spans="2:13" x14ac:dyDescent="0.45">
      <c r="B10" s="86" t="s">
        <v>208</v>
      </c>
      <c r="C10" s="86" t="s">
        <v>162</v>
      </c>
      <c r="D10" s="86" t="s">
        <v>216</v>
      </c>
      <c r="E10" s="86" t="s">
        <v>269</v>
      </c>
      <c r="F10" s="87">
        <v>475003732</v>
      </c>
      <c r="H10" s="86" t="s">
        <v>208</v>
      </c>
      <c r="I10" s="86" t="s">
        <v>162</v>
      </c>
      <c r="J10" s="86" t="s">
        <v>216</v>
      </c>
      <c r="K10" s="86" t="s">
        <v>269</v>
      </c>
      <c r="L10" s="87">
        <v>475003732</v>
      </c>
      <c r="M10" s="89">
        <f t="shared" si="0"/>
        <v>0</v>
      </c>
    </row>
    <row r="11" spans="2:13" x14ac:dyDescent="0.45">
      <c r="B11" s="86" t="s">
        <v>208</v>
      </c>
      <c r="C11" s="86" t="s">
        <v>162</v>
      </c>
      <c r="D11" s="86" t="s">
        <v>217</v>
      </c>
      <c r="E11" s="86" t="s">
        <v>269</v>
      </c>
      <c r="F11" s="87">
        <v>175876971</v>
      </c>
      <c r="H11" s="86" t="s">
        <v>208</v>
      </c>
      <c r="I11" s="86" t="s">
        <v>162</v>
      </c>
      <c r="J11" s="86" t="s">
        <v>217</v>
      </c>
      <c r="K11" s="86" t="s">
        <v>269</v>
      </c>
      <c r="L11" s="87">
        <v>175876971</v>
      </c>
      <c r="M11" s="89">
        <f t="shared" si="0"/>
        <v>0</v>
      </c>
    </row>
    <row r="12" spans="2:13" x14ac:dyDescent="0.45">
      <c r="B12" s="86" t="s">
        <v>208</v>
      </c>
      <c r="C12" s="86" t="s">
        <v>36</v>
      </c>
      <c r="D12" s="86" t="s">
        <v>211</v>
      </c>
      <c r="E12" s="86" t="s">
        <v>271</v>
      </c>
      <c r="F12" s="87">
        <v>336851064</v>
      </c>
      <c r="H12" s="86" t="s">
        <v>208</v>
      </c>
      <c r="I12" s="86" t="s">
        <v>36</v>
      </c>
      <c r="J12" s="86" t="s">
        <v>211</v>
      </c>
      <c r="K12" s="86" t="s">
        <v>271</v>
      </c>
      <c r="L12" s="87">
        <v>336851064</v>
      </c>
      <c r="M12" s="89">
        <f t="shared" si="0"/>
        <v>0</v>
      </c>
    </row>
    <row r="13" spans="2:13" x14ac:dyDescent="0.45">
      <c r="B13" s="86" t="s">
        <v>208</v>
      </c>
      <c r="C13" s="86" t="s">
        <v>36</v>
      </c>
      <c r="D13" s="86" t="s">
        <v>212</v>
      </c>
      <c r="E13" s="86" t="s">
        <v>272</v>
      </c>
      <c r="F13" s="87">
        <v>168425532</v>
      </c>
      <c r="H13" s="86" t="s">
        <v>208</v>
      </c>
      <c r="I13" s="86" t="s">
        <v>36</v>
      </c>
      <c r="J13" s="86" t="s">
        <v>212</v>
      </c>
      <c r="K13" s="86" t="s">
        <v>272</v>
      </c>
      <c r="L13" s="87">
        <v>168425532</v>
      </c>
      <c r="M13" s="89">
        <f t="shared" si="0"/>
        <v>0</v>
      </c>
    </row>
    <row r="14" spans="2:13" x14ac:dyDescent="0.45">
      <c r="B14" s="86" t="s">
        <v>208</v>
      </c>
      <c r="C14" s="86" t="s">
        <v>36</v>
      </c>
      <c r="D14" s="86" t="s">
        <v>213</v>
      </c>
      <c r="E14" s="86" t="s">
        <v>272</v>
      </c>
      <c r="F14" s="87">
        <v>56141844</v>
      </c>
      <c r="H14" s="86" t="s">
        <v>208</v>
      </c>
      <c r="I14" s="86" t="s">
        <v>36</v>
      </c>
      <c r="J14" s="86" t="s">
        <v>213</v>
      </c>
      <c r="K14" s="86" t="s">
        <v>272</v>
      </c>
      <c r="L14" s="87">
        <v>56141844</v>
      </c>
      <c r="M14" s="89">
        <f t="shared" si="0"/>
        <v>0</v>
      </c>
    </row>
    <row r="15" spans="2:13" x14ac:dyDescent="0.45">
      <c r="B15" s="86" t="s">
        <v>208</v>
      </c>
      <c r="C15" s="86" t="s">
        <v>46</v>
      </c>
      <c r="D15" s="86" t="s">
        <v>219</v>
      </c>
      <c r="E15" s="86" t="s">
        <v>266</v>
      </c>
      <c r="F15" s="87">
        <v>206558000</v>
      </c>
      <c r="H15" s="86" t="s">
        <v>208</v>
      </c>
      <c r="I15" s="86" t="s">
        <v>46</v>
      </c>
      <c r="J15" s="86" t="s">
        <v>219</v>
      </c>
      <c r="K15" s="86" t="s">
        <v>266</v>
      </c>
      <c r="L15" s="87">
        <v>206558000</v>
      </c>
      <c r="M15" s="89">
        <f t="shared" si="0"/>
        <v>0</v>
      </c>
    </row>
    <row r="16" spans="2:13" x14ac:dyDescent="0.45">
      <c r="B16" s="86" t="s">
        <v>208</v>
      </c>
      <c r="C16" s="86" t="s">
        <v>163</v>
      </c>
      <c r="D16" s="86" t="s">
        <v>219</v>
      </c>
      <c r="E16" s="86" t="s">
        <v>266</v>
      </c>
      <c r="F16" s="87">
        <v>171068294</v>
      </c>
      <c r="H16" s="86" t="s">
        <v>208</v>
      </c>
      <c r="I16" s="86" t="s">
        <v>163</v>
      </c>
      <c r="J16" s="86" t="s">
        <v>219</v>
      </c>
      <c r="K16" s="86" t="s">
        <v>266</v>
      </c>
      <c r="L16" s="87">
        <v>171068294</v>
      </c>
      <c r="M16" s="89">
        <f t="shared" si="0"/>
        <v>0</v>
      </c>
    </row>
    <row r="17" spans="2:13" x14ac:dyDescent="0.45">
      <c r="B17" s="86" t="s">
        <v>208</v>
      </c>
      <c r="C17" s="86" t="s">
        <v>164</v>
      </c>
      <c r="D17" s="86" t="s">
        <v>219</v>
      </c>
      <c r="E17" s="86" t="s">
        <v>266</v>
      </c>
      <c r="F17" s="87">
        <v>229431788</v>
      </c>
      <c r="H17" s="86" t="s">
        <v>208</v>
      </c>
      <c r="I17" s="86" t="s">
        <v>164</v>
      </c>
      <c r="J17" s="86" t="s">
        <v>219</v>
      </c>
      <c r="K17" s="86" t="s">
        <v>266</v>
      </c>
      <c r="L17" s="87">
        <v>229431788</v>
      </c>
      <c r="M17" s="89">
        <f t="shared" si="0"/>
        <v>0</v>
      </c>
    </row>
    <row r="18" spans="2:13" x14ac:dyDescent="0.45">
      <c r="B18" s="86" t="s">
        <v>208</v>
      </c>
      <c r="C18" s="86" t="s">
        <v>166</v>
      </c>
      <c r="D18" s="86" t="s">
        <v>218</v>
      </c>
      <c r="E18" s="86" t="s">
        <v>266</v>
      </c>
      <c r="F18" s="87">
        <v>1239712750</v>
      </c>
      <c r="H18" s="86" t="s">
        <v>208</v>
      </c>
      <c r="I18" s="86" t="s">
        <v>166</v>
      </c>
      <c r="J18" s="86" t="s">
        <v>218</v>
      </c>
      <c r="K18" s="86" t="s">
        <v>266</v>
      </c>
      <c r="L18" s="87">
        <v>1239712750</v>
      </c>
      <c r="M18" s="89">
        <f t="shared" si="0"/>
        <v>0</v>
      </c>
    </row>
    <row r="19" spans="2:13" x14ac:dyDescent="0.45">
      <c r="B19" s="86" t="s">
        <v>208</v>
      </c>
      <c r="C19" s="86" t="s">
        <v>166</v>
      </c>
      <c r="D19" s="86" t="s">
        <v>219</v>
      </c>
      <c r="E19" s="86" t="s">
        <v>266</v>
      </c>
      <c r="F19" s="87">
        <v>248759474</v>
      </c>
      <c r="H19" s="86" t="s">
        <v>208</v>
      </c>
      <c r="I19" s="86" t="s">
        <v>166</v>
      </c>
      <c r="J19" s="86" t="s">
        <v>219</v>
      </c>
      <c r="K19" s="86" t="s">
        <v>266</v>
      </c>
      <c r="L19" s="87">
        <v>248759474</v>
      </c>
      <c r="M19" s="89">
        <f t="shared" si="0"/>
        <v>0</v>
      </c>
    </row>
    <row r="20" spans="2:13" x14ac:dyDescent="0.45">
      <c r="B20" s="82" t="s">
        <v>27</v>
      </c>
      <c r="C20" s="82"/>
      <c r="D20" s="82"/>
      <c r="E20" s="82"/>
      <c r="F20" s="88">
        <f>SUM(F6:F19)</f>
        <v>5237870058</v>
      </c>
      <c r="H20" s="82" t="s">
        <v>27</v>
      </c>
      <c r="K20" s="83"/>
      <c r="L20" s="90">
        <f>SUM(L6:L19)</f>
        <v>5237870058</v>
      </c>
      <c r="M20" s="84">
        <f>SUM(M6:M19)</f>
        <v>0</v>
      </c>
    </row>
    <row r="21" spans="2:13" x14ac:dyDescent="0.45">
      <c r="K21" s="83"/>
      <c r="L21" s="84"/>
    </row>
    <row r="22" spans="2:13" x14ac:dyDescent="0.45">
      <c r="B22" s="82" t="s">
        <v>424</v>
      </c>
      <c r="H22" s="82" t="s">
        <v>431</v>
      </c>
      <c r="K22" s="83"/>
      <c r="L22" s="84"/>
    </row>
    <row r="23" spans="2:13" x14ac:dyDescent="0.45">
      <c r="B23" s="82" t="s">
        <v>425</v>
      </c>
      <c r="H23" s="82" t="s">
        <v>425</v>
      </c>
      <c r="K23" s="83"/>
      <c r="L23" s="84"/>
    </row>
    <row r="24" spans="2:13" x14ac:dyDescent="0.45">
      <c r="B24" s="82" t="s">
        <v>209</v>
      </c>
      <c r="H24" s="82" t="s">
        <v>209</v>
      </c>
      <c r="K24" s="83"/>
      <c r="L24" s="84"/>
    </row>
    <row r="25" spans="2:13" s="25" customFormat="1" ht="33" x14ac:dyDescent="0.35">
      <c r="B25" s="55" t="s">
        <v>52</v>
      </c>
      <c r="C25" s="55" t="s">
        <v>0</v>
      </c>
      <c r="D25" s="64" t="s">
        <v>2</v>
      </c>
      <c r="E25" s="55" t="s">
        <v>231</v>
      </c>
      <c r="F25" s="91" t="s">
        <v>423</v>
      </c>
      <c r="H25" s="55" t="s">
        <v>52</v>
      </c>
      <c r="I25" s="55" t="s">
        <v>0</v>
      </c>
      <c r="J25" s="55" t="s">
        <v>2</v>
      </c>
      <c r="K25" s="55" t="s">
        <v>231</v>
      </c>
      <c r="L25" s="91" t="s">
        <v>423</v>
      </c>
      <c r="M25" s="91" t="s">
        <v>426</v>
      </c>
    </row>
    <row r="26" spans="2:13" x14ac:dyDescent="0.45">
      <c r="B26" s="86" t="s">
        <v>209</v>
      </c>
      <c r="C26" s="86" t="s">
        <v>166</v>
      </c>
      <c r="D26" s="86" t="s">
        <v>230</v>
      </c>
      <c r="E26" s="86" t="s">
        <v>274</v>
      </c>
      <c r="F26" s="87">
        <v>99912253</v>
      </c>
      <c r="H26" s="86" t="s">
        <v>209</v>
      </c>
      <c r="I26" s="86" t="s">
        <v>166</v>
      </c>
      <c r="J26" s="86" t="s">
        <v>230</v>
      </c>
      <c r="K26" s="86" t="s">
        <v>274</v>
      </c>
      <c r="L26" s="87">
        <v>99912253</v>
      </c>
      <c r="M26" s="89">
        <f t="shared" ref="M26:M37" si="1">+F26-L26</f>
        <v>0</v>
      </c>
    </row>
    <row r="27" spans="2:13" x14ac:dyDescent="0.45">
      <c r="B27" s="86" t="s">
        <v>209</v>
      </c>
      <c r="C27" s="86" t="s">
        <v>166</v>
      </c>
      <c r="D27" s="86" t="s">
        <v>227</v>
      </c>
      <c r="E27" s="86" t="s">
        <v>264</v>
      </c>
      <c r="F27" s="87">
        <v>899210268</v>
      </c>
      <c r="H27" s="86" t="s">
        <v>209</v>
      </c>
      <c r="I27" s="86" t="s">
        <v>166</v>
      </c>
      <c r="J27" s="86" t="s">
        <v>227</v>
      </c>
      <c r="K27" s="86" t="s">
        <v>264</v>
      </c>
      <c r="L27" s="87">
        <v>899210268</v>
      </c>
      <c r="M27" s="89">
        <f t="shared" si="1"/>
        <v>0</v>
      </c>
    </row>
    <row r="28" spans="2:13" x14ac:dyDescent="0.45">
      <c r="B28" s="86" t="s">
        <v>209</v>
      </c>
      <c r="C28" s="86" t="s">
        <v>165</v>
      </c>
      <c r="D28" s="86" t="s">
        <v>229</v>
      </c>
      <c r="E28" s="86" t="s">
        <v>263</v>
      </c>
      <c r="F28" s="87">
        <v>2793994517</v>
      </c>
      <c r="H28" s="86" t="s">
        <v>209</v>
      </c>
      <c r="I28" s="86" t="s">
        <v>165</v>
      </c>
      <c r="J28" s="86" t="s">
        <v>229</v>
      </c>
      <c r="K28" s="86" t="s">
        <v>263</v>
      </c>
      <c r="L28" s="87">
        <v>2793994517</v>
      </c>
      <c r="M28" s="89">
        <f t="shared" si="1"/>
        <v>0</v>
      </c>
    </row>
    <row r="29" spans="2:13" x14ac:dyDescent="0.45">
      <c r="B29" s="86" t="s">
        <v>209</v>
      </c>
      <c r="C29" s="86" t="s">
        <v>167</v>
      </c>
      <c r="D29" s="86" t="s">
        <v>221</v>
      </c>
      <c r="E29" s="86" t="s">
        <v>259</v>
      </c>
      <c r="F29" s="96">
        <v>162500000</v>
      </c>
      <c r="H29" s="86" t="s">
        <v>209</v>
      </c>
      <c r="I29" s="86" t="s">
        <v>167</v>
      </c>
      <c r="J29" s="86" t="s">
        <v>221</v>
      </c>
      <c r="K29" s="86" t="s">
        <v>259</v>
      </c>
      <c r="L29" s="96">
        <v>162500000</v>
      </c>
      <c r="M29" s="89">
        <f t="shared" si="1"/>
        <v>0</v>
      </c>
    </row>
    <row r="30" spans="2:13" x14ac:dyDescent="0.45">
      <c r="B30" s="86" t="s">
        <v>209</v>
      </c>
      <c r="C30" s="86" t="s">
        <v>167</v>
      </c>
      <c r="D30" s="86" t="s">
        <v>221</v>
      </c>
      <c r="E30" s="86" t="s">
        <v>260</v>
      </c>
      <c r="F30" s="96">
        <v>698601047</v>
      </c>
      <c r="H30" s="86" t="s">
        <v>209</v>
      </c>
      <c r="I30" s="86" t="s">
        <v>167</v>
      </c>
      <c r="J30" s="86" t="s">
        <v>221</v>
      </c>
      <c r="K30" s="86" t="s">
        <v>260</v>
      </c>
      <c r="L30" s="96">
        <v>698601047</v>
      </c>
      <c r="M30" s="89">
        <f t="shared" si="1"/>
        <v>0</v>
      </c>
    </row>
    <row r="31" spans="2:13" x14ac:dyDescent="0.45">
      <c r="B31" s="86" t="s">
        <v>209</v>
      </c>
      <c r="C31" s="86" t="s">
        <v>167</v>
      </c>
      <c r="D31" s="86" t="s">
        <v>221</v>
      </c>
      <c r="E31" s="86" t="s">
        <v>262</v>
      </c>
      <c r="F31" s="96">
        <v>387093222</v>
      </c>
      <c r="H31" s="86" t="s">
        <v>209</v>
      </c>
      <c r="I31" s="86" t="s">
        <v>167</v>
      </c>
      <c r="J31" s="86" t="s">
        <v>221</v>
      </c>
      <c r="K31" s="86" t="s">
        <v>262</v>
      </c>
      <c r="L31" s="96">
        <v>387093222</v>
      </c>
      <c r="M31" s="89">
        <f t="shared" si="1"/>
        <v>0</v>
      </c>
    </row>
    <row r="32" spans="2:13" x14ac:dyDescent="0.45">
      <c r="B32" s="86" t="s">
        <v>209</v>
      </c>
      <c r="C32" s="86" t="s">
        <v>167</v>
      </c>
      <c r="D32" s="86" t="s">
        <v>225</v>
      </c>
      <c r="E32" s="86" t="s">
        <v>261</v>
      </c>
      <c r="F32" s="87">
        <v>639843601</v>
      </c>
      <c r="H32" s="86" t="s">
        <v>209</v>
      </c>
      <c r="I32" s="86" t="s">
        <v>167</v>
      </c>
      <c r="J32" s="86" t="s">
        <v>225</v>
      </c>
      <c r="K32" s="86" t="s">
        <v>261</v>
      </c>
      <c r="L32" s="87">
        <v>639843601</v>
      </c>
      <c r="M32" s="89">
        <f t="shared" si="1"/>
        <v>0</v>
      </c>
    </row>
    <row r="33" spans="2:13" x14ac:dyDescent="0.45">
      <c r="B33" s="86" t="s">
        <v>209</v>
      </c>
      <c r="C33" s="86" t="s">
        <v>167</v>
      </c>
      <c r="D33" s="86" t="s">
        <v>226</v>
      </c>
      <c r="E33" s="86" t="s">
        <v>261</v>
      </c>
      <c r="F33" s="87">
        <v>51767209</v>
      </c>
      <c r="H33" s="86" t="s">
        <v>209</v>
      </c>
      <c r="I33" s="86" t="s">
        <v>167</v>
      </c>
      <c r="J33" s="86" t="s">
        <v>226</v>
      </c>
      <c r="K33" s="86" t="s">
        <v>261</v>
      </c>
      <c r="L33" s="87">
        <v>51767209</v>
      </c>
      <c r="M33" s="89">
        <f t="shared" si="1"/>
        <v>0</v>
      </c>
    </row>
    <row r="34" spans="2:13" x14ac:dyDescent="0.45">
      <c r="B34" s="86" t="s">
        <v>209</v>
      </c>
      <c r="C34" s="86" t="s">
        <v>168</v>
      </c>
      <c r="D34" s="86" t="s">
        <v>224</v>
      </c>
      <c r="E34" s="86" t="s">
        <v>267</v>
      </c>
      <c r="F34" s="87">
        <v>4450000000</v>
      </c>
      <c r="H34" s="86" t="s">
        <v>209</v>
      </c>
      <c r="I34" s="86" t="s">
        <v>168</v>
      </c>
      <c r="J34" s="86" t="s">
        <v>224</v>
      </c>
      <c r="K34" s="86" t="s">
        <v>267</v>
      </c>
      <c r="L34" s="87">
        <v>4450000000</v>
      </c>
      <c r="M34" s="89">
        <f t="shared" si="1"/>
        <v>0</v>
      </c>
    </row>
    <row r="35" spans="2:13" x14ac:dyDescent="0.45">
      <c r="B35" s="86" t="s">
        <v>209</v>
      </c>
      <c r="C35" s="86" t="s">
        <v>168</v>
      </c>
      <c r="D35" s="86" t="s">
        <v>224</v>
      </c>
      <c r="E35" s="86" t="s">
        <v>270</v>
      </c>
      <c r="F35" s="87">
        <v>1071405909</v>
      </c>
      <c r="H35" s="86" t="s">
        <v>209</v>
      </c>
      <c r="I35" s="86" t="s">
        <v>168</v>
      </c>
      <c r="J35" s="86" t="s">
        <v>224</v>
      </c>
      <c r="K35" s="86" t="s">
        <v>270</v>
      </c>
      <c r="L35" s="87">
        <v>1071405909</v>
      </c>
      <c r="M35" s="89">
        <f t="shared" si="1"/>
        <v>0</v>
      </c>
    </row>
    <row r="36" spans="2:13" x14ac:dyDescent="0.45">
      <c r="B36" s="86" t="s">
        <v>209</v>
      </c>
      <c r="C36" s="86" t="s">
        <v>169</v>
      </c>
      <c r="D36" s="86" t="s">
        <v>222</v>
      </c>
      <c r="E36" s="86" t="s">
        <v>258</v>
      </c>
      <c r="F36" s="87">
        <v>1275620000</v>
      </c>
      <c r="H36" s="86" t="s">
        <v>209</v>
      </c>
      <c r="I36" s="86" t="s">
        <v>169</v>
      </c>
      <c r="J36" s="86" t="s">
        <v>222</v>
      </c>
      <c r="K36" s="86" t="s">
        <v>258</v>
      </c>
      <c r="L36" s="87">
        <v>1275620000</v>
      </c>
      <c r="M36" s="89">
        <f t="shared" si="1"/>
        <v>0</v>
      </c>
    </row>
    <row r="37" spans="2:13" x14ac:dyDescent="0.45">
      <c r="B37" s="86" t="s">
        <v>209</v>
      </c>
      <c r="C37" s="86" t="s">
        <v>169</v>
      </c>
      <c r="D37" s="86" t="s">
        <v>222</v>
      </c>
      <c r="E37" s="86" t="s">
        <v>268</v>
      </c>
      <c r="F37" s="87">
        <v>5739596933</v>
      </c>
      <c r="H37" s="86" t="s">
        <v>209</v>
      </c>
      <c r="I37" s="86" t="s">
        <v>169</v>
      </c>
      <c r="J37" s="86" t="s">
        <v>222</v>
      </c>
      <c r="K37" s="86" t="s">
        <v>268</v>
      </c>
      <c r="L37" s="87">
        <v>5739596933</v>
      </c>
      <c r="M37" s="89">
        <f t="shared" si="1"/>
        <v>0</v>
      </c>
    </row>
    <row r="38" spans="2:13" x14ac:dyDescent="0.45">
      <c r="B38" s="82" t="s">
        <v>27</v>
      </c>
      <c r="F38" s="88">
        <v>18269544959</v>
      </c>
      <c r="H38" s="82" t="s">
        <v>27</v>
      </c>
      <c r="K38" s="83"/>
      <c r="L38" s="88">
        <v>18269544959</v>
      </c>
      <c r="M38" s="85"/>
    </row>
    <row r="39" spans="2:13" x14ac:dyDescent="0.45">
      <c r="M39" s="85"/>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5">
    <tabColor theme="8" tint="0.39997558519241921"/>
  </sheetPr>
  <dimension ref="B2:K39"/>
  <sheetViews>
    <sheetView showGridLines="0" zoomScale="55" zoomScaleNormal="55" workbookViewId="0">
      <selection activeCell="B4" sqref="B4:G4"/>
    </sheetView>
  </sheetViews>
  <sheetFormatPr baseColWidth="10" defaultColWidth="10.81640625" defaultRowHeight="16.5" x14ac:dyDescent="0.35"/>
  <cols>
    <col min="1" max="1" width="10.81640625" style="22"/>
    <col min="2" max="2" width="58.1796875" style="25" customWidth="1"/>
    <col min="3" max="3" width="15.81640625" style="23" customWidth="1"/>
    <col min="4" max="4" width="20" style="59" bestFit="1" customWidth="1"/>
    <col min="5" max="5" width="31.54296875" style="23" customWidth="1"/>
    <col min="6" max="6" width="36.54296875" style="23" customWidth="1"/>
    <col min="7" max="7" width="53.1796875" style="25" customWidth="1"/>
    <col min="8" max="11" width="10.81640625" style="25"/>
    <col min="12" max="16384" width="10.81640625" style="22"/>
  </cols>
  <sheetData>
    <row r="2" spans="2:7" x14ac:dyDescent="0.35">
      <c r="B2" s="55">
        <v>8126</v>
      </c>
    </row>
    <row r="3" spans="2:7" ht="49.5" x14ac:dyDescent="0.35">
      <c r="B3" s="55" t="s">
        <v>88</v>
      </c>
      <c r="C3" s="55" t="s">
        <v>305</v>
      </c>
      <c r="D3" s="60" t="s">
        <v>306</v>
      </c>
      <c r="E3" s="64" t="s">
        <v>206</v>
      </c>
      <c r="F3" s="55" t="s">
        <v>207</v>
      </c>
      <c r="G3" s="55" t="s">
        <v>307</v>
      </c>
    </row>
    <row r="4" spans="2:7" ht="49.5" x14ac:dyDescent="0.35">
      <c r="B4" s="56" t="s">
        <v>93</v>
      </c>
      <c r="C4" s="57" t="s">
        <v>308</v>
      </c>
      <c r="D4" s="61">
        <v>336851064</v>
      </c>
      <c r="E4" s="57" t="s">
        <v>309</v>
      </c>
      <c r="F4" s="57" t="s">
        <v>271</v>
      </c>
      <c r="G4" s="56" t="s">
        <v>138</v>
      </c>
    </row>
    <row r="5" spans="2:7" ht="99" x14ac:dyDescent="0.35">
      <c r="B5" s="56" t="s">
        <v>98</v>
      </c>
      <c r="C5" s="57" t="s">
        <v>308</v>
      </c>
      <c r="D5" s="61">
        <v>168425532</v>
      </c>
      <c r="E5" s="57" t="s">
        <v>310</v>
      </c>
      <c r="F5" s="57" t="s">
        <v>272</v>
      </c>
      <c r="G5" s="56" t="s">
        <v>138</v>
      </c>
    </row>
    <row r="6" spans="2:7" ht="33" x14ac:dyDescent="0.35">
      <c r="B6" s="56" t="s">
        <v>103</v>
      </c>
      <c r="C6" s="57" t="s">
        <v>308</v>
      </c>
      <c r="D6" s="61">
        <v>56141844</v>
      </c>
      <c r="E6" s="57" t="s">
        <v>310</v>
      </c>
      <c r="F6" s="57" t="s">
        <v>272</v>
      </c>
      <c r="G6" s="56" t="s">
        <v>138</v>
      </c>
    </row>
    <row r="7" spans="2:7" ht="115.5" x14ac:dyDescent="0.35">
      <c r="B7" s="56" t="s">
        <v>106</v>
      </c>
      <c r="C7" s="57" t="s">
        <v>311</v>
      </c>
      <c r="D7" s="61">
        <v>481960117</v>
      </c>
      <c r="E7" s="57" t="s">
        <v>312</v>
      </c>
      <c r="F7" s="57" t="s">
        <v>269</v>
      </c>
      <c r="G7" s="56" t="s">
        <v>313</v>
      </c>
    </row>
    <row r="8" spans="2:7" ht="115.5" x14ac:dyDescent="0.35">
      <c r="B8" s="56" t="s">
        <v>111</v>
      </c>
      <c r="C8" s="57" t="s">
        <v>311</v>
      </c>
      <c r="D8" s="61">
        <v>926338572</v>
      </c>
      <c r="E8" s="57" t="s">
        <v>312</v>
      </c>
      <c r="F8" s="57" t="s">
        <v>269</v>
      </c>
      <c r="G8" s="56" t="s">
        <v>314</v>
      </c>
    </row>
    <row r="9" spans="2:7" ht="49.5" x14ac:dyDescent="0.35">
      <c r="B9" s="56" t="s">
        <v>116</v>
      </c>
      <c r="C9" s="57" t="s">
        <v>311</v>
      </c>
      <c r="D9" s="61">
        <v>475003732</v>
      </c>
      <c r="E9" s="57" t="s">
        <v>312</v>
      </c>
      <c r="F9" s="57" t="s">
        <v>269</v>
      </c>
      <c r="G9" s="56" t="s">
        <v>138</v>
      </c>
    </row>
    <row r="10" spans="2:7" ht="49.5" x14ac:dyDescent="0.35">
      <c r="B10" s="56" t="s">
        <v>121</v>
      </c>
      <c r="C10" s="57" t="s">
        <v>311</v>
      </c>
      <c r="D10" s="61">
        <v>175876971</v>
      </c>
      <c r="E10" s="57" t="s">
        <v>312</v>
      </c>
      <c r="F10" s="57" t="s">
        <v>269</v>
      </c>
      <c r="G10" s="56" t="s">
        <v>37</v>
      </c>
    </row>
    <row r="11" spans="2:7" ht="148.5" x14ac:dyDescent="0.35">
      <c r="B11" s="56" t="s">
        <v>126</v>
      </c>
      <c r="C11" s="57" t="s">
        <v>315</v>
      </c>
      <c r="D11" s="61">
        <v>1239712750</v>
      </c>
      <c r="E11" s="57" t="s">
        <v>316</v>
      </c>
      <c r="F11" s="57" t="s">
        <v>266</v>
      </c>
      <c r="G11" s="56" t="s">
        <v>317</v>
      </c>
    </row>
    <row r="12" spans="2:7" ht="49.5" customHeight="1" x14ac:dyDescent="0.35">
      <c r="B12" s="200" t="s">
        <v>131</v>
      </c>
      <c r="C12" s="57" t="s">
        <v>318</v>
      </c>
      <c r="D12" s="61">
        <v>260870960</v>
      </c>
      <c r="E12" s="57" t="s">
        <v>316</v>
      </c>
      <c r="F12" s="57" t="s">
        <v>266</v>
      </c>
      <c r="G12" s="56" t="s">
        <v>138</v>
      </c>
    </row>
    <row r="13" spans="2:7" ht="33" x14ac:dyDescent="0.35">
      <c r="B13" s="204"/>
      <c r="C13" s="57" t="s">
        <v>319</v>
      </c>
      <c r="D13" s="61">
        <v>206558000</v>
      </c>
      <c r="E13" s="57" t="s">
        <v>316</v>
      </c>
      <c r="F13" s="57" t="s">
        <v>266</v>
      </c>
      <c r="G13" s="56" t="s">
        <v>138</v>
      </c>
    </row>
    <row r="14" spans="2:7" ht="33" x14ac:dyDescent="0.35">
      <c r="B14" s="204"/>
      <c r="C14" s="57" t="s">
        <v>320</v>
      </c>
      <c r="D14" s="61">
        <v>171068294</v>
      </c>
      <c r="E14" s="57" t="s">
        <v>316</v>
      </c>
      <c r="F14" s="57" t="s">
        <v>266</v>
      </c>
      <c r="G14" s="56" t="s">
        <v>138</v>
      </c>
    </row>
    <row r="15" spans="2:7" ht="33" x14ac:dyDescent="0.35">
      <c r="B15" s="204"/>
      <c r="C15" s="57" t="s">
        <v>321</v>
      </c>
      <c r="D15" s="61">
        <v>229431788</v>
      </c>
      <c r="E15" s="57" t="s">
        <v>316</v>
      </c>
      <c r="F15" s="57" t="s">
        <v>266</v>
      </c>
      <c r="G15" s="56" t="s">
        <v>138</v>
      </c>
    </row>
    <row r="16" spans="2:7" ht="33" x14ac:dyDescent="0.35">
      <c r="B16" s="201"/>
      <c r="C16" s="57" t="s">
        <v>315</v>
      </c>
      <c r="D16" s="61">
        <v>248759474</v>
      </c>
      <c r="E16" s="57" t="s">
        <v>316</v>
      </c>
      <c r="F16" s="57" t="s">
        <v>266</v>
      </c>
      <c r="G16" s="56" t="s">
        <v>138</v>
      </c>
    </row>
    <row r="17" spans="2:11" ht="66" x14ac:dyDescent="0.35">
      <c r="B17" s="56" t="s">
        <v>135</v>
      </c>
      <c r="C17" s="57" t="s">
        <v>318</v>
      </c>
      <c r="D17" s="61">
        <v>260870960</v>
      </c>
      <c r="E17" s="57" t="s">
        <v>322</v>
      </c>
      <c r="F17" s="57" t="s">
        <v>273</v>
      </c>
      <c r="G17" s="56" t="s">
        <v>138</v>
      </c>
    </row>
    <row r="18" spans="2:11" x14ac:dyDescent="0.35">
      <c r="B18" s="24" t="s">
        <v>344</v>
      </c>
      <c r="D18" s="62">
        <v>5237870058</v>
      </c>
    </row>
    <row r="19" spans="2:11" x14ac:dyDescent="0.35">
      <c r="F19" s="23" t="s">
        <v>323</v>
      </c>
    </row>
    <row r="20" spans="2:11" x14ac:dyDescent="0.35">
      <c r="F20" s="23" t="s">
        <v>323</v>
      </c>
    </row>
    <row r="21" spans="2:11" x14ac:dyDescent="0.35">
      <c r="B21" s="55">
        <v>8173</v>
      </c>
      <c r="C21" s="57"/>
      <c r="D21" s="61"/>
      <c r="E21" s="57"/>
      <c r="F21" s="57" t="s">
        <v>323</v>
      </c>
      <c r="G21" s="58"/>
    </row>
    <row r="22" spans="2:11" s="95" customFormat="1" ht="49.5" x14ac:dyDescent="0.35">
      <c r="B22" s="55" t="s">
        <v>89</v>
      </c>
      <c r="C22" s="55" t="s">
        <v>305</v>
      </c>
      <c r="D22" s="60" t="s">
        <v>306</v>
      </c>
      <c r="E22" s="64" t="s">
        <v>206</v>
      </c>
      <c r="F22" s="55" t="s">
        <v>207</v>
      </c>
      <c r="G22" s="55" t="s">
        <v>307</v>
      </c>
      <c r="H22" s="24"/>
      <c r="I22" s="24"/>
      <c r="J22" s="24"/>
      <c r="K22" s="24"/>
    </row>
    <row r="23" spans="2:11" ht="33" x14ac:dyDescent="0.35">
      <c r="B23" s="205" t="s">
        <v>94</v>
      </c>
      <c r="C23" s="208" t="s">
        <v>324</v>
      </c>
      <c r="D23" s="92">
        <v>162500000</v>
      </c>
      <c r="E23" s="94" t="s">
        <v>325</v>
      </c>
      <c r="F23" s="94" t="s">
        <v>259</v>
      </c>
      <c r="G23" s="93" t="s">
        <v>138</v>
      </c>
    </row>
    <row r="24" spans="2:11" ht="33" x14ac:dyDescent="0.35">
      <c r="B24" s="206"/>
      <c r="C24" s="209"/>
      <c r="D24" s="92">
        <v>698601047</v>
      </c>
      <c r="E24" s="94" t="s">
        <v>326</v>
      </c>
      <c r="F24" s="94" t="s">
        <v>260</v>
      </c>
      <c r="G24" s="93" t="s">
        <v>327</v>
      </c>
    </row>
    <row r="25" spans="2:11" ht="33" x14ac:dyDescent="0.35">
      <c r="B25" s="207"/>
      <c r="C25" s="210"/>
      <c r="D25" s="92">
        <v>387093222</v>
      </c>
      <c r="E25" s="94" t="s">
        <v>328</v>
      </c>
      <c r="F25" s="94" t="s">
        <v>262</v>
      </c>
      <c r="G25" s="93" t="s">
        <v>138</v>
      </c>
    </row>
    <row r="26" spans="2:11" ht="33" x14ac:dyDescent="0.35">
      <c r="B26" s="200" t="s">
        <v>99</v>
      </c>
      <c r="C26" s="202" t="s">
        <v>329</v>
      </c>
      <c r="D26" s="61">
        <v>1275620000</v>
      </c>
      <c r="E26" s="57" t="s">
        <v>330</v>
      </c>
      <c r="F26" s="57" t="s">
        <v>258</v>
      </c>
      <c r="G26" s="56" t="s">
        <v>138</v>
      </c>
    </row>
    <row r="27" spans="2:11" ht="49.5" x14ac:dyDescent="0.35">
      <c r="B27" s="201"/>
      <c r="C27" s="203"/>
      <c r="D27" s="61">
        <v>5739596933</v>
      </c>
      <c r="E27" s="57" t="s">
        <v>331</v>
      </c>
      <c r="F27" s="57" t="s">
        <v>268</v>
      </c>
      <c r="G27" s="56" t="s">
        <v>332</v>
      </c>
    </row>
    <row r="28" spans="2:11" ht="49.5" x14ac:dyDescent="0.35">
      <c r="B28" s="56" t="s">
        <v>104</v>
      </c>
      <c r="C28" s="57" t="s">
        <v>329</v>
      </c>
      <c r="D28" s="61">
        <v>0</v>
      </c>
      <c r="E28" s="57" t="s">
        <v>333</v>
      </c>
      <c r="F28" s="57" t="s">
        <v>267</v>
      </c>
      <c r="G28" s="56" t="s">
        <v>304</v>
      </c>
    </row>
    <row r="29" spans="2:11" ht="115.5" x14ac:dyDescent="0.35">
      <c r="B29" s="200" t="s">
        <v>107</v>
      </c>
      <c r="C29" s="202" t="s">
        <v>334</v>
      </c>
      <c r="D29" s="61">
        <v>4450000000</v>
      </c>
      <c r="E29" s="57" t="s">
        <v>333</v>
      </c>
      <c r="F29" s="57" t="s">
        <v>267</v>
      </c>
      <c r="G29" s="56" t="s">
        <v>432</v>
      </c>
    </row>
    <row r="30" spans="2:11" ht="33" x14ac:dyDescent="0.35">
      <c r="B30" s="201"/>
      <c r="C30" s="203"/>
      <c r="D30" s="61">
        <v>1071405909</v>
      </c>
      <c r="E30" s="57" t="s">
        <v>335</v>
      </c>
      <c r="F30" s="57" t="s">
        <v>270</v>
      </c>
      <c r="G30" s="56" t="s">
        <v>138</v>
      </c>
    </row>
    <row r="31" spans="2:11" ht="33" x14ac:dyDescent="0.35">
      <c r="B31" s="93" t="s">
        <v>112</v>
      </c>
      <c r="C31" s="94" t="s">
        <v>324</v>
      </c>
      <c r="D31" s="92">
        <v>639843601</v>
      </c>
      <c r="E31" s="94" t="s">
        <v>336</v>
      </c>
      <c r="F31" s="94" t="s">
        <v>261</v>
      </c>
      <c r="G31" s="93" t="s">
        <v>138</v>
      </c>
    </row>
    <row r="32" spans="2:11" ht="49.5" x14ac:dyDescent="0.35">
      <c r="B32" s="93" t="s">
        <v>117</v>
      </c>
      <c r="C32" s="94" t="s">
        <v>324</v>
      </c>
      <c r="D32" s="92">
        <v>51767209</v>
      </c>
      <c r="E32" s="94" t="s">
        <v>336</v>
      </c>
      <c r="F32" s="94" t="s">
        <v>261</v>
      </c>
      <c r="G32" s="93" t="s">
        <v>138</v>
      </c>
    </row>
    <row r="33" spans="2:7" ht="33" x14ac:dyDescent="0.35">
      <c r="B33" s="58" t="s">
        <v>122</v>
      </c>
      <c r="C33" s="57" t="s">
        <v>315</v>
      </c>
      <c r="D33" s="61">
        <v>899210268</v>
      </c>
      <c r="E33" s="57" t="s">
        <v>337</v>
      </c>
      <c r="F33" s="57" t="s">
        <v>264</v>
      </c>
      <c r="G33" s="56" t="s">
        <v>338</v>
      </c>
    </row>
    <row r="34" spans="2:7" ht="33" x14ac:dyDescent="0.35">
      <c r="B34" s="58" t="s">
        <v>127</v>
      </c>
      <c r="C34" s="57" t="s">
        <v>315</v>
      </c>
      <c r="D34" s="61">
        <v>0</v>
      </c>
      <c r="E34" s="57" t="s">
        <v>339</v>
      </c>
      <c r="F34" s="57" t="s">
        <v>265</v>
      </c>
      <c r="G34" s="56" t="s">
        <v>102</v>
      </c>
    </row>
    <row r="35" spans="2:7" ht="66" x14ac:dyDescent="0.35">
      <c r="B35" s="56" t="s">
        <v>132</v>
      </c>
      <c r="C35" s="57" t="s">
        <v>340</v>
      </c>
      <c r="D35" s="61">
        <v>2793994517</v>
      </c>
      <c r="E35" s="57" t="s">
        <v>341</v>
      </c>
      <c r="F35" s="57" t="s">
        <v>263</v>
      </c>
      <c r="G35" s="56" t="s">
        <v>342</v>
      </c>
    </row>
    <row r="36" spans="2:7" ht="33" x14ac:dyDescent="0.35">
      <c r="B36" s="56" t="s">
        <v>136</v>
      </c>
      <c r="C36" s="57" t="s">
        <v>315</v>
      </c>
      <c r="D36" s="61">
        <v>99912253</v>
      </c>
      <c r="E36" s="57" t="s">
        <v>343</v>
      </c>
      <c r="F36" s="57" t="s">
        <v>274</v>
      </c>
      <c r="G36" s="56" t="s">
        <v>138</v>
      </c>
    </row>
    <row r="37" spans="2:7" x14ac:dyDescent="0.35">
      <c r="B37" s="24" t="s">
        <v>344</v>
      </c>
      <c r="D37" s="62">
        <f>SUM(D23:D36)</f>
        <v>18269544959</v>
      </c>
      <c r="F37" s="23" t="s">
        <v>323</v>
      </c>
    </row>
    <row r="39" spans="2:7" x14ac:dyDescent="0.35">
      <c r="B39" s="24" t="s">
        <v>345</v>
      </c>
      <c r="C39" s="24"/>
      <c r="D39" s="63">
        <v>23507415017</v>
      </c>
      <c r="F39" s="23" t="s">
        <v>323</v>
      </c>
    </row>
  </sheetData>
  <mergeCells count="7">
    <mergeCell ref="B29:B30"/>
    <mergeCell ref="C29:C30"/>
    <mergeCell ref="B12:B16"/>
    <mergeCell ref="B23:B25"/>
    <mergeCell ref="B26:B27"/>
    <mergeCell ref="C23:C25"/>
    <mergeCell ref="C26:C27"/>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3"/>
  <dimension ref="B1:Z75"/>
  <sheetViews>
    <sheetView topLeftCell="E1" zoomScale="55" zoomScaleNormal="55" workbookViewId="0">
      <selection activeCell="O14" sqref="O14:O15"/>
    </sheetView>
  </sheetViews>
  <sheetFormatPr baseColWidth="10" defaultRowHeight="15.5" x14ac:dyDescent="0.35"/>
  <cols>
    <col min="2" max="2" width="64.453125" style="15" customWidth="1"/>
    <col min="3" max="3" width="15.1796875" style="15" customWidth="1"/>
    <col min="4" max="4" width="61" style="15" customWidth="1"/>
    <col min="5" max="5" width="19.54296875" style="15" customWidth="1"/>
    <col min="6" max="6" width="36.1796875" style="15" customWidth="1"/>
    <col min="7" max="7" width="23.1796875" style="15" customWidth="1"/>
    <col min="8" max="8" width="35.453125" style="15" customWidth="1"/>
    <col min="9" max="10" width="10.81640625" style="15"/>
    <col min="11" max="11" width="13.453125" style="15" customWidth="1"/>
    <col min="12" max="13" width="10.81640625" style="15"/>
    <col min="15" max="15" width="16.81640625" customWidth="1"/>
    <col min="19" max="19" width="16.453125" customWidth="1"/>
  </cols>
  <sheetData>
    <row r="1" spans="2:19" ht="28" x14ac:dyDescent="0.35">
      <c r="B1" s="15" t="s">
        <v>83</v>
      </c>
      <c r="D1" s="15" t="s">
        <v>82</v>
      </c>
      <c r="F1" s="15" t="s">
        <v>84</v>
      </c>
      <c r="H1" s="16"/>
      <c r="J1" s="16"/>
      <c r="L1" s="15" t="s">
        <v>210</v>
      </c>
      <c r="M1"/>
      <c r="O1" t="s">
        <v>0</v>
      </c>
      <c r="Q1" t="s">
        <v>171</v>
      </c>
      <c r="S1" s="51" t="s">
        <v>77</v>
      </c>
    </row>
    <row r="2" spans="2:19" x14ac:dyDescent="0.35">
      <c r="B2" s="15" t="s">
        <v>85</v>
      </c>
      <c r="D2" s="15" t="s">
        <v>86</v>
      </c>
      <c r="F2" s="15" t="s">
        <v>87</v>
      </c>
      <c r="H2" s="17" t="s">
        <v>88</v>
      </c>
      <c r="J2" s="17" t="s">
        <v>89</v>
      </c>
      <c r="L2" s="15" t="s">
        <v>208</v>
      </c>
      <c r="M2"/>
      <c r="O2" t="s">
        <v>45</v>
      </c>
      <c r="Q2" t="s">
        <v>172</v>
      </c>
      <c r="S2" t="s">
        <v>204</v>
      </c>
    </row>
    <row r="3" spans="2:19" x14ac:dyDescent="0.35">
      <c r="B3" s="15" t="s">
        <v>90</v>
      </c>
      <c r="D3" s="15" t="s">
        <v>91</v>
      </c>
      <c r="F3" s="15" t="s">
        <v>92</v>
      </c>
      <c r="H3" s="15" t="s">
        <v>93</v>
      </c>
      <c r="I3" s="16">
        <v>8126</v>
      </c>
      <c r="J3" s="17" t="s">
        <v>211</v>
      </c>
      <c r="L3" s="15" t="s">
        <v>209</v>
      </c>
      <c r="M3"/>
      <c r="O3" t="s">
        <v>161</v>
      </c>
      <c r="Q3" t="s">
        <v>173</v>
      </c>
      <c r="S3" t="s">
        <v>205</v>
      </c>
    </row>
    <row r="4" spans="2:19" x14ac:dyDescent="0.35">
      <c r="B4" s="15" t="s">
        <v>95</v>
      </c>
      <c r="D4" s="15" t="s">
        <v>96</v>
      </c>
      <c r="F4" s="15" t="s">
        <v>97</v>
      </c>
      <c r="H4" s="15" t="s">
        <v>98</v>
      </c>
      <c r="I4" s="16">
        <v>8126</v>
      </c>
      <c r="J4" s="17" t="s">
        <v>212</v>
      </c>
      <c r="L4" s="15" t="s">
        <v>346</v>
      </c>
      <c r="M4"/>
      <c r="O4" t="s">
        <v>162</v>
      </c>
      <c r="Q4" t="s">
        <v>484</v>
      </c>
    </row>
    <row r="5" spans="2:19" x14ac:dyDescent="0.35">
      <c r="B5" s="15" t="s">
        <v>100</v>
      </c>
      <c r="D5" s="15" t="s">
        <v>101</v>
      </c>
      <c r="F5" s="15" t="s">
        <v>102</v>
      </c>
      <c r="H5" s="15" t="s">
        <v>103</v>
      </c>
      <c r="I5" s="16">
        <v>8126</v>
      </c>
      <c r="J5" s="17" t="s">
        <v>213</v>
      </c>
      <c r="L5" s="15" t="s">
        <v>409</v>
      </c>
      <c r="M5"/>
      <c r="O5" t="s">
        <v>36</v>
      </c>
      <c r="Q5" t="s">
        <v>409</v>
      </c>
    </row>
    <row r="6" spans="2:19" x14ac:dyDescent="0.35">
      <c r="B6" s="15" t="s">
        <v>108</v>
      </c>
      <c r="D6" s="15" t="s">
        <v>105</v>
      </c>
      <c r="F6" s="15" t="s">
        <v>102</v>
      </c>
      <c r="H6" s="15" t="s">
        <v>106</v>
      </c>
      <c r="I6" s="16">
        <v>8126</v>
      </c>
      <c r="J6" s="17" t="s">
        <v>214</v>
      </c>
      <c r="M6"/>
      <c r="O6" t="s">
        <v>46</v>
      </c>
    </row>
    <row r="7" spans="2:19" x14ac:dyDescent="0.35">
      <c r="B7" s="15" t="s">
        <v>113</v>
      </c>
      <c r="D7" s="15" t="s">
        <v>109</v>
      </c>
      <c r="F7" s="15" t="s">
        <v>110</v>
      </c>
      <c r="H7" s="15" t="s">
        <v>111</v>
      </c>
      <c r="I7" s="16">
        <v>8126</v>
      </c>
      <c r="J7" s="17" t="s">
        <v>215</v>
      </c>
      <c r="M7"/>
      <c r="O7" t="s">
        <v>163</v>
      </c>
    </row>
    <row r="8" spans="2:19" x14ac:dyDescent="0.35">
      <c r="B8" s="15" t="s">
        <v>118</v>
      </c>
      <c r="D8" s="15" t="s">
        <v>114</v>
      </c>
      <c r="F8" s="15" t="s">
        <v>115</v>
      </c>
      <c r="H8" s="15" t="s">
        <v>116</v>
      </c>
      <c r="I8" s="16">
        <v>8126</v>
      </c>
      <c r="J8" s="17" t="s">
        <v>216</v>
      </c>
      <c r="M8"/>
      <c r="O8" t="s">
        <v>164</v>
      </c>
    </row>
    <row r="9" spans="2:19" x14ac:dyDescent="0.35">
      <c r="B9" s="15" t="s">
        <v>123</v>
      </c>
      <c r="D9" s="15" t="s">
        <v>119</v>
      </c>
      <c r="F9" s="15" t="s">
        <v>120</v>
      </c>
      <c r="H9" s="15" t="s">
        <v>121</v>
      </c>
      <c r="I9" s="16">
        <v>8126</v>
      </c>
      <c r="J9" s="17" t="s">
        <v>217</v>
      </c>
      <c r="M9"/>
      <c r="O9" t="s">
        <v>166</v>
      </c>
    </row>
    <row r="10" spans="2:19" x14ac:dyDescent="0.35">
      <c r="B10" s="15" t="s">
        <v>128</v>
      </c>
      <c r="D10" s="15" t="s">
        <v>124</v>
      </c>
      <c r="F10" s="15" t="s">
        <v>125</v>
      </c>
      <c r="H10" s="15" t="s">
        <v>126</v>
      </c>
      <c r="I10" s="16">
        <v>8126</v>
      </c>
      <c r="J10" s="17" t="s">
        <v>218</v>
      </c>
      <c r="M10"/>
      <c r="O10" t="s">
        <v>165</v>
      </c>
    </row>
    <row r="11" spans="2:19" x14ac:dyDescent="0.35">
      <c r="B11" s="15" t="s">
        <v>348</v>
      </c>
      <c r="D11" s="15" t="s">
        <v>129</v>
      </c>
      <c r="F11" s="15" t="s">
        <v>130</v>
      </c>
      <c r="H11" s="15" t="s">
        <v>131</v>
      </c>
      <c r="I11" s="16">
        <v>8126</v>
      </c>
      <c r="J11" s="17" t="s">
        <v>219</v>
      </c>
      <c r="M11"/>
      <c r="O11" t="s">
        <v>167</v>
      </c>
    </row>
    <row r="12" spans="2:19" x14ac:dyDescent="0.35">
      <c r="D12" s="15" t="s">
        <v>133</v>
      </c>
      <c r="F12" s="15" t="s">
        <v>134</v>
      </c>
      <c r="H12" s="15" t="s">
        <v>135</v>
      </c>
      <c r="I12" s="16">
        <v>8126</v>
      </c>
      <c r="J12" s="17" t="s">
        <v>220</v>
      </c>
      <c r="M12"/>
      <c r="O12" t="s">
        <v>168</v>
      </c>
    </row>
    <row r="13" spans="2:19" x14ac:dyDescent="0.35">
      <c r="D13" s="15" t="s">
        <v>137</v>
      </c>
      <c r="F13" s="15" t="s">
        <v>138</v>
      </c>
      <c r="H13" s="15" t="s">
        <v>94</v>
      </c>
      <c r="I13" s="16">
        <v>8173</v>
      </c>
      <c r="J13" s="17" t="s">
        <v>221</v>
      </c>
      <c r="M13"/>
      <c r="O13" t="s">
        <v>169</v>
      </c>
    </row>
    <row r="14" spans="2:19" x14ac:dyDescent="0.35">
      <c r="D14" s="15" t="s">
        <v>139</v>
      </c>
      <c r="F14" s="15" t="s">
        <v>138</v>
      </c>
      <c r="H14" s="15" t="s">
        <v>99</v>
      </c>
      <c r="I14" s="16">
        <v>8173</v>
      </c>
      <c r="J14" s="17" t="s">
        <v>222</v>
      </c>
      <c r="M14"/>
    </row>
    <row r="15" spans="2:19" x14ac:dyDescent="0.35">
      <c r="D15" s="15" t="s">
        <v>140</v>
      </c>
      <c r="F15" s="15" t="s">
        <v>141</v>
      </c>
      <c r="H15" s="15" t="s">
        <v>104</v>
      </c>
      <c r="I15" s="16">
        <v>8173</v>
      </c>
      <c r="J15" s="17" t="s">
        <v>223</v>
      </c>
      <c r="M15"/>
    </row>
    <row r="16" spans="2:19" x14ac:dyDescent="0.35">
      <c r="D16" s="15" t="s">
        <v>142</v>
      </c>
      <c r="F16" s="15" t="s">
        <v>143</v>
      </c>
      <c r="H16" s="15" t="s">
        <v>107</v>
      </c>
      <c r="I16" s="16">
        <v>8173</v>
      </c>
      <c r="J16" s="17" t="s">
        <v>224</v>
      </c>
      <c r="M16"/>
    </row>
    <row r="17" spans="2:26" x14ac:dyDescent="0.35">
      <c r="D17" s="15" t="s">
        <v>144</v>
      </c>
      <c r="F17" s="15" t="s">
        <v>145</v>
      </c>
      <c r="H17" s="15" t="s">
        <v>112</v>
      </c>
      <c r="I17" s="16">
        <v>8173</v>
      </c>
      <c r="J17" s="17" t="s">
        <v>225</v>
      </c>
      <c r="M17"/>
    </row>
    <row r="18" spans="2:26" x14ac:dyDescent="0.35">
      <c r="D18" s="15" t="s">
        <v>146</v>
      </c>
      <c r="F18" s="15" t="s">
        <v>147</v>
      </c>
      <c r="H18" s="15" t="s">
        <v>117</v>
      </c>
      <c r="I18" s="16">
        <v>8173</v>
      </c>
      <c r="J18" s="17" t="s">
        <v>226</v>
      </c>
      <c r="M18"/>
    </row>
    <row r="19" spans="2:26" x14ac:dyDescent="0.35">
      <c r="D19" s="15" t="s">
        <v>148</v>
      </c>
      <c r="F19" s="15" t="s">
        <v>170</v>
      </c>
      <c r="H19" s="15" t="s">
        <v>122</v>
      </c>
      <c r="I19" s="16">
        <v>8173</v>
      </c>
      <c r="J19" s="17" t="s">
        <v>227</v>
      </c>
      <c r="M19"/>
    </row>
    <row r="20" spans="2:26" x14ac:dyDescent="0.35">
      <c r="D20" s="15" t="s">
        <v>149</v>
      </c>
      <c r="F20" s="15" t="s">
        <v>456</v>
      </c>
      <c r="H20" s="15" t="s">
        <v>127</v>
      </c>
      <c r="I20" s="16">
        <v>8173</v>
      </c>
      <c r="J20" s="17" t="s">
        <v>228</v>
      </c>
      <c r="M20"/>
    </row>
    <row r="21" spans="2:26" x14ac:dyDescent="0.35">
      <c r="D21" s="15" t="s">
        <v>150</v>
      </c>
      <c r="F21" s="15" t="s">
        <v>457</v>
      </c>
      <c r="H21" s="15" t="s">
        <v>132</v>
      </c>
      <c r="I21" s="16">
        <v>8173</v>
      </c>
      <c r="J21" s="17" t="s">
        <v>229</v>
      </c>
      <c r="M21"/>
    </row>
    <row r="22" spans="2:26" x14ac:dyDescent="0.35">
      <c r="D22" s="15" t="s">
        <v>151</v>
      </c>
      <c r="F22" s="15" t="s">
        <v>458</v>
      </c>
      <c r="H22" s="15" t="s">
        <v>136</v>
      </c>
      <c r="I22" s="16">
        <v>8173</v>
      </c>
      <c r="J22" s="17" t="s">
        <v>230</v>
      </c>
      <c r="M22"/>
    </row>
    <row r="23" spans="2:26" x14ac:dyDescent="0.35">
      <c r="D23" s="15" t="s">
        <v>152</v>
      </c>
      <c r="F23" s="15" t="s">
        <v>470</v>
      </c>
      <c r="J23" s="15" t="s">
        <v>347</v>
      </c>
      <c r="M23"/>
    </row>
    <row r="24" spans="2:26" x14ac:dyDescent="0.35">
      <c r="D24" s="15" t="s">
        <v>153</v>
      </c>
      <c r="F24" s="15" t="s">
        <v>469</v>
      </c>
      <c r="M24"/>
    </row>
    <row r="25" spans="2:26" x14ac:dyDescent="0.35">
      <c r="D25" s="15" t="s">
        <v>154</v>
      </c>
      <c r="F25" s="15" t="s">
        <v>696</v>
      </c>
      <c r="M25"/>
    </row>
    <row r="26" spans="2:26" x14ac:dyDescent="0.35">
      <c r="D26" s="15" t="s">
        <v>155</v>
      </c>
      <c r="F26" s="15" t="s">
        <v>348</v>
      </c>
      <c r="M26"/>
    </row>
    <row r="27" spans="2:26" x14ac:dyDescent="0.35">
      <c r="D27" s="15" t="s">
        <v>156</v>
      </c>
      <c r="H27" s="15" t="s">
        <v>410</v>
      </c>
      <c r="M27"/>
    </row>
    <row r="28" spans="2:26" x14ac:dyDescent="0.35">
      <c r="D28" s="15" t="s">
        <v>157</v>
      </c>
      <c r="M28"/>
    </row>
    <row r="29" spans="2:26" x14ac:dyDescent="0.35">
      <c r="D29" s="15" t="s">
        <v>158</v>
      </c>
      <c r="M29"/>
    </row>
    <row r="30" spans="2:26" x14ac:dyDescent="0.35">
      <c r="M30"/>
    </row>
    <row r="32" spans="2:26" ht="49.5" x14ac:dyDescent="0.35">
      <c r="B32" s="18" t="s">
        <v>210</v>
      </c>
      <c r="C32" s="18" t="s">
        <v>195</v>
      </c>
      <c r="D32" s="18" t="s">
        <v>196</v>
      </c>
      <c r="E32" s="18" t="s">
        <v>174</v>
      </c>
      <c r="F32" s="18" t="s">
        <v>203</v>
      </c>
      <c r="J32" s="18" t="s">
        <v>79</v>
      </c>
      <c r="K32" s="18" t="s">
        <v>80</v>
      </c>
      <c r="N32" s="18" t="s">
        <v>81</v>
      </c>
      <c r="O32" s="18" t="s">
        <v>257</v>
      </c>
      <c r="P32" s="20"/>
      <c r="Q32" s="15"/>
      <c r="R32" s="18" t="s">
        <v>195</v>
      </c>
      <c r="S32" s="15"/>
      <c r="T32" s="18" t="s">
        <v>196</v>
      </c>
      <c r="V32" s="18" t="s">
        <v>197</v>
      </c>
      <c r="X32" s="19" t="s">
        <v>77</v>
      </c>
      <c r="Z32" s="19" t="s">
        <v>243</v>
      </c>
    </row>
    <row r="33" spans="2:26" x14ac:dyDescent="0.35">
      <c r="B33" s="15" t="s">
        <v>209</v>
      </c>
      <c r="C33" s="16" t="s">
        <v>198</v>
      </c>
      <c r="D33" s="16" t="s">
        <v>199</v>
      </c>
      <c r="E33" s="16">
        <v>20240255</v>
      </c>
      <c r="F33" s="15" t="s">
        <v>160</v>
      </c>
      <c r="J33" s="15" t="s">
        <v>175</v>
      </c>
      <c r="K33" t="s">
        <v>176</v>
      </c>
      <c r="N33" t="s">
        <v>233</v>
      </c>
      <c r="O33" t="s">
        <v>246</v>
      </c>
      <c r="Q33" s="15"/>
      <c r="R33" s="15" t="s">
        <v>198</v>
      </c>
      <c r="S33" s="15"/>
      <c r="T33" s="15" t="s">
        <v>199</v>
      </c>
      <c r="V33" t="s">
        <v>201</v>
      </c>
      <c r="X33" t="s">
        <v>204</v>
      </c>
      <c r="Z33" t="s">
        <v>233</v>
      </c>
    </row>
    <row r="34" spans="2:26" x14ac:dyDescent="0.35">
      <c r="B34" s="15" t="s">
        <v>208</v>
      </c>
      <c r="C34" s="16" t="s">
        <v>198</v>
      </c>
      <c r="D34" s="16" t="s">
        <v>200</v>
      </c>
      <c r="E34" s="16">
        <v>20240207</v>
      </c>
      <c r="F34" s="15" t="s">
        <v>159</v>
      </c>
      <c r="J34" s="15" t="s">
        <v>177</v>
      </c>
      <c r="K34" t="s">
        <v>178</v>
      </c>
      <c r="N34" t="s">
        <v>232</v>
      </c>
      <c r="O34" t="s">
        <v>245</v>
      </c>
      <c r="Q34" s="15"/>
      <c r="R34" s="15"/>
      <c r="S34" s="15"/>
      <c r="T34" s="15" t="s">
        <v>200</v>
      </c>
      <c r="V34" t="s">
        <v>202</v>
      </c>
      <c r="X34" t="s">
        <v>205</v>
      </c>
      <c r="Z34" t="s">
        <v>232</v>
      </c>
    </row>
    <row r="35" spans="2:26" x14ac:dyDescent="0.35">
      <c r="B35" s="15" t="s">
        <v>346</v>
      </c>
      <c r="C35" s="10" t="s">
        <v>349</v>
      </c>
      <c r="D35" s="10" t="s">
        <v>349</v>
      </c>
      <c r="E35" s="10" t="s">
        <v>349</v>
      </c>
      <c r="F35" s="10" t="s">
        <v>349</v>
      </c>
      <c r="J35" s="15" t="s">
        <v>181</v>
      </c>
      <c r="K35" t="s">
        <v>182</v>
      </c>
      <c r="N35" t="s">
        <v>239</v>
      </c>
      <c r="O35" t="s">
        <v>252</v>
      </c>
      <c r="Q35" s="15"/>
      <c r="R35" s="15"/>
      <c r="S35" s="15"/>
      <c r="Z35" t="s">
        <v>239</v>
      </c>
    </row>
    <row r="36" spans="2:26" x14ac:dyDescent="0.35">
      <c r="B36" s="17" t="s">
        <v>409</v>
      </c>
      <c r="C36" s="10" t="s">
        <v>349</v>
      </c>
      <c r="D36" s="10" t="s">
        <v>349</v>
      </c>
      <c r="E36" s="10" t="s">
        <v>349</v>
      </c>
      <c r="F36" s="10" t="s">
        <v>349</v>
      </c>
      <c r="J36" s="15" t="s">
        <v>183</v>
      </c>
      <c r="K36" t="s">
        <v>184</v>
      </c>
      <c r="N36" t="s">
        <v>236</v>
      </c>
      <c r="O36" t="s">
        <v>249</v>
      </c>
      <c r="Q36" s="15"/>
      <c r="R36" s="15"/>
      <c r="S36" s="15"/>
      <c r="Z36" t="s">
        <v>236</v>
      </c>
    </row>
    <row r="37" spans="2:26" x14ac:dyDescent="0.35">
      <c r="B37"/>
      <c r="C37"/>
      <c r="D37"/>
      <c r="E37"/>
      <c r="J37" s="15" t="s">
        <v>185</v>
      </c>
      <c r="K37" t="s">
        <v>186</v>
      </c>
      <c r="N37" t="s">
        <v>237</v>
      </c>
      <c r="O37" t="s">
        <v>250</v>
      </c>
      <c r="Q37" s="15"/>
      <c r="R37" s="15"/>
      <c r="S37" s="15"/>
      <c r="Z37" t="s">
        <v>237</v>
      </c>
    </row>
    <row r="38" spans="2:26" x14ac:dyDescent="0.35">
      <c r="B38"/>
      <c r="C38"/>
      <c r="D38"/>
      <c r="E38"/>
      <c r="J38" s="15" t="s">
        <v>187</v>
      </c>
      <c r="K38" t="s">
        <v>188</v>
      </c>
      <c r="N38" t="s">
        <v>238</v>
      </c>
      <c r="O38" t="s">
        <v>251</v>
      </c>
      <c r="Q38" s="15"/>
      <c r="R38" s="15"/>
      <c r="S38" s="15"/>
      <c r="Z38" t="s">
        <v>238</v>
      </c>
    </row>
    <row r="39" spans="2:26" x14ac:dyDescent="0.35">
      <c r="B39"/>
      <c r="C39"/>
      <c r="D39"/>
      <c r="E39"/>
      <c r="J39" s="15" t="s">
        <v>189</v>
      </c>
      <c r="K39" t="s">
        <v>190</v>
      </c>
      <c r="N39" t="s">
        <v>235</v>
      </c>
      <c r="O39" t="s">
        <v>248</v>
      </c>
      <c r="Q39" s="15"/>
      <c r="R39" s="15"/>
      <c r="S39" s="15"/>
      <c r="Z39" t="s">
        <v>235</v>
      </c>
    </row>
    <row r="40" spans="2:26" x14ac:dyDescent="0.35">
      <c r="B40"/>
      <c r="C40"/>
      <c r="D40"/>
      <c r="E40"/>
      <c r="J40" s="15" t="s">
        <v>179</v>
      </c>
      <c r="K40" t="s">
        <v>180</v>
      </c>
      <c r="N40" s="15" t="s">
        <v>242</v>
      </c>
      <c r="O40" s="15" t="s">
        <v>255</v>
      </c>
      <c r="Q40" s="15"/>
      <c r="R40" s="15"/>
      <c r="S40" s="15"/>
      <c r="Z40" t="s">
        <v>242</v>
      </c>
    </row>
    <row r="41" spans="2:26" x14ac:dyDescent="0.35">
      <c r="B41"/>
      <c r="C41"/>
      <c r="D41"/>
      <c r="E41"/>
      <c r="J41" s="15" t="s">
        <v>191</v>
      </c>
      <c r="K41" t="s">
        <v>192</v>
      </c>
      <c r="N41" s="15" t="s">
        <v>241</v>
      </c>
      <c r="O41" s="15" t="s">
        <v>254</v>
      </c>
      <c r="Q41" s="15"/>
      <c r="R41" s="15"/>
      <c r="S41" s="15"/>
      <c r="Z41" t="s">
        <v>241</v>
      </c>
    </row>
    <row r="42" spans="2:26" x14ac:dyDescent="0.35">
      <c r="B42"/>
      <c r="C42"/>
      <c r="D42"/>
      <c r="E42"/>
      <c r="J42" s="15" t="s">
        <v>193</v>
      </c>
      <c r="K42" t="s">
        <v>194</v>
      </c>
      <c r="N42" s="15" t="s">
        <v>240</v>
      </c>
      <c r="O42" s="15" t="s">
        <v>253</v>
      </c>
      <c r="Q42" s="15"/>
      <c r="R42" s="15"/>
      <c r="S42" s="15"/>
      <c r="Z42" t="s">
        <v>240</v>
      </c>
    </row>
    <row r="43" spans="2:26" x14ac:dyDescent="0.35">
      <c r="B43"/>
      <c r="C43"/>
      <c r="D43"/>
      <c r="E43"/>
      <c r="J43" s="15" t="s">
        <v>409</v>
      </c>
      <c r="K43" s="15" t="s">
        <v>409</v>
      </c>
      <c r="N43" s="15" t="s">
        <v>294</v>
      </c>
      <c r="O43" s="15" t="s">
        <v>256</v>
      </c>
      <c r="Q43" s="15"/>
      <c r="R43" s="15"/>
      <c r="S43" s="15"/>
      <c r="Z43" t="s">
        <v>234</v>
      </c>
    </row>
    <row r="44" spans="2:26" x14ac:dyDescent="0.35">
      <c r="B44"/>
      <c r="C44"/>
      <c r="D44"/>
      <c r="E44"/>
      <c r="N44" t="s">
        <v>234</v>
      </c>
      <c r="O44" t="s">
        <v>247</v>
      </c>
      <c r="Q44" s="15"/>
      <c r="R44" s="15"/>
      <c r="S44" s="15"/>
    </row>
    <row r="45" spans="2:26" x14ac:dyDescent="0.35">
      <c r="B45"/>
      <c r="C45"/>
      <c r="D45"/>
      <c r="E45"/>
      <c r="K45" s="21" t="s">
        <v>276</v>
      </c>
      <c r="L45" s="21" t="s">
        <v>293</v>
      </c>
      <c r="N45" s="15" t="s">
        <v>409</v>
      </c>
      <c r="O45" s="15" t="s">
        <v>409</v>
      </c>
      <c r="P45" s="15"/>
      <c r="Q45" s="15"/>
      <c r="R45" s="15"/>
      <c r="S45" s="15"/>
    </row>
    <row r="46" spans="2:26" x14ac:dyDescent="0.35">
      <c r="B46"/>
      <c r="C46"/>
      <c r="D46"/>
      <c r="E46"/>
      <c r="J46"/>
      <c r="K46" s="15" t="s">
        <v>277</v>
      </c>
      <c r="L46" s="15" t="s">
        <v>258</v>
      </c>
      <c r="P46" s="15"/>
      <c r="Q46" s="15"/>
      <c r="R46" s="15"/>
      <c r="S46" s="15"/>
    </row>
    <row r="47" spans="2:26" x14ac:dyDescent="0.35">
      <c r="B47"/>
      <c r="C47"/>
      <c r="D47"/>
      <c r="E47"/>
      <c r="K47" s="15" t="s">
        <v>278</v>
      </c>
      <c r="L47" s="15" t="s">
        <v>259</v>
      </c>
      <c r="N47" s="15"/>
      <c r="O47" s="15"/>
      <c r="P47" s="15"/>
      <c r="Q47" s="15"/>
      <c r="R47" s="15"/>
      <c r="S47" s="15"/>
    </row>
    <row r="48" spans="2:26" x14ac:dyDescent="0.35">
      <c r="B48"/>
      <c r="C48"/>
      <c r="D48"/>
      <c r="E48"/>
      <c r="K48" s="15" t="s">
        <v>279</v>
      </c>
      <c r="L48" s="15" t="s">
        <v>260</v>
      </c>
      <c r="N48" s="15"/>
      <c r="O48" s="15"/>
      <c r="P48" s="15"/>
      <c r="Q48" s="15"/>
      <c r="R48" s="15"/>
      <c r="S48" s="15"/>
    </row>
    <row r="49" spans="2:19" x14ac:dyDescent="0.35">
      <c r="B49"/>
      <c r="C49"/>
      <c r="D49"/>
      <c r="E49"/>
      <c r="J49"/>
      <c r="K49" s="15" t="s">
        <v>281</v>
      </c>
      <c r="L49" s="15" t="s">
        <v>262</v>
      </c>
      <c r="N49" s="15"/>
      <c r="O49" s="15"/>
      <c r="Q49" s="15"/>
      <c r="R49" s="15"/>
      <c r="S49" s="15"/>
    </row>
    <row r="50" spans="2:19" x14ac:dyDescent="0.35">
      <c r="B50"/>
      <c r="C50"/>
      <c r="D50"/>
      <c r="E50"/>
      <c r="K50" s="15" t="s">
        <v>282</v>
      </c>
      <c r="L50" s="15" t="s">
        <v>263</v>
      </c>
      <c r="P50" s="15"/>
      <c r="Q50" s="15"/>
    </row>
    <row r="51" spans="2:19" x14ac:dyDescent="0.35">
      <c r="B51"/>
      <c r="C51"/>
      <c r="D51"/>
      <c r="E51"/>
      <c r="K51" s="15" t="s">
        <v>283</v>
      </c>
      <c r="L51" s="15" t="s">
        <v>264</v>
      </c>
      <c r="N51" s="15"/>
      <c r="O51" s="15"/>
      <c r="P51" s="15"/>
      <c r="Q51" s="15"/>
    </row>
    <row r="52" spans="2:19" x14ac:dyDescent="0.35">
      <c r="B52"/>
      <c r="C52"/>
      <c r="D52"/>
      <c r="E52"/>
      <c r="K52" s="15" t="s">
        <v>284</v>
      </c>
      <c r="L52" s="15" t="s">
        <v>265</v>
      </c>
      <c r="N52" s="15"/>
      <c r="O52" s="15"/>
      <c r="P52" s="15"/>
      <c r="Q52" s="15"/>
    </row>
    <row r="53" spans="2:19" x14ac:dyDescent="0.35">
      <c r="B53"/>
      <c r="C53"/>
      <c r="D53"/>
      <c r="E53"/>
      <c r="K53" s="15" t="s">
        <v>285</v>
      </c>
      <c r="L53" s="15" t="s">
        <v>266</v>
      </c>
      <c r="N53" s="15"/>
      <c r="O53" s="15"/>
      <c r="P53" s="15"/>
      <c r="Q53" s="15"/>
    </row>
    <row r="54" spans="2:19" x14ac:dyDescent="0.35">
      <c r="B54"/>
      <c r="C54"/>
      <c r="D54"/>
      <c r="E54"/>
      <c r="K54" s="15" t="s">
        <v>295</v>
      </c>
      <c r="L54" s="15" t="s">
        <v>274</v>
      </c>
      <c r="N54" s="15"/>
      <c r="O54" s="15"/>
      <c r="P54" s="15"/>
      <c r="Q54" s="15"/>
    </row>
    <row r="55" spans="2:19" x14ac:dyDescent="0.35">
      <c r="B55"/>
      <c r="C55"/>
      <c r="D55"/>
      <c r="E55"/>
      <c r="K55" s="15" t="s">
        <v>286</v>
      </c>
      <c r="L55" s="15" t="s">
        <v>267</v>
      </c>
      <c r="N55" s="15"/>
      <c r="O55" s="15"/>
      <c r="P55" s="15"/>
      <c r="Q55" s="15"/>
    </row>
    <row r="56" spans="2:19" x14ac:dyDescent="0.35">
      <c r="B56"/>
      <c r="C56"/>
      <c r="D56"/>
      <c r="E56"/>
      <c r="K56" s="15" t="s">
        <v>287</v>
      </c>
      <c r="L56" s="15" t="s">
        <v>268</v>
      </c>
      <c r="N56" s="15"/>
      <c r="O56" s="15"/>
      <c r="P56" s="15"/>
      <c r="Q56" s="15"/>
    </row>
    <row r="57" spans="2:19" x14ac:dyDescent="0.35">
      <c r="B57"/>
      <c r="C57"/>
      <c r="D57"/>
      <c r="E57"/>
      <c r="K57" s="15" t="s">
        <v>288</v>
      </c>
      <c r="L57" s="15" t="s">
        <v>269</v>
      </c>
      <c r="P57" s="15"/>
      <c r="Q57" s="15"/>
    </row>
    <row r="58" spans="2:19" x14ac:dyDescent="0.35">
      <c r="B58"/>
      <c r="C58"/>
      <c r="D58"/>
      <c r="K58" s="15" t="s">
        <v>280</v>
      </c>
      <c r="L58" s="15" t="s">
        <v>261</v>
      </c>
      <c r="N58" s="15"/>
      <c r="O58" s="15"/>
    </row>
    <row r="59" spans="2:19" x14ac:dyDescent="0.35">
      <c r="B59"/>
      <c r="C59"/>
      <c r="D59"/>
      <c r="K59" s="15" t="s">
        <v>289</v>
      </c>
      <c r="L59" s="15" t="s">
        <v>270</v>
      </c>
      <c r="N59" s="15"/>
      <c r="O59" s="15"/>
    </row>
    <row r="60" spans="2:19" x14ac:dyDescent="0.35">
      <c r="B60"/>
      <c r="C60"/>
      <c r="D60"/>
      <c r="E60"/>
      <c r="K60" s="15" t="s">
        <v>292</v>
      </c>
      <c r="L60" s="15" t="s">
        <v>273</v>
      </c>
      <c r="N60" s="15"/>
      <c r="O60" s="15"/>
      <c r="P60" s="15"/>
      <c r="Q60" s="15"/>
    </row>
    <row r="61" spans="2:19" x14ac:dyDescent="0.35">
      <c r="B61"/>
      <c r="C61"/>
      <c r="D61"/>
      <c r="E61"/>
      <c r="K61" s="15" t="s">
        <v>291</v>
      </c>
      <c r="L61" s="15" t="s">
        <v>272</v>
      </c>
      <c r="N61" s="15"/>
      <c r="O61" s="15"/>
      <c r="P61" s="15"/>
      <c r="Q61" s="15"/>
    </row>
    <row r="62" spans="2:19" x14ac:dyDescent="0.35">
      <c r="B62"/>
      <c r="C62"/>
      <c r="D62"/>
      <c r="E62"/>
      <c r="K62" s="15" t="s">
        <v>290</v>
      </c>
      <c r="L62" s="15" t="s">
        <v>271</v>
      </c>
      <c r="N62" s="15"/>
      <c r="O62" s="15"/>
      <c r="P62" s="15"/>
      <c r="Q62" s="15"/>
    </row>
    <row r="63" spans="2:19" x14ac:dyDescent="0.35">
      <c r="B63"/>
      <c r="C63"/>
      <c r="D63"/>
      <c r="E63"/>
      <c r="K63" s="15" t="s">
        <v>347</v>
      </c>
      <c r="L63" s="15" t="s">
        <v>347</v>
      </c>
      <c r="N63" s="15"/>
      <c r="O63" s="15"/>
      <c r="P63" s="15"/>
      <c r="Q63" s="15"/>
    </row>
    <row r="64" spans="2:19" x14ac:dyDescent="0.35">
      <c r="B64"/>
      <c r="C64"/>
      <c r="D64"/>
      <c r="E64"/>
      <c r="K64" s="15" t="s">
        <v>410</v>
      </c>
      <c r="L64" s="15" t="s">
        <v>409</v>
      </c>
      <c r="N64" s="15"/>
      <c r="O64" s="15"/>
      <c r="P64" s="15"/>
      <c r="Q64" s="15"/>
    </row>
    <row r="65" spans="2:17" x14ac:dyDescent="0.35">
      <c r="B65"/>
      <c r="C65"/>
      <c r="D65"/>
      <c r="E65"/>
      <c r="N65" s="15"/>
      <c r="O65" s="15"/>
      <c r="P65" s="15"/>
      <c r="Q65" s="15"/>
    </row>
    <row r="66" spans="2:17" x14ac:dyDescent="0.35">
      <c r="B66"/>
      <c r="C66"/>
      <c r="D66"/>
      <c r="E66"/>
      <c r="N66" s="15"/>
      <c r="O66" s="15"/>
      <c r="P66" s="15"/>
      <c r="Q66" s="15"/>
    </row>
    <row r="67" spans="2:17" x14ac:dyDescent="0.35">
      <c r="B67"/>
      <c r="C67"/>
      <c r="D67"/>
      <c r="E67"/>
      <c r="N67" s="15"/>
      <c r="O67" s="15"/>
      <c r="P67" s="15"/>
      <c r="Q67" s="15"/>
    </row>
    <row r="68" spans="2:17" x14ac:dyDescent="0.35">
      <c r="B68"/>
      <c r="C68"/>
      <c r="D68"/>
      <c r="E68"/>
      <c r="N68" s="15"/>
      <c r="O68" s="15"/>
      <c r="P68" s="15"/>
      <c r="Q68" s="15"/>
    </row>
    <row r="69" spans="2:17" x14ac:dyDescent="0.35">
      <c r="B69"/>
      <c r="C69"/>
      <c r="D69"/>
      <c r="E69"/>
      <c r="N69" s="15"/>
      <c r="O69" s="15"/>
      <c r="P69" s="15"/>
      <c r="Q69" s="15"/>
    </row>
    <row r="70" spans="2:17" x14ac:dyDescent="0.35">
      <c r="B70"/>
      <c r="C70"/>
      <c r="D70"/>
      <c r="E70"/>
      <c r="N70" s="15"/>
      <c r="O70" s="15"/>
      <c r="P70" s="15"/>
      <c r="Q70" s="15"/>
    </row>
    <row r="71" spans="2:17" x14ac:dyDescent="0.35">
      <c r="B71"/>
      <c r="C71"/>
      <c r="D71"/>
      <c r="E71"/>
      <c r="N71" s="15"/>
      <c r="O71" s="15"/>
      <c r="P71" s="15"/>
      <c r="Q71" s="15"/>
    </row>
    <row r="72" spans="2:17" x14ac:dyDescent="0.35">
      <c r="B72"/>
      <c r="C72"/>
      <c r="D72"/>
      <c r="E72"/>
      <c r="N72" s="15"/>
      <c r="O72" s="15"/>
      <c r="P72" s="15"/>
      <c r="Q72" s="15"/>
    </row>
    <row r="73" spans="2:17" x14ac:dyDescent="0.35">
      <c r="B73"/>
      <c r="C73"/>
      <c r="D73"/>
      <c r="E73"/>
      <c r="N73" s="15"/>
      <c r="O73" s="15"/>
      <c r="P73" s="15"/>
      <c r="Q73" s="15"/>
    </row>
    <row r="74" spans="2:17" x14ac:dyDescent="0.35">
      <c r="B74"/>
      <c r="C74"/>
      <c r="D74"/>
      <c r="E74"/>
      <c r="N74" s="15"/>
      <c r="O74" s="15"/>
      <c r="P74" s="15"/>
      <c r="Q74" s="15"/>
    </row>
    <row r="75" spans="2:17" x14ac:dyDescent="0.35">
      <c r="B75"/>
      <c r="C75"/>
      <c r="D75"/>
      <c r="E75"/>
      <c r="N75" s="15"/>
      <c r="O75" s="15"/>
      <c r="P75" s="15"/>
      <c r="Q75" s="15"/>
    </row>
  </sheetData>
  <autoFilter ref="K45:L45" xr:uid="{00000000-0009-0000-0000-000004000000}">
    <sortState xmlns:xlrd2="http://schemas.microsoft.com/office/spreadsheetml/2017/richdata2" ref="K46:L62">
      <sortCondition ref="K45"/>
    </sortState>
  </autoFilter>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4"/>
  <dimension ref="B3:J86"/>
  <sheetViews>
    <sheetView showGridLines="0" topLeftCell="A4" zoomScale="75" zoomScaleNormal="75" workbookViewId="0">
      <selection activeCell="E74" sqref="E74:F74"/>
    </sheetView>
  </sheetViews>
  <sheetFormatPr baseColWidth="10" defaultRowHeight="14.5" x14ac:dyDescent="0.35"/>
  <cols>
    <col min="2" max="2" width="10.81640625" style="10" customWidth="1"/>
    <col min="3" max="3" width="17.1796875" style="5" bestFit="1" customWidth="1"/>
    <col min="4" max="4" width="20.81640625" customWidth="1"/>
    <col min="5" max="5" width="33.453125" bestFit="1" customWidth="1"/>
    <col min="6" max="6" width="34.1796875" customWidth="1"/>
    <col min="7" max="7" width="18.54296875" bestFit="1" customWidth="1"/>
    <col min="8" max="8" width="16.1796875" bestFit="1" customWidth="1"/>
    <col min="9" max="10" width="17.1796875" bestFit="1" customWidth="1"/>
  </cols>
  <sheetData>
    <row r="3" spans="2:10" x14ac:dyDescent="0.35">
      <c r="B3" s="14" t="s">
        <v>59</v>
      </c>
      <c r="C3" s="14"/>
      <c r="D3" s="14"/>
      <c r="E3" s="218" t="s">
        <v>60</v>
      </c>
      <c r="F3" s="218"/>
      <c r="G3" s="218"/>
      <c r="H3" s="218"/>
      <c r="I3" s="218"/>
      <c r="J3" s="218"/>
    </row>
    <row r="5" spans="2:10" x14ac:dyDescent="0.35">
      <c r="B5" s="9" t="s">
        <v>49</v>
      </c>
      <c r="C5" s="7" t="s">
        <v>50</v>
      </c>
      <c r="E5" s="9" t="s">
        <v>0</v>
      </c>
      <c r="F5" s="9" t="s">
        <v>52</v>
      </c>
      <c r="G5" s="11">
        <v>7637</v>
      </c>
      <c r="H5" s="11">
        <v>7655</v>
      </c>
      <c r="I5" s="11">
        <v>7658</v>
      </c>
      <c r="J5" s="9" t="s">
        <v>54</v>
      </c>
    </row>
    <row r="6" spans="2:10" x14ac:dyDescent="0.35">
      <c r="B6" s="1">
        <v>7658</v>
      </c>
      <c r="C6" s="4">
        <v>32529175840</v>
      </c>
      <c r="E6" s="211" t="s">
        <v>45</v>
      </c>
      <c r="F6" s="211"/>
      <c r="G6" s="4"/>
      <c r="H6" s="4">
        <v>596500000</v>
      </c>
      <c r="I6" s="4"/>
      <c r="J6" s="4">
        <v>596500000</v>
      </c>
    </row>
    <row r="7" spans="2:10" x14ac:dyDescent="0.35">
      <c r="B7" s="1">
        <v>7655</v>
      </c>
      <c r="C7" s="4">
        <v>6691034160</v>
      </c>
      <c r="E7" s="211" t="s">
        <v>44</v>
      </c>
      <c r="F7" s="211"/>
      <c r="G7" s="4"/>
      <c r="H7" s="4">
        <v>403500000</v>
      </c>
      <c r="I7" s="4"/>
      <c r="J7" s="4">
        <v>403500000</v>
      </c>
    </row>
    <row r="8" spans="2:10" x14ac:dyDescent="0.35">
      <c r="B8" s="1">
        <v>7637</v>
      </c>
      <c r="C8" s="4">
        <v>3299800000</v>
      </c>
      <c r="E8" s="211" t="s">
        <v>36</v>
      </c>
      <c r="F8" s="211"/>
      <c r="G8" s="4">
        <v>3299800000</v>
      </c>
      <c r="H8" s="4">
        <v>900200000</v>
      </c>
      <c r="I8" s="4"/>
      <c r="J8" s="4">
        <v>4200000000</v>
      </c>
    </row>
    <row r="9" spans="2:10" x14ac:dyDescent="0.35">
      <c r="B9" s="9" t="s">
        <v>51</v>
      </c>
      <c r="C9" s="8">
        <v>42520010000</v>
      </c>
      <c r="E9" s="211" t="s">
        <v>46</v>
      </c>
      <c r="F9" s="211"/>
      <c r="G9" s="4"/>
      <c r="H9" s="4">
        <v>432858000</v>
      </c>
      <c r="I9" s="4"/>
      <c r="J9" s="4">
        <v>432858000</v>
      </c>
    </row>
    <row r="10" spans="2:10" x14ac:dyDescent="0.35">
      <c r="E10" s="211" t="s">
        <v>32</v>
      </c>
      <c r="F10" s="211"/>
      <c r="G10" s="4"/>
      <c r="H10" s="4">
        <v>323006000</v>
      </c>
      <c r="I10" s="4"/>
      <c r="J10" s="4">
        <v>323006000</v>
      </c>
    </row>
    <row r="11" spans="2:10" x14ac:dyDescent="0.35">
      <c r="E11" s="211" t="s">
        <v>28</v>
      </c>
      <c r="F11" s="211"/>
      <c r="G11" s="4"/>
      <c r="H11" s="4">
        <v>1200000000</v>
      </c>
      <c r="I11" s="4"/>
      <c r="J11" s="4">
        <v>1200000000</v>
      </c>
    </row>
    <row r="12" spans="2:10" x14ac:dyDescent="0.35">
      <c r="E12" s="211" t="s">
        <v>3</v>
      </c>
      <c r="F12" s="211"/>
      <c r="G12" s="4"/>
      <c r="H12" s="4">
        <v>2214252160</v>
      </c>
      <c r="I12" s="4">
        <v>7786929840</v>
      </c>
      <c r="J12" s="4">
        <v>10001182000</v>
      </c>
    </row>
    <row r="13" spans="2:10" x14ac:dyDescent="0.35">
      <c r="E13" s="211" t="s">
        <v>29</v>
      </c>
      <c r="F13" s="211"/>
      <c r="G13" s="4"/>
      <c r="H13" s="4">
        <v>170000000</v>
      </c>
      <c r="I13" s="4">
        <v>3730000000</v>
      </c>
      <c r="J13" s="4">
        <v>3900000000</v>
      </c>
    </row>
    <row r="14" spans="2:10" x14ac:dyDescent="0.35">
      <c r="E14" s="211" t="s">
        <v>33</v>
      </c>
      <c r="F14" s="211"/>
      <c r="G14" s="4"/>
      <c r="H14" s="4">
        <v>450718000</v>
      </c>
      <c r="I14" s="4">
        <v>1449282000</v>
      </c>
      <c r="J14" s="4">
        <v>1900000000</v>
      </c>
    </row>
    <row r="15" spans="2:10" x14ac:dyDescent="0.35">
      <c r="E15" s="211" t="s">
        <v>19</v>
      </c>
      <c r="F15" s="211"/>
      <c r="G15" s="4"/>
      <c r="H15" s="4"/>
      <c r="I15" s="4">
        <v>10011982000</v>
      </c>
      <c r="J15" s="4">
        <v>10011982000</v>
      </c>
    </row>
    <row r="16" spans="2:10" x14ac:dyDescent="0.35">
      <c r="E16" s="211" t="s">
        <v>47</v>
      </c>
      <c r="F16" s="211"/>
      <c r="G16" s="4"/>
      <c r="H16" s="4"/>
      <c r="I16" s="4">
        <v>9550982000</v>
      </c>
      <c r="J16" s="4">
        <v>9550982000</v>
      </c>
    </row>
    <row r="17" spans="3:10" x14ac:dyDescent="0.35">
      <c r="E17" s="213" t="s">
        <v>53</v>
      </c>
      <c r="F17" s="214"/>
      <c r="G17" s="8">
        <v>3299800000</v>
      </c>
      <c r="H17" s="8">
        <v>6691034160</v>
      </c>
      <c r="I17" s="8">
        <v>32529175840</v>
      </c>
      <c r="J17" s="8">
        <v>42520010000</v>
      </c>
    </row>
    <row r="20" spans="3:10" x14ac:dyDescent="0.35">
      <c r="C20" s="215" t="s">
        <v>62</v>
      </c>
      <c r="D20" s="215"/>
      <c r="E20" s="215"/>
      <c r="F20" s="215"/>
      <c r="G20" s="215"/>
    </row>
    <row r="22" spans="3:10" x14ac:dyDescent="0.35">
      <c r="C22" s="12" t="s">
        <v>63</v>
      </c>
    </row>
    <row r="23" spans="3:10" x14ac:dyDescent="0.35">
      <c r="C23" s="9" t="s">
        <v>55</v>
      </c>
      <c r="D23" s="13" t="s">
        <v>56</v>
      </c>
      <c r="E23" s="212" t="s">
        <v>0</v>
      </c>
      <c r="F23" s="212"/>
      <c r="G23" s="9" t="s">
        <v>57</v>
      </c>
    </row>
    <row r="24" spans="3:10" x14ac:dyDescent="0.35">
      <c r="C24" s="3" t="s">
        <v>35</v>
      </c>
      <c r="D24" s="6" t="s">
        <v>34</v>
      </c>
      <c r="E24" s="211" t="s">
        <v>33</v>
      </c>
      <c r="F24" s="211"/>
      <c r="G24" s="4">
        <v>1449282000</v>
      </c>
    </row>
    <row r="25" spans="3:10" x14ac:dyDescent="0.35">
      <c r="C25" s="3" t="s">
        <v>31</v>
      </c>
      <c r="D25" s="6" t="s">
        <v>30</v>
      </c>
      <c r="E25" s="211" t="s">
        <v>29</v>
      </c>
      <c r="F25" s="211"/>
      <c r="G25" s="4">
        <v>3730000000</v>
      </c>
    </row>
    <row r="26" spans="3:10" x14ac:dyDescent="0.35">
      <c r="C26" s="3" t="s">
        <v>6</v>
      </c>
      <c r="D26" s="6" t="s">
        <v>9</v>
      </c>
      <c r="E26" s="211" t="s">
        <v>3</v>
      </c>
      <c r="F26" s="211"/>
      <c r="G26" s="4">
        <v>2822768000</v>
      </c>
    </row>
    <row r="27" spans="3:10" x14ac:dyDescent="0.35">
      <c r="C27" s="3" t="s">
        <v>6</v>
      </c>
      <c r="D27" s="6" t="s">
        <v>48</v>
      </c>
      <c r="E27" s="211" t="s">
        <v>47</v>
      </c>
      <c r="F27" s="211"/>
      <c r="G27" s="4">
        <v>9550982000</v>
      </c>
    </row>
    <row r="28" spans="3:10" x14ac:dyDescent="0.35">
      <c r="C28" s="3" t="s">
        <v>6</v>
      </c>
      <c r="D28" s="6" t="s">
        <v>23</v>
      </c>
      <c r="E28" s="211" t="s">
        <v>19</v>
      </c>
      <c r="F28" s="211"/>
      <c r="G28" s="4">
        <v>2028491000</v>
      </c>
    </row>
    <row r="29" spans="3:10" x14ac:dyDescent="0.35">
      <c r="C29" s="3" t="s">
        <v>6</v>
      </c>
      <c r="D29" s="6" t="s">
        <v>21</v>
      </c>
      <c r="E29" s="211" t="s">
        <v>19</v>
      </c>
      <c r="F29" s="211"/>
      <c r="G29" s="4">
        <v>7983491000</v>
      </c>
    </row>
    <row r="30" spans="3:10" x14ac:dyDescent="0.35">
      <c r="C30" s="3" t="s">
        <v>18</v>
      </c>
      <c r="D30" s="6" t="s">
        <v>17</v>
      </c>
      <c r="E30" s="211" t="s">
        <v>3</v>
      </c>
      <c r="F30" s="211"/>
      <c r="G30" s="4">
        <v>100000000</v>
      </c>
    </row>
    <row r="31" spans="3:10" x14ac:dyDescent="0.35">
      <c r="C31" s="3" t="s">
        <v>15</v>
      </c>
      <c r="D31" s="6" t="s">
        <v>14</v>
      </c>
      <c r="E31" s="211" t="s">
        <v>3</v>
      </c>
      <c r="F31" s="211"/>
      <c r="G31" s="4">
        <v>4864161840</v>
      </c>
    </row>
    <row r="32" spans="3:10" x14ac:dyDescent="0.35">
      <c r="C32" s="213" t="s">
        <v>27</v>
      </c>
      <c r="D32" s="217"/>
      <c r="E32" s="217"/>
      <c r="F32" s="214"/>
      <c r="G32" s="8">
        <f>SUM(G24:G31)</f>
        <v>32529175840</v>
      </c>
    </row>
    <row r="34" spans="3:7" x14ac:dyDescent="0.35">
      <c r="C34" s="12" t="s">
        <v>64</v>
      </c>
    </row>
    <row r="35" spans="3:7" x14ac:dyDescent="0.35">
      <c r="C35" s="9" t="s">
        <v>55</v>
      </c>
      <c r="D35" s="13" t="s">
        <v>56</v>
      </c>
      <c r="E35" s="212" t="s">
        <v>0</v>
      </c>
      <c r="F35" s="212"/>
      <c r="G35" s="9" t="s">
        <v>57</v>
      </c>
    </row>
    <row r="36" spans="3:7" x14ac:dyDescent="0.35">
      <c r="C36" s="6" t="s">
        <v>16</v>
      </c>
      <c r="D36" s="2" t="s">
        <v>5</v>
      </c>
      <c r="E36" s="211" t="s">
        <v>45</v>
      </c>
      <c r="F36" s="211"/>
      <c r="G36" s="2">
        <v>596500000</v>
      </c>
    </row>
    <row r="37" spans="3:7" x14ac:dyDescent="0.35">
      <c r="C37" s="6" t="s">
        <v>16</v>
      </c>
      <c r="D37" s="2" t="s">
        <v>5</v>
      </c>
      <c r="E37" s="211" t="s">
        <v>44</v>
      </c>
      <c r="F37" s="211"/>
      <c r="G37" s="2">
        <v>403500000</v>
      </c>
    </row>
    <row r="38" spans="3:7" x14ac:dyDescent="0.35">
      <c r="C38" s="6" t="s">
        <v>16</v>
      </c>
      <c r="D38" s="2" t="s">
        <v>5</v>
      </c>
      <c r="E38" s="211" t="s">
        <v>36</v>
      </c>
      <c r="F38" s="211"/>
      <c r="G38" s="2">
        <v>900200000</v>
      </c>
    </row>
    <row r="39" spans="3:7" x14ac:dyDescent="0.35">
      <c r="C39" s="6" t="s">
        <v>16</v>
      </c>
      <c r="D39" s="2" t="s">
        <v>5</v>
      </c>
      <c r="E39" s="211" t="s">
        <v>46</v>
      </c>
      <c r="F39" s="211"/>
      <c r="G39" s="2">
        <v>432858000</v>
      </c>
    </row>
    <row r="40" spans="3:7" x14ac:dyDescent="0.35">
      <c r="C40" s="6" t="s">
        <v>16</v>
      </c>
      <c r="D40" s="2" t="s">
        <v>5</v>
      </c>
      <c r="E40" s="211" t="s">
        <v>32</v>
      </c>
      <c r="F40" s="211"/>
      <c r="G40" s="2">
        <v>323006000</v>
      </c>
    </row>
    <row r="41" spans="3:7" x14ac:dyDescent="0.35">
      <c r="C41" s="6" t="s">
        <v>16</v>
      </c>
      <c r="D41" s="2" t="s">
        <v>5</v>
      </c>
      <c r="E41" s="211" t="s">
        <v>28</v>
      </c>
      <c r="F41" s="211"/>
      <c r="G41" s="2">
        <v>1200000000</v>
      </c>
    </row>
    <row r="42" spans="3:7" x14ac:dyDescent="0.35">
      <c r="C42" s="6" t="s">
        <v>16</v>
      </c>
      <c r="D42" s="2" t="s">
        <v>5</v>
      </c>
      <c r="E42" s="211" t="s">
        <v>3</v>
      </c>
      <c r="F42" s="211"/>
      <c r="G42" s="2">
        <v>2214252160</v>
      </c>
    </row>
    <row r="43" spans="3:7" x14ac:dyDescent="0.35">
      <c r="C43" s="6" t="s">
        <v>16</v>
      </c>
      <c r="D43" s="2" t="s">
        <v>5</v>
      </c>
      <c r="E43" s="211" t="s">
        <v>29</v>
      </c>
      <c r="F43" s="211"/>
      <c r="G43" s="2">
        <v>170000000</v>
      </c>
    </row>
    <row r="44" spans="3:7" x14ac:dyDescent="0.35">
      <c r="C44" s="6" t="s">
        <v>16</v>
      </c>
      <c r="D44" s="2" t="s">
        <v>5</v>
      </c>
      <c r="E44" s="211" t="s">
        <v>33</v>
      </c>
      <c r="F44" s="211"/>
      <c r="G44" s="2">
        <v>450718000</v>
      </c>
    </row>
    <row r="45" spans="3:7" x14ac:dyDescent="0.35">
      <c r="C45" s="213" t="s">
        <v>27</v>
      </c>
      <c r="D45" s="217"/>
      <c r="E45" s="217"/>
      <c r="F45" s="214"/>
      <c r="G45" s="8">
        <f>SUM(G36:G44)</f>
        <v>6691034160</v>
      </c>
    </row>
    <row r="47" spans="3:7" x14ac:dyDescent="0.35">
      <c r="C47" s="12" t="s">
        <v>65</v>
      </c>
    </row>
    <row r="48" spans="3:7" x14ac:dyDescent="0.35">
      <c r="C48" s="9" t="s">
        <v>55</v>
      </c>
      <c r="D48" s="13" t="s">
        <v>56</v>
      </c>
      <c r="E48" s="212" t="s">
        <v>0</v>
      </c>
      <c r="F48" s="212"/>
      <c r="G48" s="9" t="s">
        <v>57</v>
      </c>
    </row>
    <row r="49" spans="3:7" x14ac:dyDescent="0.35">
      <c r="C49" s="6" t="s">
        <v>39</v>
      </c>
      <c r="D49" s="2" t="s">
        <v>41</v>
      </c>
      <c r="E49" s="211" t="s">
        <v>36</v>
      </c>
      <c r="F49" s="211"/>
      <c r="G49" s="6">
        <v>575315000</v>
      </c>
    </row>
    <row r="50" spans="3:7" x14ac:dyDescent="0.35">
      <c r="C50" s="6" t="s">
        <v>39</v>
      </c>
      <c r="D50" s="2" t="s">
        <v>38</v>
      </c>
      <c r="E50" s="211" t="s">
        <v>36</v>
      </c>
      <c r="F50" s="211"/>
      <c r="G50" s="6">
        <v>2724485000</v>
      </c>
    </row>
    <row r="51" spans="3:7" x14ac:dyDescent="0.35">
      <c r="C51" s="213" t="s">
        <v>27</v>
      </c>
      <c r="D51" s="217"/>
      <c r="E51" s="217"/>
      <c r="F51" s="214"/>
      <c r="G51" s="7">
        <f>SUM(G49:G50)</f>
        <v>3299800000</v>
      </c>
    </row>
    <row r="54" spans="3:7" x14ac:dyDescent="0.35">
      <c r="C54" s="14"/>
      <c r="D54" s="14"/>
      <c r="E54" s="218" t="s">
        <v>58</v>
      </c>
      <c r="F54" s="218"/>
      <c r="G54" s="218"/>
    </row>
    <row r="56" spans="3:7" x14ac:dyDescent="0.35">
      <c r="E56" s="12" t="s">
        <v>63</v>
      </c>
    </row>
    <row r="57" spans="3:7" x14ac:dyDescent="0.35">
      <c r="E57" s="212" t="s">
        <v>61</v>
      </c>
      <c r="F57" s="212"/>
      <c r="G57" s="9" t="s">
        <v>57</v>
      </c>
    </row>
    <row r="58" spans="3:7" x14ac:dyDescent="0.35">
      <c r="E58" s="216" t="s">
        <v>10</v>
      </c>
      <c r="F58" s="216"/>
      <c r="G58" s="6">
        <v>2490000000</v>
      </c>
    </row>
    <row r="59" spans="3:7" x14ac:dyDescent="0.35">
      <c r="E59" s="216" t="s">
        <v>22</v>
      </c>
      <c r="F59" s="216"/>
      <c r="G59" s="6">
        <v>1400000000</v>
      </c>
    </row>
    <row r="60" spans="3:7" x14ac:dyDescent="0.35">
      <c r="E60" s="216" t="s">
        <v>26</v>
      </c>
      <c r="F60" s="216"/>
      <c r="G60" s="6">
        <v>60000000</v>
      </c>
    </row>
    <row r="61" spans="3:7" x14ac:dyDescent="0.35">
      <c r="E61" s="216" t="s">
        <v>11</v>
      </c>
      <c r="F61" s="216"/>
      <c r="G61" s="6">
        <v>12229155840</v>
      </c>
    </row>
    <row r="62" spans="3:7" x14ac:dyDescent="0.35">
      <c r="E62" s="216" t="s">
        <v>24</v>
      </c>
      <c r="F62" s="216"/>
      <c r="G62" s="6">
        <v>375000000</v>
      </c>
    </row>
    <row r="63" spans="3:7" x14ac:dyDescent="0.35">
      <c r="E63" s="216" t="s">
        <v>7</v>
      </c>
      <c r="F63" s="216"/>
      <c r="G63" s="6">
        <v>92758400</v>
      </c>
    </row>
    <row r="64" spans="3:7" x14ac:dyDescent="0.35">
      <c r="E64" s="216" t="s">
        <v>25</v>
      </c>
      <c r="F64" s="216"/>
      <c r="G64" s="6">
        <v>120000000</v>
      </c>
    </row>
    <row r="65" spans="5:7" x14ac:dyDescent="0.35">
      <c r="E65" s="216" t="s">
        <v>4</v>
      </c>
      <c r="F65" s="216"/>
      <c r="G65" s="6">
        <v>10259061600</v>
      </c>
    </row>
    <row r="66" spans="5:7" x14ac:dyDescent="0.35">
      <c r="E66" s="216" t="s">
        <v>13</v>
      </c>
      <c r="F66" s="216"/>
      <c r="G66" s="6">
        <v>500000000</v>
      </c>
    </row>
    <row r="67" spans="5:7" x14ac:dyDescent="0.35">
      <c r="E67" s="216" t="s">
        <v>12</v>
      </c>
      <c r="F67" s="216"/>
      <c r="G67" s="6">
        <v>100000000</v>
      </c>
    </row>
    <row r="68" spans="5:7" x14ac:dyDescent="0.35">
      <c r="E68" s="216" t="s">
        <v>20</v>
      </c>
      <c r="F68" s="216"/>
      <c r="G68" s="6">
        <v>4350000000</v>
      </c>
    </row>
    <row r="69" spans="5:7" x14ac:dyDescent="0.35">
      <c r="E69" s="216" t="s">
        <v>8</v>
      </c>
      <c r="F69" s="216"/>
      <c r="G69" s="6">
        <v>553200000</v>
      </c>
    </row>
    <row r="70" spans="5:7" x14ac:dyDescent="0.35">
      <c r="E70" s="219" t="s">
        <v>27</v>
      </c>
      <c r="F70" s="219"/>
      <c r="G70" s="7">
        <f>SUM(G58:G69)</f>
        <v>32529175840</v>
      </c>
    </row>
    <row r="72" spans="5:7" x14ac:dyDescent="0.35">
      <c r="E72" s="12" t="s">
        <v>64</v>
      </c>
    </row>
    <row r="73" spans="5:7" x14ac:dyDescent="0.35">
      <c r="E73" s="212" t="s">
        <v>61</v>
      </c>
      <c r="F73" s="212"/>
      <c r="G73" s="9" t="s">
        <v>57</v>
      </c>
    </row>
    <row r="74" spans="5:7" x14ac:dyDescent="0.35">
      <c r="E74" s="216" t="s">
        <v>7</v>
      </c>
      <c r="F74" s="216"/>
      <c r="G74" s="6">
        <v>1177022750</v>
      </c>
    </row>
    <row r="75" spans="5:7" x14ac:dyDescent="0.35">
      <c r="E75" s="216" t="s">
        <v>4</v>
      </c>
      <c r="F75" s="216"/>
      <c r="G75" s="6">
        <v>5514011410</v>
      </c>
    </row>
    <row r="76" spans="5:7" x14ac:dyDescent="0.35">
      <c r="E76" s="219" t="s">
        <v>27</v>
      </c>
      <c r="F76" s="219"/>
      <c r="G76" s="7">
        <f>SUM(G74:G75)</f>
        <v>6691034160</v>
      </c>
    </row>
    <row r="79" spans="5:7" x14ac:dyDescent="0.35">
      <c r="E79" s="12" t="s">
        <v>65</v>
      </c>
    </row>
    <row r="80" spans="5:7" x14ac:dyDescent="0.35">
      <c r="E80" s="212" t="s">
        <v>61</v>
      </c>
      <c r="F80" s="212"/>
      <c r="G80" s="9" t="s">
        <v>57</v>
      </c>
    </row>
    <row r="81" spans="5:7" x14ac:dyDescent="0.35">
      <c r="E81" s="2" t="s">
        <v>43</v>
      </c>
      <c r="F81" s="2"/>
      <c r="G81" s="6">
        <v>60000000</v>
      </c>
    </row>
    <row r="82" spans="5:7" x14ac:dyDescent="0.35">
      <c r="E82" s="2" t="s">
        <v>42</v>
      </c>
      <c r="F82" s="2"/>
      <c r="G82" s="6">
        <v>100000000</v>
      </c>
    </row>
    <row r="83" spans="5:7" x14ac:dyDescent="0.35">
      <c r="E83" s="2" t="s">
        <v>40</v>
      </c>
      <c r="F83" s="2"/>
      <c r="G83" s="6">
        <v>1103500000</v>
      </c>
    </row>
    <row r="84" spans="5:7" x14ac:dyDescent="0.35">
      <c r="E84" s="2" t="s">
        <v>37</v>
      </c>
      <c r="F84" s="2"/>
      <c r="G84" s="6">
        <v>1015756100</v>
      </c>
    </row>
    <row r="85" spans="5:7" x14ac:dyDescent="0.35">
      <c r="E85" s="2" t="s">
        <v>4</v>
      </c>
      <c r="F85" s="2"/>
      <c r="G85" s="6">
        <v>1020543900</v>
      </c>
    </row>
    <row r="86" spans="5:7" x14ac:dyDescent="0.35">
      <c r="E86" s="219" t="s">
        <v>27</v>
      </c>
      <c r="F86" s="219"/>
      <c r="G86" s="7">
        <f>SUM(G81:G85)</f>
        <v>3299800000</v>
      </c>
    </row>
  </sheetData>
  <mergeCells count="60">
    <mergeCell ref="E80:F80"/>
    <mergeCell ref="E64:F64"/>
    <mergeCell ref="E86:F86"/>
    <mergeCell ref="E66:F66"/>
    <mergeCell ref="E67:F67"/>
    <mergeCell ref="E68:F68"/>
    <mergeCell ref="E69:F69"/>
    <mergeCell ref="E70:F70"/>
    <mergeCell ref="E73:F73"/>
    <mergeCell ref="E74:F74"/>
    <mergeCell ref="E75:F75"/>
    <mergeCell ref="E76:F76"/>
    <mergeCell ref="E3:J3"/>
    <mergeCell ref="E57:F57"/>
    <mergeCell ref="E58:F58"/>
    <mergeCell ref="E59:F59"/>
    <mergeCell ref="E50:F50"/>
    <mergeCell ref="C51:F51"/>
    <mergeCell ref="E27:F27"/>
    <mergeCell ref="C45:F45"/>
    <mergeCell ref="E43:F43"/>
    <mergeCell ref="E44:F44"/>
    <mergeCell ref="E48:F48"/>
    <mergeCell ref="E41:F41"/>
    <mergeCell ref="E42:F42"/>
    <mergeCell ref="E39:F39"/>
    <mergeCell ref="E40:F40"/>
    <mergeCell ref="E38:F38"/>
    <mergeCell ref="E36:F36"/>
    <mergeCell ref="E35:F35"/>
    <mergeCell ref="E28:F28"/>
    <mergeCell ref="E65:F65"/>
    <mergeCell ref="E29:F29"/>
    <mergeCell ref="E30:F30"/>
    <mergeCell ref="E31:F31"/>
    <mergeCell ref="C32:F32"/>
    <mergeCell ref="E37:F37"/>
    <mergeCell ref="E60:F60"/>
    <mergeCell ref="E49:F49"/>
    <mergeCell ref="E61:F61"/>
    <mergeCell ref="E62:F62"/>
    <mergeCell ref="E63:F63"/>
    <mergeCell ref="E54:G54"/>
    <mergeCell ref="E16:F16"/>
    <mergeCell ref="E26:F26"/>
    <mergeCell ref="E23:F23"/>
    <mergeCell ref="E24:F24"/>
    <mergeCell ref="E25:F25"/>
    <mergeCell ref="E17:F17"/>
    <mergeCell ref="C20:G20"/>
    <mergeCell ref="E11:F11"/>
    <mergeCell ref="E12:F12"/>
    <mergeCell ref="E13:F13"/>
    <mergeCell ref="E14:F14"/>
    <mergeCell ref="E15:F15"/>
    <mergeCell ref="E6:F6"/>
    <mergeCell ref="E7:F7"/>
    <mergeCell ref="E8:F8"/>
    <mergeCell ref="E9:F9"/>
    <mergeCell ref="E10:F1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2AB57DF123491041833F85DAE8892874" ma:contentTypeVersion="18" ma:contentTypeDescription="Crear nuevo documento." ma:contentTypeScope="" ma:versionID="b27efbf0c3cc5b0574b2fdd97af5fcbd">
  <xsd:schema xmlns:xsd="http://www.w3.org/2001/XMLSchema" xmlns:xs="http://www.w3.org/2001/XMLSchema" xmlns:p="http://schemas.microsoft.com/office/2006/metadata/properties" xmlns:ns3="0935b897-e83e-4004-9f75-4e3807b73bb0" xmlns:ns4="da0db5d3-cc18-450f-b024-369bac33d3b9" targetNamespace="http://schemas.microsoft.com/office/2006/metadata/properties" ma:root="true" ma:fieldsID="e42919f83a11d829466631aa5283d21c" ns3:_="" ns4:_="">
    <xsd:import namespace="0935b897-e83e-4004-9f75-4e3807b73bb0"/>
    <xsd:import namespace="da0db5d3-cc18-450f-b024-369bac33d3b9"/>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LengthInSeconds" minOccurs="0"/>
                <xsd:element ref="ns4:MediaServiceAutoKeyPoints" minOccurs="0"/>
                <xsd:element ref="ns4:MediaServiceKeyPoints" minOccurs="0"/>
                <xsd:element ref="ns4:MediaServiceAutoTags" minOccurs="0"/>
                <xsd:element ref="ns4:MediaServiceOCR" minOccurs="0"/>
                <xsd:element ref="ns4:MediaServiceGenerationTime" minOccurs="0"/>
                <xsd:element ref="ns4:MediaServiceEventHashCode" minOccurs="0"/>
                <xsd:element ref="ns4:_activity" minOccurs="0"/>
                <xsd:element ref="ns4:MediaServiceObjectDetectorVersions" minOccurs="0"/>
                <xsd:element ref="ns4:MediaServiceSystemTags" minOccurs="0"/>
                <xsd:element ref="ns4:MediaServiceSearchProperties" minOccurs="0"/>
                <xsd:element ref="ns4: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935b897-e83e-4004-9f75-4e3807b73bb0"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SharingHintHash" ma:index="10" nillable="true" ma:displayName="Hash de la sugerencia para compartir"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a0db5d3-cc18-450f-b024-369bac33d3b9"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description="" ma:hidden="true" ma:indexed="true" ma:internalName="MediaServiceDateTaken" ma:readOnly="true">
      <xsd:simpleType>
        <xsd:restriction base="dms:Text"/>
      </xsd:simpleType>
    </xsd:element>
    <xsd:element name="MediaLengthInSeconds" ma:index="14" nillable="true" ma:displayName="Length (seconds)" ma:internalName="MediaLengthInSeconds" ma:readOnly="true">
      <xsd:simpleType>
        <xsd:restriction base="dms:Unknow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AutoTags" ma:index="17" nillable="true" ma:displayName="Tags" ma:internalName="MediaServiceAutoTag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_activity" ma:index="21" nillable="true" ma:displayName="_activity" ma:hidden="true" ma:internalName="_activity">
      <xsd:simpleType>
        <xsd:restriction base="dms:Note"/>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ystemTags" ma:index="23" nillable="true" ma:displayName="MediaServiceSystemTags" ma:hidden="true" ma:internalName="MediaServiceSystemTags" ma:readOnly="true">
      <xsd:simpleType>
        <xsd:restriction base="dms:Note"/>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Location" ma:index="25"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da0db5d3-cc18-450f-b024-369bac33d3b9" xsi:nil="true"/>
  </documentManagement>
</p:properties>
</file>

<file path=customXml/itemProps1.xml><?xml version="1.0" encoding="utf-8"?>
<ds:datastoreItem xmlns:ds="http://schemas.openxmlformats.org/officeDocument/2006/customXml" ds:itemID="{7E6D45ED-8745-4657-A90C-E88EBF45911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935b897-e83e-4004-9f75-4e3807b73bb0"/>
    <ds:schemaRef ds:uri="da0db5d3-cc18-450f-b024-369bac33d3b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46C19F8-7026-4C1D-A03A-C78DB94D6FE1}">
  <ds:schemaRefs>
    <ds:schemaRef ds:uri="http://schemas.microsoft.com/sharepoint/v3/contenttype/forms"/>
  </ds:schemaRefs>
</ds:datastoreItem>
</file>

<file path=customXml/itemProps3.xml><?xml version="1.0" encoding="utf-8"?>
<ds:datastoreItem xmlns:ds="http://schemas.openxmlformats.org/officeDocument/2006/customXml" ds:itemID="{207BDB74-73D8-47CF-96D0-0A627028CE0E}">
  <ds:schemaRefs>
    <ds:schemaRef ds:uri="http://purl.org/dc/terms/"/>
    <ds:schemaRef ds:uri="http://schemas.microsoft.com/office/2006/metadata/properties"/>
    <ds:schemaRef ds:uri="http://schemas.microsoft.com/office/2006/documentManagement/types"/>
    <ds:schemaRef ds:uri="http://purl.org/dc/elements/1.1/"/>
    <ds:schemaRef ds:uri="http://schemas.microsoft.com/office/infopath/2007/PartnerControls"/>
    <ds:schemaRef ds:uri="0935b897-e83e-4004-9f75-4e3807b73bb0"/>
    <ds:schemaRef ds:uri="http://purl.org/dc/dcmitype/"/>
    <ds:schemaRef ds:uri="http://www.w3.org/XML/1998/namespace"/>
    <ds:schemaRef ds:uri="http://schemas.openxmlformats.org/package/2006/metadata/core-properties"/>
    <ds:schemaRef ds:uri="da0db5d3-cc18-450f-b024-369bac33d3b9"/>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Hoja1</vt:lpstr>
      <vt:lpstr>PAA VR1 -2025 UAECOB BCS</vt:lpstr>
      <vt:lpstr>Control PAA Vr0</vt:lpstr>
      <vt:lpstr>Distribución Pptal Inv</vt:lpstr>
      <vt:lpstr>TD</vt:lpstr>
      <vt:lpstr>resumen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 alberto Abril Bernal</dc:creator>
  <cp:lastModifiedBy>Jose alberto Abril Bernal</cp:lastModifiedBy>
  <cp:lastPrinted>2024-06-25T20:21:52Z</cp:lastPrinted>
  <dcterms:created xsi:type="dcterms:W3CDTF">2023-10-09T19:40:49Z</dcterms:created>
  <dcterms:modified xsi:type="dcterms:W3CDTF">2025-01-21T20:13:04Z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0x0101002AB57DF123491041833F85DAE8892874</vt:lpwstr>
  </property>
</Properties>
</file>