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bomberosbog-my.sharepoint.com/personal/joabril_bomberosbogota_gov_co/Documents/UAE Bomberos Jose Alberto Abril Bernal - OAP/UAE BOMBEROS BOGOTA 2025/PAA 2025 BOGOTA CAMINA SEGURA/MODIF PAA VR 15 A VR 16 - 2025 UAECOB/"/>
    </mc:Choice>
  </mc:AlternateContent>
  <xr:revisionPtr revIDLastSave="134" documentId="13_ncr:1_{71A0CEA5-8377-46FD-BEAE-A021C233EB09}" xr6:coauthVersionLast="47" xr6:coauthVersionMax="47" xr10:uidLastSave="{F6C18CFE-1E7F-4DA6-A0C9-62E69469D576}"/>
  <bookViews>
    <workbookView xWindow="-110" yWindow="-110" windowWidth="19420" windowHeight="11500" tabRatio="702" xr2:uid="{00000000-000D-0000-FFFF-FFFF00000000}"/>
  </bookViews>
  <sheets>
    <sheet name="PAA VR16 -2025 UAECOB BCS" sheetId="1" r:id="rId1"/>
    <sheet name="Hoja1" sheetId="14" state="hidden" r:id="rId2"/>
    <sheet name="Control PAA Vr0" sheetId="9" state="hidden" r:id="rId3"/>
    <sheet name="Distribución Pptal Inv" sheetId="6" state="hidden" r:id="rId4"/>
    <sheet name="TD" sheetId="4" state="hidden" r:id="rId5"/>
    <sheet name="resumen" sheetId="2" state="hidden" r:id="rId6"/>
  </sheets>
  <definedNames>
    <definedName name="_xlnm._FilterDatabase" localSheetId="1" hidden="1">Hoja1!$C$23:$C$39</definedName>
    <definedName name="_xlnm._FilterDatabase" localSheetId="0" hidden="1">'PAA VR16 -2025 UAECOB BCS'!$B$11:$AC$1099</definedName>
    <definedName name="_xlnm._FilterDatabase" localSheetId="4" hidden="1">TD!$K$46:$L$46</definedName>
    <definedName name="_Hlk177992892" localSheetId="0">'PAA VR16 -2025 UAECOB BCS'!$F$673</definedName>
    <definedName name="Sec_Prog_MGA">#REF!</definedName>
  </definedNames>
  <calcPr calcId="191028"/>
  <pivotCaches>
    <pivotCache cacheId="11" r:id="rId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4" i="1" l="1"/>
  <c r="W51" i="1" l="1"/>
  <c r="X51" i="1" s="1"/>
  <c r="T51" i="1"/>
  <c r="U51" i="1" s="1"/>
  <c r="P51" i="1"/>
  <c r="Q51" i="1"/>
  <c r="R51" i="1"/>
  <c r="W50" i="1"/>
  <c r="T50" i="1"/>
  <c r="U50" i="1" s="1"/>
  <c r="D6" i="14"/>
  <c r="Z51" i="1" l="1"/>
  <c r="Y51" i="1"/>
  <c r="AA51" i="1" s="1"/>
  <c r="P50" i="1"/>
  <c r="Q50" i="1"/>
  <c r="R50" i="1"/>
  <c r="X50" i="1"/>
  <c r="W49" i="1"/>
  <c r="X49" i="1" s="1"/>
  <c r="T49" i="1"/>
  <c r="U49" i="1" s="1"/>
  <c r="P49" i="1"/>
  <c r="Q49" i="1"/>
  <c r="R49" i="1"/>
  <c r="W48" i="1"/>
  <c r="T48" i="1"/>
  <c r="U48" i="1" s="1"/>
  <c r="W47" i="1"/>
  <c r="T47" i="1"/>
  <c r="U47" i="1" s="1"/>
  <c r="W46" i="1"/>
  <c r="T46" i="1"/>
  <c r="U46" i="1" s="1"/>
  <c r="Y49" i="1" l="1"/>
  <c r="AA49" i="1" s="1"/>
  <c r="Y50" i="1"/>
  <c r="AA50" i="1" s="1"/>
  <c r="Z50" i="1"/>
  <c r="Z49" i="1"/>
  <c r="P48" i="1"/>
  <c r="Q48" i="1"/>
  <c r="R48" i="1"/>
  <c r="X48" i="1"/>
  <c r="Y48" i="1" s="1"/>
  <c r="AA48" i="1" s="1"/>
  <c r="P47" i="1"/>
  <c r="Q47" i="1"/>
  <c r="R47" i="1"/>
  <c r="X47" i="1"/>
  <c r="Y47" i="1" s="1"/>
  <c r="AA47" i="1" s="1"/>
  <c r="P46" i="1"/>
  <c r="Q46" i="1"/>
  <c r="R46" i="1"/>
  <c r="X46" i="1"/>
  <c r="Y46" i="1" s="1"/>
  <c r="AA46" i="1" s="1"/>
  <c r="W45" i="1"/>
  <c r="X45" i="1" s="1"/>
  <c r="T45" i="1"/>
  <c r="U45" i="1" s="1"/>
  <c r="R45" i="1"/>
  <c r="Q45" i="1"/>
  <c r="P45" i="1"/>
  <c r="W44" i="1"/>
  <c r="T44" i="1"/>
  <c r="U44" i="1" s="1"/>
  <c r="W43" i="1"/>
  <c r="T43" i="1"/>
  <c r="U43" i="1" s="1"/>
  <c r="W42" i="1"/>
  <c r="T42" i="1"/>
  <c r="U42" i="1" s="1"/>
  <c r="Z48" i="1" l="1"/>
  <c r="Z47" i="1"/>
  <c r="Z46" i="1"/>
  <c r="Z45" i="1"/>
  <c r="Y45" i="1"/>
  <c r="AA45" i="1" s="1"/>
  <c r="P44" i="1"/>
  <c r="Q44" i="1"/>
  <c r="R44" i="1"/>
  <c r="X44" i="1"/>
  <c r="Y44" i="1" s="1"/>
  <c r="AA44" i="1" s="1"/>
  <c r="P43" i="1"/>
  <c r="Q43" i="1"/>
  <c r="R43" i="1"/>
  <c r="X43" i="1"/>
  <c r="Y43" i="1" s="1"/>
  <c r="AA43" i="1" s="1"/>
  <c r="P42" i="1"/>
  <c r="Q42" i="1"/>
  <c r="R42" i="1"/>
  <c r="X42" i="1"/>
  <c r="Y42" i="1" s="1"/>
  <c r="AA42" i="1" s="1"/>
  <c r="W1099" i="1"/>
  <c r="X1099" i="1" s="1"/>
  <c r="T1099" i="1"/>
  <c r="U1099" i="1" s="1"/>
  <c r="P1099" i="1"/>
  <c r="Q1099" i="1"/>
  <c r="R1099" i="1"/>
  <c r="L746" i="1"/>
  <c r="L817" i="1"/>
  <c r="L1039" i="1"/>
  <c r="Z44" i="1" l="1"/>
  <c r="Z42" i="1"/>
  <c r="Z43" i="1"/>
  <c r="Z1099" i="1"/>
  <c r="Y1099" i="1"/>
  <c r="AA1099" i="1" s="1"/>
  <c r="W1098" i="1"/>
  <c r="X1098" i="1" s="1"/>
  <c r="T1098" i="1"/>
  <c r="U1098" i="1" s="1"/>
  <c r="W1097" i="1"/>
  <c r="X1097" i="1" s="1"/>
  <c r="T1097" i="1"/>
  <c r="U1097" i="1" s="1"/>
  <c r="W41" i="1"/>
  <c r="X41" i="1" s="1"/>
  <c r="T41" i="1"/>
  <c r="U41" i="1" s="1"/>
  <c r="W1096" i="1"/>
  <c r="X1096" i="1" s="1"/>
  <c r="T1096" i="1"/>
  <c r="U1096" i="1" s="1"/>
  <c r="W1095" i="1"/>
  <c r="X1095" i="1" s="1"/>
  <c r="T1095" i="1"/>
  <c r="U1095" i="1" s="1"/>
  <c r="P1098" i="1"/>
  <c r="Q1098" i="1"/>
  <c r="R1098" i="1"/>
  <c r="P1097" i="1"/>
  <c r="Q1097" i="1"/>
  <c r="R1097" i="1"/>
  <c r="P41" i="1"/>
  <c r="Q41" i="1"/>
  <c r="R41" i="1"/>
  <c r="P1096" i="1"/>
  <c r="Q1096" i="1"/>
  <c r="R1096" i="1"/>
  <c r="P1095" i="1"/>
  <c r="Q1095" i="1"/>
  <c r="R1095" i="1"/>
  <c r="Z41" i="1" l="1"/>
  <c r="Z1096" i="1"/>
  <c r="Z1098" i="1"/>
  <c r="Y1098" i="1"/>
  <c r="AA1098" i="1" s="1"/>
  <c r="Y1096" i="1"/>
  <c r="AA1096" i="1" s="1"/>
  <c r="Y41" i="1"/>
  <c r="AA41" i="1" s="1"/>
  <c r="Y1097" i="1"/>
  <c r="AA1097" i="1" s="1"/>
  <c r="Y1095" i="1"/>
  <c r="AA1095" i="1" s="1"/>
  <c r="Z1097" i="1"/>
  <c r="Z1095" i="1"/>
  <c r="W534" i="1" l="1"/>
  <c r="W40" i="1"/>
  <c r="X40" i="1" s="1"/>
  <c r="T40" i="1"/>
  <c r="U40" i="1" s="1"/>
  <c r="W39" i="1"/>
  <c r="X39" i="1" s="1"/>
  <c r="T39" i="1"/>
  <c r="U39" i="1" s="1"/>
  <c r="W1094" i="1"/>
  <c r="X1094" i="1" s="1"/>
  <c r="T1094" i="1"/>
  <c r="U1094" i="1" s="1"/>
  <c r="P40" i="1"/>
  <c r="Q40" i="1"/>
  <c r="R40" i="1"/>
  <c r="P39" i="1"/>
  <c r="Q39" i="1"/>
  <c r="R39" i="1"/>
  <c r="P1094" i="1"/>
  <c r="Q1094" i="1"/>
  <c r="R1094" i="1"/>
  <c r="W1093" i="1"/>
  <c r="X1093" i="1" s="1"/>
  <c r="T1093" i="1"/>
  <c r="U1093" i="1" s="1"/>
  <c r="W1092" i="1"/>
  <c r="X1092" i="1" s="1"/>
  <c r="T1092" i="1"/>
  <c r="U1092" i="1" s="1"/>
  <c r="W1091" i="1"/>
  <c r="X1091" i="1" s="1"/>
  <c r="T1091" i="1"/>
  <c r="U1091" i="1" s="1"/>
  <c r="W1090" i="1"/>
  <c r="X1090" i="1" s="1"/>
  <c r="T1090" i="1"/>
  <c r="U1090" i="1" s="1"/>
  <c r="W1089" i="1"/>
  <c r="X1089" i="1" s="1"/>
  <c r="T1089" i="1"/>
  <c r="U1089" i="1" s="1"/>
  <c r="W1088" i="1"/>
  <c r="X1088" i="1" s="1"/>
  <c r="T1088" i="1"/>
  <c r="U1088" i="1" s="1"/>
  <c r="W1087" i="1"/>
  <c r="X1087" i="1" s="1"/>
  <c r="T1087" i="1"/>
  <c r="U1087" i="1" s="1"/>
  <c r="W1086" i="1"/>
  <c r="X1086" i="1" s="1"/>
  <c r="T1086" i="1"/>
  <c r="U1086" i="1" s="1"/>
  <c r="W1085" i="1"/>
  <c r="X1085" i="1" s="1"/>
  <c r="T1085" i="1"/>
  <c r="U1085" i="1" s="1"/>
  <c r="W1084" i="1"/>
  <c r="X1084" i="1" s="1"/>
  <c r="T1084" i="1"/>
  <c r="U1084" i="1" s="1"/>
  <c r="W1083" i="1"/>
  <c r="X1083" i="1" s="1"/>
  <c r="T1083" i="1"/>
  <c r="U1083" i="1" s="1"/>
  <c r="W1082" i="1"/>
  <c r="X1082" i="1" s="1"/>
  <c r="T1082" i="1"/>
  <c r="U1082" i="1" s="1"/>
  <c r="P1093" i="1"/>
  <c r="Q1093" i="1"/>
  <c r="R1093" i="1"/>
  <c r="P1092" i="1"/>
  <c r="Q1092" i="1"/>
  <c r="R1092" i="1"/>
  <c r="P1091" i="1"/>
  <c r="Q1091" i="1"/>
  <c r="R1091" i="1"/>
  <c r="P1090" i="1"/>
  <c r="Q1090" i="1"/>
  <c r="R1090" i="1"/>
  <c r="P1089" i="1"/>
  <c r="Q1089" i="1"/>
  <c r="R1089" i="1"/>
  <c r="P1088" i="1"/>
  <c r="Q1088" i="1"/>
  <c r="R1088" i="1"/>
  <c r="P1087" i="1"/>
  <c r="Q1087" i="1"/>
  <c r="R1087" i="1"/>
  <c r="P1086" i="1"/>
  <c r="Q1086" i="1"/>
  <c r="R1086" i="1"/>
  <c r="P1085" i="1"/>
  <c r="Q1085" i="1"/>
  <c r="R1085" i="1"/>
  <c r="P1084" i="1"/>
  <c r="Q1084" i="1"/>
  <c r="R1084" i="1"/>
  <c r="P1083" i="1"/>
  <c r="Q1083" i="1"/>
  <c r="R1083" i="1"/>
  <c r="P1082" i="1"/>
  <c r="Q1082" i="1"/>
  <c r="R1082" i="1"/>
  <c r="W1081" i="1"/>
  <c r="X1081" i="1" s="1"/>
  <c r="T1081" i="1"/>
  <c r="U1081" i="1" s="1"/>
  <c r="W1080" i="1"/>
  <c r="X1080" i="1" s="1"/>
  <c r="T1080" i="1"/>
  <c r="U1080" i="1" s="1"/>
  <c r="W1079" i="1"/>
  <c r="X1079" i="1" s="1"/>
  <c r="T1079" i="1"/>
  <c r="U1079" i="1" s="1"/>
  <c r="W1078" i="1"/>
  <c r="X1078" i="1" s="1"/>
  <c r="T1078" i="1"/>
  <c r="U1078" i="1" s="1"/>
  <c r="W1077" i="1"/>
  <c r="X1077" i="1" s="1"/>
  <c r="T1077" i="1"/>
  <c r="U1077" i="1" s="1"/>
  <c r="W1076" i="1"/>
  <c r="X1076" i="1" s="1"/>
  <c r="T1076" i="1"/>
  <c r="U1076" i="1" s="1"/>
  <c r="P1081" i="1"/>
  <c r="Q1081" i="1"/>
  <c r="R1081" i="1"/>
  <c r="P1080" i="1"/>
  <c r="Q1080" i="1"/>
  <c r="R1080" i="1"/>
  <c r="P1079" i="1"/>
  <c r="Q1079" i="1"/>
  <c r="R1079" i="1"/>
  <c r="P1078" i="1"/>
  <c r="Q1078" i="1"/>
  <c r="R1078" i="1"/>
  <c r="P1077" i="1"/>
  <c r="Q1077" i="1"/>
  <c r="R1077" i="1"/>
  <c r="P1076" i="1"/>
  <c r="Q1076" i="1"/>
  <c r="R1076" i="1"/>
  <c r="W38" i="1"/>
  <c r="T38" i="1"/>
  <c r="U38" i="1" s="1"/>
  <c r="Z40" i="1" l="1"/>
  <c r="Z39" i="1"/>
  <c r="Y1094" i="1"/>
  <c r="AA1094" i="1" s="1"/>
  <c r="Y39" i="1"/>
  <c r="AA39" i="1" s="1"/>
  <c r="Y40" i="1"/>
  <c r="AA40" i="1" s="1"/>
  <c r="Z1094" i="1"/>
  <c r="Y1092" i="1"/>
  <c r="AA1092" i="1" s="1"/>
  <c r="Y1084" i="1"/>
  <c r="AA1084" i="1" s="1"/>
  <c r="Z1093" i="1"/>
  <c r="Y1089" i="1"/>
  <c r="AA1089" i="1" s="1"/>
  <c r="Z1092" i="1"/>
  <c r="Z1084" i="1"/>
  <c r="Y1082" i="1"/>
  <c r="AA1082" i="1" s="1"/>
  <c r="Y1087" i="1"/>
  <c r="AA1087" i="1" s="1"/>
  <c r="Z1088" i="1"/>
  <c r="Z1090" i="1"/>
  <c r="Z1089" i="1"/>
  <c r="Y1085" i="1"/>
  <c r="AA1085" i="1" s="1"/>
  <c r="Z1086" i="1"/>
  <c r="Y1091" i="1"/>
  <c r="AA1091" i="1" s="1"/>
  <c r="Y1088" i="1"/>
  <c r="AA1088" i="1" s="1"/>
  <c r="Z1091" i="1"/>
  <c r="Y1083" i="1"/>
  <c r="AA1083" i="1" s="1"/>
  <c r="Y1090" i="1"/>
  <c r="AA1090" i="1" s="1"/>
  <c r="Y1093" i="1"/>
  <c r="AA1093" i="1" s="1"/>
  <c r="Y1086" i="1"/>
  <c r="AA1086" i="1" s="1"/>
  <c r="Z1087" i="1"/>
  <c r="Z1085" i="1"/>
  <c r="Z1083" i="1"/>
  <c r="Z1082" i="1"/>
  <c r="Z1079" i="1"/>
  <c r="Z1080" i="1"/>
  <c r="Y1078" i="1"/>
  <c r="AA1078" i="1" s="1"/>
  <c r="Z1078" i="1"/>
  <c r="Y1081" i="1"/>
  <c r="AA1081" i="1" s="1"/>
  <c r="Z1081" i="1"/>
  <c r="Z1077" i="1"/>
  <c r="Y1079" i="1"/>
  <c r="AA1079" i="1" s="1"/>
  <c r="Y1077" i="1"/>
  <c r="AA1077" i="1" s="1"/>
  <c r="Y1080" i="1"/>
  <c r="AA1080" i="1" s="1"/>
  <c r="Y1076" i="1"/>
  <c r="AA1076" i="1" s="1"/>
  <c r="Z1076" i="1"/>
  <c r="P38" i="1" l="1"/>
  <c r="Q38" i="1"/>
  <c r="R38" i="1"/>
  <c r="X38" i="1"/>
  <c r="W1075" i="1"/>
  <c r="X1075" i="1" s="1"/>
  <c r="T1075" i="1"/>
  <c r="U1075" i="1" s="1"/>
  <c r="T1074" i="1"/>
  <c r="U1074" i="1" s="1"/>
  <c r="P1075" i="1"/>
  <c r="Q1075" i="1"/>
  <c r="R1075" i="1"/>
  <c r="Z1074" i="1"/>
  <c r="W1074" i="1"/>
  <c r="X1074" i="1" s="1"/>
  <c r="L813" i="1"/>
  <c r="L26" i="1"/>
  <c r="Y38" i="1" l="1"/>
  <c r="AA38" i="1" s="1"/>
  <c r="Z38" i="1"/>
  <c r="Y1075" i="1"/>
  <c r="AA1075" i="1" s="1"/>
  <c r="Z1075" i="1"/>
  <c r="Y1074" i="1"/>
  <c r="AA1074" i="1" s="1"/>
  <c r="L585" i="1"/>
  <c r="W1073" i="1" l="1"/>
  <c r="X1073" i="1" s="1"/>
  <c r="T1073" i="1"/>
  <c r="U1073" i="1" s="1"/>
  <c r="W1072" i="1"/>
  <c r="X1072" i="1" s="1"/>
  <c r="T1072" i="1"/>
  <c r="U1072" i="1" s="1"/>
  <c r="W1071" i="1"/>
  <c r="X1071" i="1" s="1"/>
  <c r="T1071" i="1"/>
  <c r="U1071" i="1" s="1"/>
  <c r="W1070" i="1"/>
  <c r="X1070" i="1" s="1"/>
  <c r="T1070" i="1"/>
  <c r="U1070" i="1" s="1"/>
  <c r="W1069" i="1"/>
  <c r="X1069" i="1" s="1"/>
  <c r="T1069" i="1"/>
  <c r="U1069" i="1" s="1"/>
  <c r="W1068" i="1"/>
  <c r="X1068" i="1" s="1"/>
  <c r="T1068" i="1"/>
  <c r="U1068" i="1" s="1"/>
  <c r="W1067" i="1"/>
  <c r="X1067" i="1" s="1"/>
  <c r="T1067" i="1"/>
  <c r="U1067" i="1" s="1"/>
  <c r="W1066" i="1"/>
  <c r="X1066" i="1" s="1"/>
  <c r="T1066" i="1"/>
  <c r="U1066" i="1" s="1"/>
  <c r="W1065" i="1"/>
  <c r="X1065" i="1" s="1"/>
  <c r="T1065" i="1"/>
  <c r="U1065" i="1" s="1"/>
  <c r="W1064" i="1"/>
  <c r="X1064" i="1" s="1"/>
  <c r="T1064" i="1"/>
  <c r="U1064" i="1" s="1"/>
  <c r="W1063" i="1"/>
  <c r="X1063" i="1" s="1"/>
  <c r="T1063" i="1"/>
  <c r="U1063" i="1" s="1"/>
  <c r="W1062" i="1"/>
  <c r="X1062" i="1" s="1"/>
  <c r="T1062" i="1"/>
  <c r="U1062" i="1" s="1"/>
  <c r="W1061" i="1"/>
  <c r="X1061" i="1" s="1"/>
  <c r="T1061" i="1"/>
  <c r="U1061" i="1" s="1"/>
  <c r="W1060" i="1"/>
  <c r="X1060" i="1" s="1"/>
  <c r="T1060" i="1"/>
  <c r="U1060" i="1" s="1"/>
  <c r="W1059" i="1"/>
  <c r="X1059" i="1" s="1"/>
  <c r="T1059" i="1"/>
  <c r="U1059" i="1" s="1"/>
  <c r="W1058" i="1"/>
  <c r="X1058" i="1" s="1"/>
  <c r="T1058" i="1"/>
  <c r="U1058" i="1" s="1"/>
  <c r="W1057" i="1"/>
  <c r="X1057" i="1" s="1"/>
  <c r="T1057" i="1"/>
  <c r="U1057" i="1" s="1"/>
  <c r="W1056" i="1"/>
  <c r="X1056" i="1" s="1"/>
  <c r="T1056" i="1"/>
  <c r="U1056" i="1" s="1"/>
  <c r="W1055" i="1"/>
  <c r="X1055" i="1" s="1"/>
  <c r="T1055" i="1"/>
  <c r="U1055" i="1" s="1"/>
  <c r="W1054" i="1"/>
  <c r="X1054" i="1" s="1"/>
  <c r="T1054" i="1"/>
  <c r="U1054" i="1" s="1"/>
  <c r="W37" i="1"/>
  <c r="X37" i="1" s="1"/>
  <c r="T37" i="1"/>
  <c r="U37" i="1" s="1"/>
  <c r="W1053" i="1"/>
  <c r="X1053" i="1" s="1"/>
  <c r="T1053" i="1"/>
  <c r="U1053" i="1" s="1"/>
  <c r="W1052" i="1"/>
  <c r="X1052" i="1" s="1"/>
  <c r="T1052" i="1"/>
  <c r="U1052" i="1" s="1"/>
  <c r="W1051" i="1"/>
  <c r="X1051" i="1" s="1"/>
  <c r="T1051" i="1"/>
  <c r="U1051" i="1" s="1"/>
  <c r="W1050" i="1"/>
  <c r="X1050" i="1" s="1"/>
  <c r="T1050" i="1"/>
  <c r="U1050" i="1" s="1"/>
  <c r="W1049" i="1"/>
  <c r="X1049" i="1" s="1"/>
  <c r="T1049" i="1"/>
  <c r="U1049" i="1" s="1"/>
  <c r="W1048" i="1"/>
  <c r="X1048" i="1" s="1"/>
  <c r="T1048" i="1"/>
  <c r="U1048" i="1" s="1"/>
  <c r="W1047" i="1"/>
  <c r="X1047" i="1" s="1"/>
  <c r="T1047" i="1"/>
  <c r="U1047" i="1" s="1"/>
  <c r="W1046" i="1"/>
  <c r="X1046" i="1" s="1"/>
  <c r="T1046" i="1"/>
  <c r="U1046" i="1" s="1"/>
  <c r="W1045" i="1"/>
  <c r="X1045" i="1" s="1"/>
  <c r="T1045" i="1"/>
  <c r="U1045" i="1" s="1"/>
  <c r="W1044" i="1"/>
  <c r="X1044" i="1" s="1"/>
  <c r="T1044" i="1"/>
  <c r="U1044" i="1" s="1"/>
  <c r="W1043" i="1"/>
  <c r="X1043" i="1" s="1"/>
  <c r="T1043" i="1"/>
  <c r="U1043" i="1" s="1"/>
  <c r="W1042" i="1"/>
  <c r="X1042" i="1" s="1"/>
  <c r="T1042" i="1"/>
  <c r="U1042" i="1" s="1"/>
  <c r="W1041" i="1"/>
  <c r="X1041" i="1" s="1"/>
  <c r="T1041" i="1"/>
  <c r="U1041" i="1" s="1"/>
  <c r="W36" i="1"/>
  <c r="X36" i="1" s="1"/>
  <c r="T36" i="1"/>
  <c r="U36" i="1" s="1"/>
  <c r="W35" i="1"/>
  <c r="X35" i="1" s="1"/>
  <c r="T35" i="1"/>
  <c r="U35" i="1" s="1"/>
  <c r="W1040" i="1"/>
  <c r="X1040" i="1" s="1"/>
  <c r="T1040" i="1"/>
  <c r="U1040" i="1" s="1"/>
  <c r="W34" i="1"/>
  <c r="X34" i="1" s="1"/>
  <c r="T34" i="1"/>
  <c r="U34" i="1" s="1"/>
  <c r="W33" i="1"/>
  <c r="X33" i="1" s="1"/>
  <c r="T33" i="1"/>
  <c r="U33" i="1" s="1"/>
  <c r="W32" i="1"/>
  <c r="X32" i="1" s="1"/>
  <c r="T32" i="1"/>
  <c r="U32" i="1" s="1"/>
  <c r="P1040" i="1"/>
  <c r="P35" i="1"/>
  <c r="P36" i="1"/>
  <c r="P1041" i="1"/>
  <c r="P1042" i="1"/>
  <c r="P1043" i="1"/>
  <c r="P1044" i="1"/>
  <c r="P1045" i="1"/>
  <c r="P1046" i="1"/>
  <c r="P1047" i="1"/>
  <c r="P1048" i="1"/>
  <c r="P1049" i="1"/>
  <c r="P1050" i="1"/>
  <c r="P1051" i="1"/>
  <c r="P1052" i="1"/>
  <c r="P1053" i="1"/>
  <c r="P37" i="1"/>
  <c r="P1054" i="1"/>
  <c r="P1055" i="1"/>
  <c r="P1056" i="1"/>
  <c r="P1057" i="1"/>
  <c r="P1058" i="1"/>
  <c r="P1059" i="1"/>
  <c r="P1060" i="1"/>
  <c r="P1061" i="1"/>
  <c r="P1062" i="1"/>
  <c r="P1063" i="1"/>
  <c r="P1064" i="1"/>
  <c r="P1065" i="1"/>
  <c r="P1066" i="1"/>
  <c r="P1067" i="1"/>
  <c r="P1068" i="1"/>
  <c r="P1069" i="1"/>
  <c r="P1070" i="1"/>
  <c r="P1071" i="1"/>
  <c r="P1072" i="1"/>
  <c r="P1073" i="1"/>
  <c r="Q1040" i="1"/>
  <c r="Q35" i="1"/>
  <c r="Q36" i="1"/>
  <c r="Q1041" i="1"/>
  <c r="Q1042" i="1"/>
  <c r="Q1043" i="1"/>
  <c r="Q1044" i="1"/>
  <c r="Q1045" i="1"/>
  <c r="Q1046" i="1"/>
  <c r="Q1047" i="1"/>
  <c r="Q1048" i="1"/>
  <c r="Q1049" i="1"/>
  <c r="Q1050" i="1"/>
  <c r="Q1051" i="1"/>
  <c r="Q1052" i="1"/>
  <c r="Q1053" i="1"/>
  <c r="Q37" i="1"/>
  <c r="Q1054" i="1"/>
  <c r="Q1055" i="1"/>
  <c r="Q1056" i="1"/>
  <c r="Q1057" i="1"/>
  <c r="Q1058" i="1"/>
  <c r="Q1059" i="1"/>
  <c r="Q1060" i="1"/>
  <c r="Q1061" i="1"/>
  <c r="Q1062" i="1"/>
  <c r="Q1063" i="1"/>
  <c r="Q1064" i="1"/>
  <c r="Q1065" i="1"/>
  <c r="Q1066" i="1"/>
  <c r="Q1067" i="1"/>
  <c r="Q1068" i="1"/>
  <c r="Q1069" i="1"/>
  <c r="Q1070" i="1"/>
  <c r="Q1071" i="1"/>
  <c r="Q1072" i="1"/>
  <c r="Q1073" i="1"/>
  <c r="R1040" i="1"/>
  <c r="R35" i="1"/>
  <c r="R36" i="1"/>
  <c r="R1041" i="1"/>
  <c r="R1042" i="1"/>
  <c r="R1043" i="1"/>
  <c r="R1044" i="1"/>
  <c r="R1045" i="1"/>
  <c r="R1046" i="1"/>
  <c r="R1047" i="1"/>
  <c r="R1048" i="1"/>
  <c r="R1049" i="1"/>
  <c r="R1050" i="1"/>
  <c r="R1051" i="1"/>
  <c r="R1052" i="1"/>
  <c r="R1053" i="1"/>
  <c r="R37" i="1"/>
  <c r="R1054" i="1"/>
  <c r="R1055" i="1"/>
  <c r="R1056" i="1"/>
  <c r="R1057" i="1"/>
  <c r="R1058" i="1"/>
  <c r="R1059" i="1"/>
  <c r="R1060" i="1"/>
  <c r="R1061" i="1"/>
  <c r="R1062" i="1"/>
  <c r="R1063" i="1"/>
  <c r="R1064" i="1"/>
  <c r="R1065" i="1"/>
  <c r="R1066" i="1"/>
  <c r="R1067" i="1"/>
  <c r="R1068" i="1"/>
  <c r="R1069" i="1"/>
  <c r="R1070" i="1"/>
  <c r="R1071" i="1"/>
  <c r="R1072" i="1"/>
  <c r="R1073" i="1"/>
  <c r="P34" i="1"/>
  <c r="Q34" i="1"/>
  <c r="R34" i="1"/>
  <c r="P33" i="1"/>
  <c r="Q33" i="1"/>
  <c r="R33" i="1"/>
  <c r="W1039" i="1"/>
  <c r="X1039" i="1" s="1"/>
  <c r="T1039" i="1"/>
  <c r="U1039" i="1" s="1"/>
  <c r="W1038" i="1"/>
  <c r="X1038" i="1" s="1"/>
  <c r="T1038" i="1"/>
  <c r="U1038" i="1" s="1"/>
  <c r="W1037" i="1"/>
  <c r="X1037" i="1" s="1"/>
  <c r="T1037" i="1"/>
  <c r="U1037" i="1" s="1"/>
  <c r="W1036" i="1"/>
  <c r="X1036" i="1" s="1"/>
  <c r="T1036" i="1"/>
  <c r="U1036" i="1" s="1"/>
  <c r="W1035" i="1"/>
  <c r="X1035" i="1" s="1"/>
  <c r="T1035" i="1"/>
  <c r="U1035" i="1" s="1"/>
  <c r="W1034" i="1"/>
  <c r="X1034" i="1" s="1"/>
  <c r="T1034" i="1"/>
  <c r="U1034" i="1" s="1"/>
  <c r="W1033" i="1"/>
  <c r="X1033" i="1" s="1"/>
  <c r="T1033" i="1"/>
  <c r="U1033" i="1" s="1"/>
  <c r="W1032" i="1"/>
  <c r="X1032" i="1" s="1"/>
  <c r="T1032" i="1"/>
  <c r="U1032" i="1" s="1"/>
  <c r="W1031" i="1"/>
  <c r="X1031" i="1" s="1"/>
  <c r="T1031" i="1"/>
  <c r="U1031" i="1" s="1"/>
  <c r="W1030" i="1"/>
  <c r="X1030" i="1" s="1"/>
  <c r="T1030" i="1"/>
  <c r="U1030" i="1" s="1"/>
  <c r="W1029" i="1"/>
  <c r="T1029" i="1"/>
  <c r="U1029" i="1" s="1"/>
  <c r="W1028" i="1"/>
  <c r="T1028" i="1"/>
  <c r="U1028" i="1" s="1"/>
  <c r="W1027" i="1"/>
  <c r="T1027" i="1"/>
  <c r="U1027" i="1" s="1"/>
  <c r="P1030" i="1"/>
  <c r="P1031" i="1"/>
  <c r="P1032" i="1"/>
  <c r="P1033" i="1"/>
  <c r="P1034" i="1"/>
  <c r="P1035" i="1"/>
  <c r="P1036" i="1"/>
  <c r="P1037" i="1"/>
  <c r="P1038" i="1"/>
  <c r="P1039" i="1"/>
  <c r="P32" i="1"/>
  <c r="Q1030" i="1"/>
  <c r="Q1031" i="1"/>
  <c r="Q1032" i="1"/>
  <c r="Q1033" i="1"/>
  <c r="Q1034" i="1"/>
  <c r="Q1035" i="1"/>
  <c r="Q1036" i="1"/>
  <c r="Q1037" i="1"/>
  <c r="Q1038" i="1"/>
  <c r="Q1039" i="1"/>
  <c r="Q32" i="1"/>
  <c r="R1030" i="1"/>
  <c r="R1031" i="1"/>
  <c r="R1032" i="1"/>
  <c r="R1033" i="1"/>
  <c r="R1034" i="1"/>
  <c r="R1035" i="1"/>
  <c r="R1036" i="1"/>
  <c r="R1037" i="1"/>
  <c r="R1038" i="1"/>
  <c r="R1039" i="1"/>
  <c r="R32" i="1"/>
  <c r="Z1043" i="1" l="1"/>
  <c r="Z1073" i="1"/>
  <c r="Z1065" i="1"/>
  <c r="Z1057" i="1"/>
  <c r="Z1050" i="1"/>
  <c r="Z1071" i="1"/>
  <c r="Z1062" i="1"/>
  <c r="Z1047" i="1"/>
  <c r="Z1072" i="1"/>
  <c r="Z1064" i="1"/>
  <c r="Z1056" i="1"/>
  <c r="Z1049" i="1"/>
  <c r="Z1061" i="1"/>
  <c r="Z1063" i="1"/>
  <c r="Z1059" i="1"/>
  <c r="Z1053" i="1"/>
  <c r="Z1068" i="1"/>
  <c r="Z1042" i="1"/>
  <c r="Z1045" i="1"/>
  <c r="Z1067" i="1"/>
  <c r="Z1054" i="1"/>
  <c r="Z1048" i="1"/>
  <c r="Z1041" i="1"/>
  <c r="Z1052" i="1"/>
  <c r="Z1044" i="1"/>
  <c r="Y37" i="1"/>
  <c r="AA37" i="1" s="1"/>
  <c r="Y1061" i="1"/>
  <c r="AA1061" i="1" s="1"/>
  <c r="Z1046" i="1"/>
  <c r="Z1069" i="1"/>
  <c r="Z37" i="1"/>
  <c r="Z35" i="1"/>
  <c r="Z36" i="1"/>
  <c r="Z1040" i="1"/>
  <c r="Z34" i="1"/>
  <c r="Z1060" i="1"/>
  <c r="Z1055" i="1"/>
  <c r="Z1066" i="1"/>
  <c r="Z1058" i="1"/>
  <c r="Z1051" i="1"/>
  <c r="Z1070" i="1"/>
  <c r="Y35" i="1"/>
  <c r="AA35" i="1" s="1"/>
  <c r="Y1057" i="1"/>
  <c r="AA1057" i="1" s="1"/>
  <c r="Y1068" i="1"/>
  <c r="AA1068" i="1" s="1"/>
  <c r="Y1048" i="1"/>
  <c r="AA1048" i="1" s="1"/>
  <c r="Y1055" i="1"/>
  <c r="AA1055" i="1" s="1"/>
  <c r="Y1071" i="1"/>
  <c r="AA1071" i="1" s="1"/>
  <c r="Y33" i="1"/>
  <c r="AA33" i="1" s="1"/>
  <c r="Y1049" i="1"/>
  <c r="AA1049" i="1" s="1"/>
  <c r="Y1056" i="1"/>
  <c r="AA1056" i="1" s="1"/>
  <c r="Y1045" i="1"/>
  <c r="AA1045" i="1" s="1"/>
  <c r="Y1042" i="1"/>
  <c r="AA1042" i="1" s="1"/>
  <c r="Y1053" i="1"/>
  <c r="AA1053" i="1" s="1"/>
  <c r="Y1060" i="1"/>
  <c r="AA1060" i="1" s="1"/>
  <c r="Y1064" i="1"/>
  <c r="AA1064" i="1" s="1"/>
  <c r="Y36" i="1"/>
  <c r="AA36" i="1" s="1"/>
  <c r="Y1050" i="1"/>
  <c r="AA1050" i="1" s="1"/>
  <c r="Y1072" i="1"/>
  <c r="AA1072" i="1" s="1"/>
  <c r="Y1040" i="1"/>
  <c r="AA1040" i="1" s="1"/>
  <c r="Y1070" i="1"/>
  <c r="AA1070" i="1" s="1"/>
  <c r="Y1059" i="1"/>
  <c r="AA1059" i="1" s="1"/>
  <c r="Y1065" i="1"/>
  <c r="AA1065" i="1" s="1"/>
  <c r="Y1067" i="1"/>
  <c r="AA1067" i="1" s="1"/>
  <c r="Y1043" i="1"/>
  <c r="AA1043" i="1" s="1"/>
  <c r="Y1041" i="1"/>
  <c r="AA1041" i="1" s="1"/>
  <c r="Y1047" i="1"/>
  <c r="AA1047" i="1" s="1"/>
  <c r="Y1051" i="1"/>
  <c r="AA1051" i="1" s="1"/>
  <c r="Y1069" i="1"/>
  <c r="AA1069" i="1" s="1"/>
  <c r="Y1073" i="1"/>
  <c r="AA1073" i="1" s="1"/>
  <c r="Y1052" i="1"/>
  <c r="AA1052" i="1" s="1"/>
  <c r="Y1044" i="1"/>
  <c r="AA1044" i="1" s="1"/>
  <c r="Y1054" i="1"/>
  <c r="AA1054" i="1" s="1"/>
  <c r="Y1058" i="1"/>
  <c r="AA1058" i="1" s="1"/>
  <c r="Y1062" i="1"/>
  <c r="AA1062" i="1" s="1"/>
  <c r="Y1066" i="1"/>
  <c r="AA1066" i="1" s="1"/>
  <c r="Y1046" i="1"/>
  <c r="AA1046" i="1" s="1"/>
  <c r="Y1063" i="1"/>
  <c r="AA1063" i="1" s="1"/>
  <c r="Y34" i="1"/>
  <c r="AA34" i="1" s="1"/>
  <c r="Z33" i="1"/>
  <c r="Z32" i="1"/>
  <c r="Z1035" i="1"/>
  <c r="Z1039" i="1"/>
  <c r="Y1039" i="1"/>
  <c r="AA1039" i="1" s="1"/>
  <c r="Z1032" i="1"/>
  <c r="Z1036" i="1"/>
  <c r="Y32" i="1"/>
  <c r="AA32" i="1" s="1"/>
  <c r="Z1031" i="1"/>
  <c r="Y1035" i="1"/>
  <c r="AA1035" i="1" s="1"/>
  <c r="Y1036" i="1"/>
  <c r="AA1036" i="1" s="1"/>
  <c r="Y1033" i="1"/>
  <c r="AA1033" i="1" s="1"/>
  <c r="Y1030" i="1"/>
  <c r="AA1030" i="1" s="1"/>
  <c r="Y1034" i="1"/>
  <c r="AA1034" i="1" s="1"/>
  <c r="Y1032" i="1"/>
  <c r="AA1032" i="1" s="1"/>
  <c r="Y1038" i="1"/>
  <c r="AA1038" i="1" s="1"/>
  <c r="Y1031" i="1"/>
  <c r="AA1031" i="1" s="1"/>
  <c r="Y1037" i="1"/>
  <c r="AA1037" i="1" s="1"/>
  <c r="Z1037" i="1"/>
  <c r="Z1034" i="1"/>
  <c r="Z1038" i="1"/>
  <c r="Z1030" i="1"/>
  <c r="Z1033" i="1"/>
  <c r="W1026" i="1" l="1"/>
  <c r="X1026" i="1" s="1"/>
  <c r="T1026" i="1"/>
  <c r="U1026" i="1" s="1"/>
  <c r="W1025" i="1"/>
  <c r="X1025" i="1" s="1"/>
  <c r="T1025" i="1"/>
  <c r="U1025" i="1" s="1"/>
  <c r="W1024" i="1"/>
  <c r="X1024" i="1" s="1"/>
  <c r="T1024" i="1"/>
  <c r="U1024" i="1" s="1"/>
  <c r="W1023" i="1"/>
  <c r="X1023" i="1" s="1"/>
  <c r="T1023" i="1"/>
  <c r="U1023" i="1" s="1"/>
  <c r="W1022" i="1"/>
  <c r="X1022" i="1" s="1"/>
  <c r="T1022" i="1"/>
  <c r="U1022" i="1" s="1"/>
  <c r="W1021" i="1"/>
  <c r="X1021" i="1" s="1"/>
  <c r="T1021" i="1"/>
  <c r="U1021" i="1" s="1"/>
  <c r="W1020" i="1"/>
  <c r="X1020" i="1" s="1"/>
  <c r="T1020" i="1"/>
  <c r="U1020" i="1" s="1"/>
  <c r="W1019" i="1"/>
  <c r="X1019" i="1" s="1"/>
  <c r="T1019" i="1"/>
  <c r="U1019" i="1" s="1"/>
  <c r="W1018" i="1"/>
  <c r="X1018" i="1" s="1"/>
  <c r="T1018" i="1"/>
  <c r="U1018" i="1" s="1"/>
  <c r="W1017" i="1"/>
  <c r="X1017" i="1" s="1"/>
  <c r="T1017" i="1"/>
  <c r="U1017" i="1" s="1"/>
  <c r="W1016" i="1"/>
  <c r="X1016" i="1" s="1"/>
  <c r="T1016" i="1"/>
  <c r="U1016" i="1" s="1"/>
  <c r="W1015" i="1"/>
  <c r="X1015" i="1" s="1"/>
  <c r="T1015" i="1"/>
  <c r="U1015" i="1" s="1"/>
  <c r="W1014" i="1"/>
  <c r="X1014" i="1" s="1"/>
  <c r="T1014" i="1"/>
  <c r="U1014" i="1" s="1"/>
  <c r="W1013" i="1"/>
  <c r="X1013" i="1" s="1"/>
  <c r="T1013" i="1"/>
  <c r="U1013" i="1" s="1"/>
  <c r="W1012" i="1"/>
  <c r="X1012" i="1" s="1"/>
  <c r="T1012" i="1"/>
  <c r="U1012" i="1" s="1"/>
  <c r="W1011" i="1"/>
  <c r="X1011" i="1" s="1"/>
  <c r="T1011" i="1"/>
  <c r="U1011" i="1" s="1"/>
  <c r="W1010" i="1"/>
  <c r="X1010" i="1" s="1"/>
  <c r="T1010" i="1"/>
  <c r="U1010" i="1" s="1"/>
  <c r="W1009" i="1"/>
  <c r="X1009" i="1" s="1"/>
  <c r="T1009" i="1"/>
  <c r="U1009" i="1" s="1"/>
  <c r="W1008" i="1"/>
  <c r="X1008" i="1" s="1"/>
  <c r="T1008" i="1"/>
  <c r="U1008" i="1" s="1"/>
  <c r="W1007" i="1"/>
  <c r="X1007" i="1" s="1"/>
  <c r="T1007" i="1"/>
  <c r="U1007" i="1" s="1"/>
  <c r="W1006" i="1"/>
  <c r="X1006" i="1" s="1"/>
  <c r="T1006" i="1"/>
  <c r="U1006" i="1" s="1"/>
  <c r="W1005" i="1"/>
  <c r="X1005" i="1" s="1"/>
  <c r="T1005" i="1"/>
  <c r="U1005" i="1" s="1"/>
  <c r="W1004" i="1"/>
  <c r="X1004" i="1" s="1"/>
  <c r="T1004" i="1"/>
  <c r="U1004" i="1" s="1"/>
  <c r="W1003" i="1"/>
  <c r="X1003" i="1" s="1"/>
  <c r="T1003" i="1"/>
  <c r="U1003" i="1" s="1"/>
  <c r="W1002" i="1"/>
  <c r="X1002" i="1" s="1"/>
  <c r="T1002" i="1"/>
  <c r="U1002" i="1" s="1"/>
  <c r="W1001" i="1"/>
  <c r="X1001" i="1" s="1"/>
  <c r="T1001" i="1"/>
  <c r="U1001" i="1" s="1"/>
  <c r="W1000" i="1"/>
  <c r="X1000" i="1" s="1"/>
  <c r="T1000" i="1"/>
  <c r="U1000" i="1" s="1"/>
  <c r="W999" i="1"/>
  <c r="X999" i="1" s="1"/>
  <c r="T999" i="1"/>
  <c r="U999" i="1" s="1"/>
  <c r="W998" i="1"/>
  <c r="T998" i="1"/>
  <c r="U998" i="1" s="1"/>
  <c r="P1002" i="1"/>
  <c r="P1003" i="1"/>
  <c r="P1004" i="1"/>
  <c r="P1005" i="1"/>
  <c r="P1006" i="1"/>
  <c r="P1007" i="1"/>
  <c r="P1008" i="1"/>
  <c r="P1009" i="1"/>
  <c r="P1010" i="1"/>
  <c r="P1011" i="1"/>
  <c r="P1012" i="1"/>
  <c r="P1013" i="1"/>
  <c r="P1014" i="1"/>
  <c r="P1015" i="1"/>
  <c r="P1016" i="1"/>
  <c r="P1017" i="1"/>
  <c r="P1018" i="1"/>
  <c r="P1019" i="1"/>
  <c r="P1020" i="1"/>
  <c r="P1021" i="1"/>
  <c r="P1022" i="1"/>
  <c r="P1023" i="1"/>
  <c r="P1024" i="1"/>
  <c r="P1025" i="1"/>
  <c r="P1026" i="1"/>
  <c r="P1027" i="1"/>
  <c r="P1028" i="1"/>
  <c r="P1029" i="1"/>
  <c r="Q1002" i="1"/>
  <c r="Q1003" i="1"/>
  <c r="Q1004" i="1"/>
  <c r="Q1005" i="1"/>
  <c r="Q1006" i="1"/>
  <c r="Q1007" i="1"/>
  <c r="Q1008" i="1"/>
  <c r="Q1009" i="1"/>
  <c r="Q1010" i="1"/>
  <c r="Q1011" i="1"/>
  <c r="Q1012" i="1"/>
  <c r="Q1013" i="1"/>
  <c r="Q1014" i="1"/>
  <c r="Q1015" i="1"/>
  <c r="Q1016" i="1"/>
  <c r="Q1017" i="1"/>
  <c r="Q1018" i="1"/>
  <c r="Q1019" i="1"/>
  <c r="Q1020" i="1"/>
  <c r="Q1021" i="1"/>
  <c r="Q1022" i="1"/>
  <c r="Q1023" i="1"/>
  <c r="Q1024" i="1"/>
  <c r="Q1025" i="1"/>
  <c r="Q1026" i="1"/>
  <c r="Q1027" i="1"/>
  <c r="Q1028" i="1"/>
  <c r="Q1029" i="1"/>
  <c r="R1002" i="1"/>
  <c r="R1003" i="1"/>
  <c r="R1004" i="1"/>
  <c r="R1005" i="1"/>
  <c r="R1006" i="1"/>
  <c r="R1007" i="1"/>
  <c r="R1008" i="1"/>
  <c r="R1009" i="1"/>
  <c r="R1010" i="1"/>
  <c r="R1011" i="1"/>
  <c r="R1012" i="1"/>
  <c r="R1013" i="1"/>
  <c r="R1014" i="1"/>
  <c r="R1015" i="1"/>
  <c r="R1016" i="1"/>
  <c r="R1017" i="1"/>
  <c r="R1018" i="1"/>
  <c r="R1019" i="1"/>
  <c r="R1020" i="1"/>
  <c r="R1021" i="1"/>
  <c r="R1022" i="1"/>
  <c r="R1023" i="1"/>
  <c r="R1024" i="1"/>
  <c r="R1025" i="1"/>
  <c r="R1026" i="1"/>
  <c r="R1027" i="1"/>
  <c r="R1028" i="1"/>
  <c r="R1029" i="1"/>
  <c r="X1027" i="1"/>
  <c r="X1028" i="1"/>
  <c r="X1029" i="1"/>
  <c r="P1001" i="1"/>
  <c r="Q1001" i="1"/>
  <c r="R1001" i="1"/>
  <c r="P1000" i="1"/>
  <c r="Q1000" i="1"/>
  <c r="R1000" i="1"/>
  <c r="P999" i="1"/>
  <c r="Q999" i="1"/>
  <c r="R999" i="1"/>
  <c r="Z1004" i="1" l="1"/>
  <c r="Z1028" i="1"/>
  <c r="Y1029" i="1"/>
  <c r="AA1029" i="1" s="1"/>
  <c r="Z1018" i="1"/>
  <c r="Z1010" i="1"/>
  <c r="Z1002" i="1"/>
  <c r="Z1021" i="1"/>
  <c r="Z1001" i="1"/>
  <c r="Y1028" i="1"/>
  <c r="AA1028" i="1" s="1"/>
  <c r="Z1029" i="1"/>
  <c r="Z1005" i="1"/>
  <c r="Z1027" i="1"/>
  <c r="Z1019" i="1"/>
  <c r="Z1011" i="1"/>
  <c r="Z1003" i="1"/>
  <c r="Z999" i="1"/>
  <c r="Z1023" i="1"/>
  <c r="Z1015" i="1"/>
  <c r="Y1027" i="1"/>
  <c r="AA1027" i="1" s="1"/>
  <c r="Z1026" i="1"/>
  <c r="Z1025" i="1"/>
  <c r="Z1013" i="1"/>
  <c r="Z1017" i="1"/>
  <c r="Z1009" i="1"/>
  <c r="Z1020" i="1"/>
  <c r="Z1012" i="1"/>
  <c r="Y1017" i="1"/>
  <c r="AA1017" i="1" s="1"/>
  <c r="Y1025" i="1"/>
  <c r="AA1025" i="1" s="1"/>
  <c r="Y1024" i="1"/>
  <c r="AA1024" i="1" s="1"/>
  <c r="Y1021" i="1"/>
  <c r="AA1021" i="1" s="1"/>
  <c r="Y1019" i="1"/>
  <c r="AA1019" i="1" s="1"/>
  <c r="Y1016" i="1"/>
  <c r="AA1016" i="1" s="1"/>
  <c r="Y1009" i="1"/>
  <c r="AA1009" i="1" s="1"/>
  <c r="Y1005" i="1"/>
  <c r="AA1005" i="1" s="1"/>
  <c r="Y1003" i="1"/>
  <c r="AA1003" i="1" s="1"/>
  <c r="Y999" i="1"/>
  <c r="AA999" i="1" s="1"/>
  <c r="Y1023" i="1"/>
  <c r="AA1023" i="1" s="1"/>
  <c r="Y1006" i="1"/>
  <c r="AA1006" i="1" s="1"/>
  <c r="Y1013" i="1"/>
  <c r="AA1013" i="1" s="1"/>
  <c r="Y1000" i="1"/>
  <c r="AA1000" i="1" s="1"/>
  <c r="Y1007" i="1"/>
  <c r="AA1007" i="1" s="1"/>
  <c r="Y1014" i="1"/>
  <c r="AA1014" i="1" s="1"/>
  <c r="Y1008" i="1"/>
  <c r="AA1008" i="1" s="1"/>
  <c r="Y1015" i="1"/>
  <c r="AA1015" i="1" s="1"/>
  <c r="Y1022" i="1"/>
  <c r="AA1022" i="1" s="1"/>
  <c r="Y1004" i="1"/>
  <c r="AA1004" i="1" s="1"/>
  <c r="Y1011" i="1"/>
  <c r="AA1011" i="1" s="1"/>
  <c r="Y1001" i="1"/>
  <c r="AA1001" i="1" s="1"/>
  <c r="Y1020" i="1"/>
  <c r="AA1020" i="1" s="1"/>
  <c r="Y1012" i="1"/>
  <c r="AA1012" i="1" s="1"/>
  <c r="Y1018" i="1"/>
  <c r="AA1018" i="1" s="1"/>
  <c r="Y1010" i="1"/>
  <c r="AA1010" i="1" s="1"/>
  <c r="Y1002" i="1"/>
  <c r="AA1002" i="1" s="1"/>
  <c r="Y1026" i="1"/>
  <c r="AA1026" i="1" s="1"/>
  <c r="Z1024" i="1"/>
  <c r="Z1016" i="1"/>
  <c r="Z1008" i="1"/>
  <c r="Z1007" i="1"/>
  <c r="Z1022" i="1"/>
  <c r="Z1014" i="1"/>
  <c r="Z1006" i="1"/>
  <c r="Z1000" i="1"/>
  <c r="P998" i="1" l="1"/>
  <c r="Q998" i="1"/>
  <c r="R998" i="1"/>
  <c r="X998" i="1"/>
  <c r="W31" i="1"/>
  <c r="X31" i="1" s="1"/>
  <c r="T31" i="1"/>
  <c r="U31" i="1" s="1"/>
  <c r="W997" i="1"/>
  <c r="X997" i="1" s="1"/>
  <c r="T997" i="1"/>
  <c r="U997" i="1" s="1"/>
  <c r="P31" i="1"/>
  <c r="Q31" i="1"/>
  <c r="R31" i="1"/>
  <c r="P997" i="1"/>
  <c r="Q997" i="1"/>
  <c r="R997" i="1"/>
  <c r="Y998" i="1" l="1"/>
  <c r="AA998" i="1" s="1"/>
  <c r="Z998" i="1"/>
  <c r="Y997" i="1"/>
  <c r="AA997" i="1" s="1"/>
  <c r="Y31" i="1"/>
  <c r="AA31" i="1" s="1"/>
  <c r="Z31" i="1"/>
  <c r="Z997" i="1"/>
  <c r="W996" i="1" l="1"/>
  <c r="X996" i="1" s="1"/>
  <c r="T996" i="1"/>
  <c r="U996" i="1" s="1"/>
  <c r="W995" i="1"/>
  <c r="X995" i="1" s="1"/>
  <c r="T995" i="1"/>
  <c r="U995" i="1" s="1"/>
  <c r="W994" i="1"/>
  <c r="X994" i="1" s="1"/>
  <c r="T994" i="1"/>
  <c r="U994" i="1" s="1"/>
  <c r="W993" i="1"/>
  <c r="X993" i="1" s="1"/>
  <c r="T993" i="1"/>
  <c r="U993" i="1" s="1"/>
  <c r="W992" i="1"/>
  <c r="X992" i="1" s="1"/>
  <c r="T992" i="1"/>
  <c r="U992" i="1" s="1"/>
  <c r="W991" i="1"/>
  <c r="X991" i="1" s="1"/>
  <c r="T991" i="1"/>
  <c r="U991" i="1" s="1"/>
  <c r="W990" i="1"/>
  <c r="X990" i="1" s="1"/>
  <c r="T990" i="1"/>
  <c r="U990" i="1" s="1"/>
  <c r="W989" i="1"/>
  <c r="X989" i="1" s="1"/>
  <c r="T989" i="1"/>
  <c r="U989" i="1" s="1"/>
  <c r="W988" i="1"/>
  <c r="X988" i="1" s="1"/>
  <c r="T988" i="1"/>
  <c r="U988" i="1" s="1"/>
  <c r="W987" i="1"/>
  <c r="X987" i="1" s="1"/>
  <c r="T987" i="1"/>
  <c r="U987" i="1" s="1"/>
  <c r="W986" i="1"/>
  <c r="X986" i="1" s="1"/>
  <c r="T986" i="1"/>
  <c r="U986" i="1" s="1"/>
  <c r="W985" i="1"/>
  <c r="X985" i="1" s="1"/>
  <c r="T985" i="1"/>
  <c r="U985" i="1" s="1"/>
  <c r="W984" i="1"/>
  <c r="X984" i="1" s="1"/>
  <c r="T984" i="1"/>
  <c r="U984" i="1" s="1"/>
  <c r="W983" i="1"/>
  <c r="X983" i="1" s="1"/>
  <c r="T983" i="1"/>
  <c r="U983" i="1" s="1"/>
  <c r="W982" i="1"/>
  <c r="X982" i="1" s="1"/>
  <c r="T982" i="1"/>
  <c r="U982" i="1" s="1"/>
  <c r="W981" i="1"/>
  <c r="X981" i="1" s="1"/>
  <c r="T981" i="1"/>
  <c r="U981" i="1" s="1"/>
  <c r="W980" i="1"/>
  <c r="X980" i="1" s="1"/>
  <c r="T980" i="1"/>
  <c r="U980" i="1" s="1"/>
  <c r="W979" i="1"/>
  <c r="X979" i="1" s="1"/>
  <c r="T979" i="1"/>
  <c r="U979" i="1" s="1"/>
  <c r="W978" i="1"/>
  <c r="X978" i="1" s="1"/>
  <c r="T978" i="1"/>
  <c r="U978" i="1" s="1"/>
  <c r="W977" i="1"/>
  <c r="X977" i="1" s="1"/>
  <c r="T977" i="1"/>
  <c r="U977" i="1" s="1"/>
  <c r="W976" i="1"/>
  <c r="X976" i="1" s="1"/>
  <c r="T976" i="1"/>
  <c r="U976" i="1" s="1"/>
  <c r="W975" i="1"/>
  <c r="X975" i="1" s="1"/>
  <c r="T975" i="1"/>
  <c r="U975" i="1" s="1"/>
  <c r="W30" i="1"/>
  <c r="X30" i="1" s="1"/>
  <c r="T30" i="1"/>
  <c r="U30" i="1" s="1"/>
  <c r="P996" i="1"/>
  <c r="Q996" i="1"/>
  <c r="R996" i="1"/>
  <c r="P994" i="1"/>
  <c r="P995" i="1"/>
  <c r="Q994" i="1"/>
  <c r="Q995" i="1"/>
  <c r="R994" i="1"/>
  <c r="R995" i="1"/>
  <c r="P992" i="1"/>
  <c r="P993" i="1"/>
  <c r="Q992" i="1"/>
  <c r="Q993" i="1"/>
  <c r="R992" i="1"/>
  <c r="R993" i="1"/>
  <c r="W974" i="1"/>
  <c r="X974" i="1" s="1"/>
  <c r="T974" i="1"/>
  <c r="U974" i="1" s="1"/>
  <c r="W973" i="1"/>
  <c r="X973" i="1" s="1"/>
  <c r="T973" i="1"/>
  <c r="U973" i="1" s="1"/>
  <c r="W972" i="1"/>
  <c r="X972" i="1" s="1"/>
  <c r="T972" i="1"/>
  <c r="U972" i="1" s="1"/>
  <c r="W971" i="1"/>
  <c r="X971" i="1" s="1"/>
  <c r="T971" i="1"/>
  <c r="U971" i="1" s="1"/>
  <c r="W970" i="1"/>
  <c r="X970" i="1" s="1"/>
  <c r="T970" i="1"/>
  <c r="U970" i="1" s="1"/>
  <c r="W969" i="1"/>
  <c r="X969" i="1" s="1"/>
  <c r="T969" i="1"/>
  <c r="U969" i="1" s="1"/>
  <c r="W968" i="1"/>
  <c r="X968" i="1" s="1"/>
  <c r="T968" i="1"/>
  <c r="U968" i="1" s="1"/>
  <c r="W967" i="1"/>
  <c r="X967" i="1" s="1"/>
  <c r="T967" i="1"/>
  <c r="U967" i="1" s="1"/>
  <c r="W966" i="1"/>
  <c r="X966" i="1" s="1"/>
  <c r="T966" i="1"/>
  <c r="U966" i="1" s="1"/>
  <c r="W965" i="1"/>
  <c r="X965" i="1" s="1"/>
  <c r="T965" i="1"/>
  <c r="U965" i="1" s="1"/>
  <c r="W964" i="1"/>
  <c r="X964" i="1" s="1"/>
  <c r="T964" i="1"/>
  <c r="U964" i="1" s="1"/>
  <c r="W963" i="1"/>
  <c r="X963" i="1" s="1"/>
  <c r="T963" i="1"/>
  <c r="U963" i="1" s="1"/>
  <c r="W962" i="1"/>
  <c r="X962" i="1" s="1"/>
  <c r="T962" i="1"/>
  <c r="U962" i="1" s="1"/>
  <c r="W961" i="1"/>
  <c r="X961" i="1" s="1"/>
  <c r="T961" i="1"/>
  <c r="U961" i="1" s="1"/>
  <c r="W960" i="1"/>
  <c r="X960" i="1" s="1"/>
  <c r="T960" i="1"/>
  <c r="U960" i="1" s="1"/>
  <c r="W959" i="1"/>
  <c r="X959" i="1" s="1"/>
  <c r="T959" i="1"/>
  <c r="U959" i="1" s="1"/>
  <c r="W958" i="1"/>
  <c r="X958" i="1" s="1"/>
  <c r="T958" i="1"/>
  <c r="U958" i="1" s="1"/>
  <c r="W957" i="1"/>
  <c r="X957" i="1" s="1"/>
  <c r="T957" i="1"/>
  <c r="U957" i="1" s="1"/>
  <c r="W956" i="1"/>
  <c r="X956" i="1" s="1"/>
  <c r="T956" i="1"/>
  <c r="U956" i="1" s="1"/>
  <c r="W955" i="1"/>
  <c r="X955" i="1" s="1"/>
  <c r="T955" i="1"/>
  <c r="U955" i="1" s="1"/>
  <c r="W954" i="1"/>
  <c r="X954" i="1" s="1"/>
  <c r="T954" i="1"/>
  <c r="U954" i="1" s="1"/>
  <c r="W953" i="1"/>
  <c r="X953" i="1" s="1"/>
  <c r="T953" i="1"/>
  <c r="U953" i="1" s="1"/>
  <c r="W952" i="1"/>
  <c r="X952" i="1" s="1"/>
  <c r="T952" i="1"/>
  <c r="U952" i="1" s="1"/>
  <c r="W951" i="1"/>
  <c r="X951" i="1" s="1"/>
  <c r="T951" i="1"/>
  <c r="U951" i="1" s="1"/>
  <c r="W950" i="1"/>
  <c r="X950" i="1" s="1"/>
  <c r="T950" i="1"/>
  <c r="U950" i="1" s="1"/>
  <c r="W949" i="1"/>
  <c r="X949" i="1" s="1"/>
  <c r="T949" i="1"/>
  <c r="U949" i="1" s="1"/>
  <c r="W948" i="1"/>
  <c r="X948" i="1" s="1"/>
  <c r="T948" i="1"/>
  <c r="U948" i="1" s="1"/>
  <c r="W947" i="1"/>
  <c r="X947" i="1" s="1"/>
  <c r="T947" i="1"/>
  <c r="U947" i="1" s="1"/>
  <c r="W946" i="1"/>
  <c r="X946" i="1" s="1"/>
  <c r="T946" i="1"/>
  <c r="U946" i="1" s="1"/>
  <c r="W945" i="1"/>
  <c r="X945" i="1" s="1"/>
  <c r="T945" i="1"/>
  <c r="U945" i="1" s="1"/>
  <c r="W944" i="1"/>
  <c r="X944" i="1" s="1"/>
  <c r="T944" i="1"/>
  <c r="U944" i="1" s="1"/>
  <c r="W943" i="1"/>
  <c r="X943" i="1" s="1"/>
  <c r="T943" i="1"/>
  <c r="U943" i="1" s="1"/>
  <c r="W942" i="1"/>
  <c r="X942" i="1" s="1"/>
  <c r="T942" i="1"/>
  <c r="U942" i="1" s="1"/>
  <c r="W941" i="1"/>
  <c r="X941" i="1" s="1"/>
  <c r="T941" i="1"/>
  <c r="U941" i="1" s="1"/>
  <c r="W940" i="1"/>
  <c r="X940" i="1" s="1"/>
  <c r="T940" i="1"/>
  <c r="U940" i="1" s="1"/>
  <c r="W939" i="1"/>
  <c r="X939" i="1" s="1"/>
  <c r="T939" i="1"/>
  <c r="U939" i="1" s="1"/>
  <c r="W938" i="1"/>
  <c r="X938" i="1" s="1"/>
  <c r="T938" i="1"/>
  <c r="U938" i="1" s="1"/>
  <c r="W937" i="1"/>
  <c r="X937" i="1" s="1"/>
  <c r="T937" i="1"/>
  <c r="U937" i="1" s="1"/>
  <c r="W936" i="1"/>
  <c r="X936" i="1" s="1"/>
  <c r="T936" i="1"/>
  <c r="U936" i="1" s="1"/>
  <c r="W935" i="1"/>
  <c r="X935" i="1" s="1"/>
  <c r="T935" i="1"/>
  <c r="U935" i="1" s="1"/>
  <c r="W934" i="1"/>
  <c r="X934" i="1" s="1"/>
  <c r="T934" i="1"/>
  <c r="U934" i="1" s="1"/>
  <c r="W933" i="1"/>
  <c r="X933" i="1" s="1"/>
  <c r="T933" i="1"/>
  <c r="U933" i="1" s="1"/>
  <c r="W932" i="1"/>
  <c r="X932" i="1" s="1"/>
  <c r="T932" i="1"/>
  <c r="U932" i="1" s="1"/>
  <c r="W931" i="1"/>
  <c r="X931" i="1" s="1"/>
  <c r="T931" i="1"/>
  <c r="U931" i="1" s="1"/>
  <c r="W930" i="1"/>
  <c r="X930" i="1" s="1"/>
  <c r="T930" i="1"/>
  <c r="U930" i="1" s="1"/>
  <c r="W929" i="1"/>
  <c r="X929" i="1" s="1"/>
  <c r="T929" i="1"/>
  <c r="U929" i="1" s="1"/>
  <c r="W928" i="1"/>
  <c r="X928" i="1" s="1"/>
  <c r="T928" i="1"/>
  <c r="U928" i="1" s="1"/>
  <c r="W927" i="1"/>
  <c r="X927" i="1" s="1"/>
  <c r="T927" i="1"/>
  <c r="U927" i="1" s="1"/>
  <c r="W926" i="1"/>
  <c r="X926" i="1" s="1"/>
  <c r="T926" i="1"/>
  <c r="U926" i="1" s="1"/>
  <c r="W925" i="1"/>
  <c r="X925" i="1" s="1"/>
  <c r="T925" i="1"/>
  <c r="U925" i="1" s="1"/>
  <c r="W924" i="1"/>
  <c r="X924" i="1" s="1"/>
  <c r="T924" i="1"/>
  <c r="U924" i="1" s="1"/>
  <c r="W923" i="1"/>
  <c r="X923" i="1" s="1"/>
  <c r="T923" i="1"/>
  <c r="U923" i="1" s="1"/>
  <c r="W922" i="1"/>
  <c r="X922" i="1" s="1"/>
  <c r="T922" i="1"/>
  <c r="U922" i="1" s="1"/>
  <c r="W921" i="1"/>
  <c r="X921" i="1" s="1"/>
  <c r="T921" i="1"/>
  <c r="U921" i="1" s="1"/>
  <c r="W920" i="1"/>
  <c r="X920" i="1" s="1"/>
  <c r="T920" i="1"/>
  <c r="U920" i="1" s="1"/>
  <c r="W919" i="1"/>
  <c r="X919" i="1" s="1"/>
  <c r="T919" i="1"/>
  <c r="U919" i="1" s="1"/>
  <c r="W918" i="1"/>
  <c r="X918" i="1" s="1"/>
  <c r="T918" i="1"/>
  <c r="U918" i="1" s="1"/>
  <c r="W917" i="1"/>
  <c r="X917" i="1" s="1"/>
  <c r="T917" i="1"/>
  <c r="U917" i="1" s="1"/>
  <c r="W916" i="1"/>
  <c r="X916" i="1" s="1"/>
  <c r="T916" i="1"/>
  <c r="U916" i="1" s="1"/>
  <c r="W915" i="1"/>
  <c r="X915" i="1" s="1"/>
  <c r="T915" i="1"/>
  <c r="U915" i="1" s="1"/>
  <c r="W914" i="1"/>
  <c r="X914" i="1" s="1"/>
  <c r="T914" i="1"/>
  <c r="U914" i="1" s="1"/>
  <c r="W913" i="1"/>
  <c r="X913" i="1" s="1"/>
  <c r="T913" i="1"/>
  <c r="U913" i="1" s="1"/>
  <c r="W912" i="1"/>
  <c r="X912" i="1" s="1"/>
  <c r="T912" i="1"/>
  <c r="U912" i="1" s="1"/>
  <c r="W911" i="1"/>
  <c r="X911" i="1" s="1"/>
  <c r="T911" i="1"/>
  <c r="U911" i="1" s="1"/>
  <c r="W910" i="1"/>
  <c r="X910" i="1" s="1"/>
  <c r="T910" i="1"/>
  <c r="U910" i="1" s="1"/>
  <c r="W909" i="1"/>
  <c r="X909" i="1" s="1"/>
  <c r="T909" i="1"/>
  <c r="U909" i="1" s="1"/>
  <c r="W908" i="1"/>
  <c r="X908" i="1" s="1"/>
  <c r="T908" i="1"/>
  <c r="U908" i="1" s="1"/>
  <c r="W907" i="1"/>
  <c r="X907" i="1" s="1"/>
  <c r="T907" i="1"/>
  <c r="U907" i="1" s="1"/>
  <c r="W906" i="1"/>
  <c r="X906" i="1" s="1"/>
  <c r="T906" i="1"/>
  <c r="U906" i="1" s="1"/>
  <c r="W905" i="1"/>
  <c r="X905" i="1" s="1"/>
  <c r="T905" i="1"/>
  <c r="U905" i="1" s="1"/>
  <c r="W904" i="1"/>
  <c r="X904" i="1" s="1"/>
  <c r="T904" i="1"/>
  <c r="U904" i="1" s="1"/>
  <c r="W903" i="1"/>
  <c r="X903" i="1" s="1"/>
  <c r="T903" i="1"/>
  <c r="U903" i="1" s="1"/>
  <c r="W902" i="1"/>
  <c r="X902" i="1" s="1"/>
  <c r="T902" i="1"/>
  <c r="U902" i="1" s="1"/>
  <c r="W901" i="1"/>
  <c r="X901" i="1" s="1"/>
  <c r="T901" i="1"/>
  <c r="U901" i="1" s="1"/>
  <c r="W900" i="1"/>
  <c r="X900" i="1" s="1"/>
  <c r="T900" i="1"/>
  <c r="U900" i="1" s="1"/>
  <c r="W899" i="1"/>
  <c r="X899" i="1" s="1"/>
  <c r="T899" i="1"/>
  <c r="U899" i="1" s="1"/>
  <c r="W898" i="1"/>
  <c r="X898" i="1" s="1"/>
  <c r="T898" i="1"/>
  <c r="U898" i="1" s="1"/>
  <c r="P956" i="1"/>
  <c r="P957" i="1"/>
  <c r="P958" i="1"/>
  <c r="P959" i="1"/>
  <c r="P960" i="1"/>
  <c r="P961" i="1"/>
  <c r="P962" i="1"/>
  <c r="P963" i="1"/>
  <c r="P964" i="1"/>
  <c r="P965" i="1"/>
  <c r="P966" i="1"/>
  <c r="P967" i="1"/>
  <c r="P968" i="1"/>
  <c r="P969" i="1"/>
  <c r="P970" i="1"/>
  <c r="P971" i="1"/>
  <c r="P972" i="1"/>
  <c r="P973" i="1"/>
  <c r="P974" i="1"/>
  <c r="P30" i="1"/>
  <c r="P975" i="1"/>
  <c r="P976" i="1"/>
  <c r="P977" i="1"/>
  <c r="P978" i="1"/>
  <c r="P979" i="1"/>
  <c r="P980" i="1"/>
  <c r="P981" i="1"/>
  <c r="P982" i="1"/>
  <c r="P983" i="1"/>
  <c r="P984" i="1"/>
  <c r="P985" i="1"/>
  <c r="P986" i="1"/>
  <c r="P987" i="1"/>
  <c r="P988" i="1"/>
  <c r="P989" i="1"/>
  <c r="P990" i="1"/>
  <c r="P991" i="1"/>
  <c r="Q956" i="1"/>
  <c r="Q957" i="1"/>
  <c r="Q958" i="1"/>
  <c r="Q959" i="1"/>
  <c r="Q960" i="1"/>
  <c r="Q961" i="1"/>
  <c r="Q962" i="1"/>
  <c r="Q963" i="1"/>
  <c r="Q964" i="1"/>
  <c r="Q965" i="1"/>
  <c r="Q966" i="1"/>
  <c r="Q967" i="1"/>
  <c r="Q968" i="1"/>
  <c r="Q969" i="1"/>
  <c r="Q970" i="1"/>
  <c r="Q971" i="1"/>
  <c r="Q972" i="1"/>
  <c r="Q973" i="1"/>
  <c r="Q974" i="1"/>
  <c r="Q30" i="1"/>
  <c r="Q975" i="1"/>
  <c r="Q976" i="1"/>
  <c r="Q977" i="1"/>
  <c r="Q978" i="1"/>
  <c r="Q979" i="1"/>
  <c r="Q980" i="1"/>
  <c r="Q981" i="1"/>
  <c r="Q982" i="1"/>
  <c r="Q983" i="1"/>
  <c r="Q984" i="1"/>
  <c r="Q985" i="1"/>
  <c r="Q986" i="1"/>
  <c r="Q987" i="1"/>
  <c r="Q988" i="1"/>
  <c r="Q989" i="1"/>
  <c r="Q990" i="1"/>
  <c r="Q991" i="1"/>
  <c r="R956" i="1"/>
  <c r="R957" i="1"/>
  <c r="R958" i="1"/>
  <c r="R959" i="1"/>
  <c r="R960" i="1"/>
  <c r="R961" i="1"/>
  <c r="R962" i="1"/>
  <c r="R963" i="1"/>
  <c r="R964" i="1"/>
  <c r="R965" i="1"/>
  <c r="R966" i="1"/>
  <c r="R967" i="1"/>
  <c r="R968" i="1"/>
  <c r="R969" i="1"/>
  <c r="R970" i="1"/>
  <c r="R971" i="1"/>
  <c r="R972" i="1"/>
  <c r="R973" i="1"/>
  <c r="R974" i="1"/>
  <c r="R30" i="1"/>
  <c r="R975" i="1"/>
  <c r="R976" i="1"/>
  <c r="R977" i="1"/>
  <c r="R978" i="1"/>
  <c r="R979" i="1"/>
  <c r="R980" i="1"/>
  <c r="R981" i="1"/>
  <c r="R982" i="1"/>
  <c r="R983" i="1"/>
  <c r="R984" i="1"/>
  <c r="R985" i="1"/>
  <c r="R986" i="1"/>
  <c r="R987" i="1"/>
  <c r="R988" i="1"/>
  <c r="R989" i="1"/>
  <c r="R990" i="1"/>
  <c r="R991" i="1"/>
  <c r="P904" i="1"/>
  <c r="P905" i="1"/>
  <c r="P906" i="1"/>
  <c r="P907" i="1"/>
  <c r="P908" i="1"/>
  <c r="P909" i="1"/>
  <c r="P910" i="1"/>
  <c r="P911" i="1"/>
  <c r="P912" i="1"/>
  <c r="P913" i="1"/>
  <c r="P914" i="1"/>
  <c r="P915" i="1"/>
  <c r="P916" i="1"/>
  <c r="P917" i="1"/>
  <c r="P918" i="1"/>
  <c r="P919" i="1"/>
  <c r="P920" i="1"/>
  <c r="P921" i="1"/>
  <c r="P922" i="1"/>
  <c r="P923" i="1"/>
  <c r="P924" i="1"/>
  <c r="P925" i="1"/>
  <c r="P926" i="1"/>
  <c r="P927" i="1"/>
  <c r="P928" i="1"/>
  <c r="P929" i="1"/>
  <c r="P930" i="1"/>
  <c r="P931" i="1"/>
  <c r="P932" i="1"/>
  <c r="P933" i="1"/>
  <c r="P934" i="1"/>
  <c r="P935" i="1"/>
  <c r="P936" i="1"/>
  <c r="P937" i="1"/>
  <c r="P938" i="1"/>
  <c r="P939" i="1"/>
  <c r="P940" i="1"/>
  <c r="P941" i="1"/>
  <c r="P942" i="1"/>
  <c r="P943" i="1"/>
  <c r="P944" i="1"/>
  <c r="P945" i="1"/>
  <c r="P946" i="1"/>
  <c r="P947" i="1"/>
  <c r="P948" i="1"/>
  <c r="P949" i="1"/>
  <c r="P950" i="1"/>
  <c r="P951" i="1"/>
  <c r="P952" i="1"/>
  <c r="P953" i="1"/>
  <c r="P954" i="1"/>
  <c r="P955" i="1"/>
  <c r="Q904" i="1"/>
  <c r="Q905" i="1"/>
  <c r="Q906" i="1"/>
  <c r="Q907" i="1"/>
  <c r="Q908" i="1"/>
  <c r="Q909" i="1"/>
  <c r="Q910" i="1"/>
  <c r="Q911" i="1"/>
  <c r="Q912" i="1"/>
  <c r="Q913" i="1"/>
  <c r="Q914" i="1"/>
  <c r="Q915" i="1"/>
  <c r="Q916" i="1"/>
  <c r="Q917" i="1"/>
  <c r="Q918" i="1"/>
  <c r="Q919" i="1"/>
  <c r="Q920" i="1"/>
  <c r="Q921" i="1"/>
  <c r="Q922" i="1"/>
  <c r="Q923" i="1"/>
  <c r="Q924" i="1"/>
  <c r="Q925" i="1"/>
  <c r="Q926" i="1"/>
  <c r="Q927" i="1"/>
  <c r="Q928" i="1"/>
  <c r="Q929" i="1"/>
  <c r="Q930" i="1"/>
  <c r="Q931" i="1"/>
  <c r="Q932" i="1"/>
  <c r="Q933" i="1"/>
  <c r="Q934" i="1"/>
  <c r="Q935" i="1"/>
  <c r="Q936" i="1"/>
  <c r="Q937" i="1"/>
  <c r="Q938" i="1"/>
  <c r="Q939" i="1"/>
  <c r="Q940" i="1"/>
  <c r="Q941" i="1"/>
  <c r="Q942" i="1"/>
  <c r="Q943" i="1"/>
  <c r="Q944" i="1"/>
  <c r="Q945" i="1"/>
  <c r="Q946" i="1"/>
  <c r="Q947" i="1"/>
  <c r="Q948" i="1"/>
  <c r="Q949" i="1"/>
  <c r="Q950" i="1"/>
  <c r="Q951" i="1"/>
  <c r="Q952" i="1"/>
  <c r="Q953" i="1"/>
  <c r="Q954" i="1"/>
  <c r="Q955" i="1"/>
  <c r="R904" i="1"/>
  <c r="R905" i="1"/>
  <c r="R906" i="1"/>
  <c r="R907" i="1"/>
  <c r="R908" i="1"/>
  <c r="R909" i="1"/>
  <c r="R910" i="1"/>
  <c r="R911" i="1"/>
  <c r="R912" i="1"/>
  <c r="R913" i="1"/>
  <c r="R914" i="1"/>
  <c r="R915" i="1"/>
  <c r="R916" i="1"/>
  <c r="R917" i="1"/>
  <c r="R918" i="1"/>
  <c r="R919" i="1"/>
  <c r="R920" i="1"/>
  <c r="R921" i="1"/>
  <c r="R922" i="1"/>
  <c r="R923" i="1"/>
  <c r="R924" i="1"/>
  <c r="R925" i="1"/>
  <c r="R926" i="1"/>
  <c r="R927" i="1"/>
  <c r="R928" i="1"/>
  <c r="R929" i="1"/>
  <c r="R930" i="1"/>
  <c r="R931" i="1"/>
  <c r="R932" i="1"/>
  <c r="R933" i="1"/>
  <c r="R934" i="1"/>
  <c r="R935" i="1"/>
  <c r="R936" i="1"/>
  <c r="R937" i="1"/>
  <c r="R938" i="1"/>
  <c r="R939" i="1"/>
  <c r="R940" i="1"/>
  <c r="R941" i="1"/>
  <c r="R942" i="1"/>
  <c r="R943" i="1"/>
  <c r="R944" i="1"/>
  <c r="R945" i="1"/>
  <c r="R946" i="1"/>
  <c r="R947" i="1"/>
  <c r="R948" i="1"/>
  <c r="R949" i="1"/>
  <c r="R950" i="1"/>
  <c r="R951" i="1"/>
  <c r="R952" i="1"/>
  <c r="R953" i="1"/>
  <c r="R954" i="1"/>
  <c r="R955" i="1"/>
  <c r="P903" i="1"/>
  <c r="Q903" i="1"/>
  <c r="R903" i="1"/>
  <c r="P902" i="1"/>
  <c r="Q902" i="1"/>
  <c r="R902" i="1"/>
  <c r="P901" i="1"/>
  <c r="Q901" i="1"/>
  <c r="R901" i="1"/>
  <c r="P900" i="1"/>
  <c r="Q900" i="1"/>
  <c r="R900" i="1"/>
  <c r="P899" i="1"/>
  <c r="Q899" i="1"/>
  <c r="R899" i="1"/>
  <c r="P898" i="1"/>
  <c r="Q898" i="1"/>
  <c r="R898" i="1"/>
  <c r="W897" i="1"/>
  <c r="X897" i="1" s="1"/>
  <c r="T897" i="1"/>
  <c r="U897" i="1" s="1"/>
  <c r="W896" i="1"/>
  <c r="X896" i="1" s="1"/>
  <c r="T896" i="1"/>
  <c r="U896" i="1" s="1"/>
  <c r="W895" i="1"/>
  <c r="X895" i="1" s="1"/>
  <c r="T895" i="1"/>
  <c r="U895" i="1" s="1"/>
  <c r="W29" i="1"/>
  <c r="X29" i="1" s="1"/>
  <c r="T29" i="1"/>
  <c r="U29" i="1" s="1"/>
  <c r="W894" i="1"/>
  <c r="X894" i="1" s="1"/>
  <c r="T894" i="1"/>
  <c r="U894" i="1" s="1"/>
  <c r="W893" i="1"/>
  <c r="X893" i="1" s="1"/>
  <c r="T893" i="1"/>
  <c r="U893" i="1" s="1"/>
  <c r="W892" i="1"/>
  <c r="X892" i="1" s="1"/>
  <c r="T892" i="1"/>
  <c r="U892" i="1" s="1"/>
  <c r="W891" i="1"/>
  <c r="X891" i="1" s="1"/>
  <c r="T891" i="1"/>
  <c r="U891" i="1" s="1"/>
  <c r="P897" i="1"/>
  <c r="Q897" i="1"/>
  <c r="R897" i="1"/>
  <c r="P896" i="1"/>
  <c r="Q896" i="1"/>
  <c r="R896" i="1"/>
  <c r="P895" i="1"/>
  <c r="Q895" i="1"/>
  <c r="R895" i="1"/>
  <c r="P29" i="1"/>
  <c r="Q29" i="1"/>
  <c r="R29" i="1"/>
  <c r="P894" i="1"/>
  <c r="Q894" i="1"/>
  <c r="R894" i="1"/>
  <c r="P893" i="1"/>
  <c r="Q893" i="1"/>
  <c r="R893" i="1"/>
  <c r="P892" i="1"/>
  <c r="Q892" i="1"/>
  <c r="R892" i="1"/>
  <c r="P891" i="1"/>
  <c r="Q891" i="1"/>
  <c r="R891" i="1"/>
  <c r="W889" i="1"/>
  <c r="X889" i="1" s="1"/>
  <c r="T889" i="1"/>
  <c r="U889" i="1" s="1"/>
  <c r="P889" i="1"/>
  <c r="Q889" i="1"/>
  <c r="R889" i="1"/>
  <c r="Y994" i="1" l="1"/>
  <c r="AA994" i="1" s="1"/>
  <c r="Z996" i="1"/>
  <c r="Z995" i="1"/>
  <c r="Y993" i="1"/>
  <c r="AA993" i="1" s="1"/>
  <c r="Y995" i="1"/>
  <c r="AA995" i="1" s="1"/>
  <c r="Y987" i="1"/>
  <c r="AA987" i="1" s="1"/>
  <c r="Y996" i="1"/>
  <c r="AA996" i="1" s="1"/>
  <c r="Z992" i="1"/>
  <c r="Z994" i="1"/>
  <c r="Z993" i="1"/>
  <c r="Y992" i="1"/>
  <c r="AA992" i="1" s="1"/>
  <c r="Y961" i="1"/>
  <c r="AA961" i="1" s="1"/>
  <c r="Z988" i="1"/>
  <c r="Y991" i="1"/>
  <c r="AA991" i="1" s="1"/>
  <c r="Y953" i="1"/>
  <c r="AA953" i="1" s="1"/>
  <c r="Z990" i="1"/>
  <c r="Z982" i="1"/>
  <c r="Z975" i="1"/>
  <c r="Z968" i="1"/>
  <c r="Z960" i="1"/>
  <c r="Z950" i="1"/>
  <c r="Y966" i="1"/>
  <c r="AA966" i="1" s="1"/>
  <c r="Z991" i="1"/>
  <c r="Z983" i="1"/>
  <c r="Z976" i="1"/>
  <c r="Z969" i="1"/>
  <c r="Z961" i="1"/>
  <c r="Y923" i="1"/>
  <c r="AA923" i="1" s="1"/>
  <c r="Y959" i="1"/>
  <c r="AA959" i="1" s="1"/>
  <c r="Y967" i="1"/>
  <c r="AA967" i="1" s="1"/>
  <c r="Y981" i="1"/>
  <c r="AA981" i="1" s="1"/>
  <c r="Y989" i="1"/>
  <c r="AA989" i="1" s="1"/>
  <c r="Z919" i="1"/>
  <c r="Z989" i="1"/>
  <c r="Z935" i="1"/>
  <c r="Y928" i="1"/>
  <c r="AA928" i="1" s="1"/>
  <c r="Z942" i="1"/>
  <c r="Z934" i="1"/>
  <c r="Z918" i="1"/>
  <c r="Z910" i="1"/>
  <c r="Z949" i="1"/>
  <c r="Z941" i="1"/>
  <c r="Z933" i="1"/>
  <c r="Z917" i="1"/>
  <c r="Z909" i="1"/>
  <c r="Z981" i="1"/>
  <c r="Z30" i="1"/>
  <c r="Z987" i="1"/>
  <c r="Z979" i="1"/>
  <c r="Z973" i="1"/>
  <c r="Z957" i="1"/>
  <c r="Z985" i="1"/>
  <c r="Z977" i="1"/>
  <c r="Z971" i="1"/>
  <c r="Z963" i="1"/>
  <c r="Y988" i="1"/>
  <c r="AA988" i="1" s="1"/>
  <c r="Z948" i="1"/>
  <c r="Z916" i="1"/>
  <c r="Z980" i="1"/>
  <c r="Z974" i="1"/>
  <c r="Z986" i="1"/>
  <c r="Z978" i="1"/>
  <c r="Z972" i="1"/>
  <c r="Z964" i="1"/>
  <c r="Z956" i="1"/>
  <c r="Z984" i="1"/>
  <c r="Z970" i="1"/>
  <c r="Z962" i="1"/>
  <c r="Y920" i="1"/>
  <c r="AA920" i="1" s="1"/>
  <c r="Y946" i="1"/>
  <c r="AA946" i="1" s="1"/>
  <c r="Y958" i="1"/>
  <c r="AA958" i="1" s="1"/>
  <c r="Y905" i="1"/>
  <c r="AA905" i="1" s="1"/>
  <c r="Y921" i="1"/>
  <c r="AA921" i="1" s="1"/>
  <c r="Y971" i="1"/>
  <c r="AA971" i="1" s="1"/>
  <c r="Y912" i="1"/>
  <c r="AA912" i="1" s="1"/>
  <c r="Y944" i="1"/>
  <c r="AA944" i="1" s="1"/>
  <c r="Y960" i="1"/>
  <c r="AA960" i="1" s="1"/>
  <c r="Y964" i="1"/>
  <c r="AA964" i="1" s="1"/>
  <c r="Y968" i="1"/>
  <c r="AA968" i="1" s="1"/>
  <c r="Y945" i="1"/>
  <c r="AA945" i="1" s="1"/>
  <c r="Y957" i="1"/>
  <c r="AA957" i="1" s="1"/>
  <c r="Y975" i="1"/>
  <c r="AA975" i="1" s="1"/>
  <c r="Y982" i="1"/>
  <c r="AA982" i="1" s="1"/>
  <c r="Y990" i="1"/>
  <c r="AA990" i="1" s="1"/>
  <c r="Y956" i="1"/>
  <c r="AA956" i="1" s="1"/>
  <c r="Y906" i="1"/>
  <c r="AA906" i="1" s="1"/>
  <c r="Y969" i="1"/>
  <c r="AA969" i="1" s="1"/>
  <c r="Y973" i="1"/>
  <c r="AA973" i="1" s="1"/>
  <c r="Y930" i="1"/>
  <c r="AA930" i="1" s="1"/>
  <c r="Y938" i="1"/>
  <c r="AA938" i="1" s="1"/>
  <c r="Y976" i="1"/>
  <c r="AA976" i="1" s="1"/>
  <c r="Y979" i="1"/>
  <c r="AA979" i="1" s="1"/>
  <c r="Y983" i="1"/>
  <c r="AA983" i="1" s="1"/>
  <c r="Y980" i="1"/>
  <c r="AA980" i="1" s="1"/>
  <c r="Y954" i="1"/>
  <c r="AA954" i="1" s="1"/>
  <c r="Y974" i="1"/>
  <c r="AA974" i="1" s="1"/>
  <c r="Y965" i="1"/>
  <c r="AA965" i="1" s="1"/>
  <c r="Y940" i="1"/>
  <c r="AA940" i="1" s="1"/>
  <c r="Y977" i="1"/>
  <c r="AA977" i="1" s="1"/>
  <c r="Y937" i="1"/>
  <c r="AA937" i="1" s="1"/>
  <c r="Y970" i="1"/>
  <c r="AA970" i="1" s="1"/>
  <c r="Y986" i="1"/>
  <c r="AA986" i="1" s="1"/>
  <c r="Y914" i="1"/>
  <c r="AA914" i="1" s="1"/>
  <c r="Y30" i="1"/>
  <c r="AA30" i="1" s="1"/>
  <c r="Y922" i="1"/>
  <c r="AA922" i="1" s="1"/>
  <c r="Y978" i="1"/>
  <c r="AA978" i="1" s="1"/>
  <c r="Y916" i="1"/>
  <c r="AA916" i="1" s="1"/>
  <c r="Y948" i="1"/>
  <c r="AA948" i="1" s="1"/>
  <c r="Y952" i="1"/>
  <c r="AA952" i="1" s="1"/>
  <c r="Y955" i="1"/>
  <c r="AA955" i="1" s="1"/>
  <c r="Y985" i="1"/>
  <c r="AA985" i="1" s="1"/>
  <c r="Y924" i="1"/>
  <c r="AA924" i="1" s="1"/>
  <c r="Y913" i="1"/>
  <c r="AA913" i="1" s="1"/>
  <c r="Y984" i="1"/>
  <c r="AA984" i="1" s="1"/>
  <c r="Y904" i="1"/>
  <c r="AA904" i="1" s="1"/>
  <c r="Y907" i="1"/>
  <c r="AA907" i="1" s="1"/>
  <c r="Y963" i="1"/>
  <c r="AA963" i="1" s="1"/>
  <c r="Y929" i="1"/>
  <c r="AA929" i="1" s="1"/>
  <c r="Y932" i="1"/>
  <c r="AA932" i="1" s="1"/>
  <c r="Y936" i="1"/>
  <c r="AA936" i="1" s="1"/>
  <c r="Y939" i="1"/>
  <c r="AA939" i="1" s="1"/>
  <c r="Y962" i="1"/>
  <c r="AA962" i="1" s="1"/>
  <c r="Y908" i="1"/>
  <c r="AA908" i="1" s="1"/>
  <c r="Y972" i="1"/>
  <c r="AA972" i="1" s="1"/>
  <c r="Z967" i="1"/>
  <c r="Z966" i="1"/>
  <c r="Z965" i="1"/>
  <c r="Z959" i="1"/>
  <c r="Y951" i="1"/>
  <c r="AA951" i="1" s="1"/>
  <c r="Y943" i="1"/>
  <c r="AA943" i="1" s="1"/>
  <c r="Y935" i="1"/>
  <c r="AA935" i="1" s="1"/>
  <c r="Y927" i="1"/>
  <c r="AA927" i="1" s="1"/>
  <c r="Y919" i="1"/>
  <c r="AA919" i="1" s="1"/>
  <c r="Y911" i="1"/>
  <c r="AA911" i="1" s="1"/>
  <c r="Y947" i="1"/>
  <c r="AA947" i="1" s="1"/>
  <c r="Y931" i="1"/>
  <c r="AA931" i="1" s="1"/>
  <c r="Y915" i="1"/>
  <c r="AA915" i="1" s="1"/>
  <c r="Z955" i="1"/>
  <c r="Z947" i="1"/>
  <c r="Z939" i="1"/>
  <c r="Z931" i="1"/>
  <c r="Z923" i="1"/>
  <c r="Z915" i="1"/>
  <c r="Z907" i="1"/>
  <c r="Z951" i="1"/>
  <c r="Z958" i="1"/>
  <c r="Y900" i="1"/>
  <c r="AA900" i="1" s="1"/>
  <c r="Z932" i="1"/>
  <c r="Y950" i="1"/>
  <c r="AA950" i="1" s="1"/>
  <c r="Y942" i="1"/>
  <c r="AA942" i="1" s="1"/>
  <c r="Y934" i="1"/>
  <c r="AA934" i="1" s="1"/>
  <c r="Y926" i="1"/>
  <c r="AA926" i="1" s="1"/>
  <c r="Y918" i="1"/>
  <c r="AA918" i="1" s="1"/>
  <c r="Y910" i="1"/>
  <c r="AA910" i="1" s="1"/>
  <c r="Z926" i="1"/>
  <c r="Y899" i="1"/>
  <c r="AA899" i="1" s="1"/>
  <c r="Z925" i="1"/>
  <c r="Z952" i="1"/>
  <c r="Z944" i="1"/>
  <c r="Z936" i="1"/>
  <c r="Z928" i="1"/>
  <c r="Z920" i="1"/>
  <c r="Z912" i="1"/>
  <c r="Z904" i="1"/>
  <c r="Z940" i="1"/>
  <c r="Z924" i="1"/>
  <c r="Z908" i="1"/>
  <c r="Z900" i="1"/>
  <c r="Z943" i="1"/>
  <c r="Z927" i="1"/>
  <c r="Z911" i="1"/>
  <c r="Z954" i="1"/>
  <c r="Z946" i="1"/>
  <c r="Z938" i="1"/>
  <c r="Z930" i="1"/>
  <c r="Z922" i="1"/>
  <c r="Z914" i="1"/>
  <c r="Z906" i="1"/>
  <c r="Y949" i="1"/>
  <c r="AA949" i="1" s="1"/>
  <c r="Y941" i="1"/>
  <c r="AA941" i="1" s="1"/>
  <c r="Y933" i="1"/>
  <c r="AA933" i="1" s="1"/>
  <c r="Y925" i="1"/>
  <c r="AA925" i="1" s="1"/>
  <c r="Y917" i="1"/>
  <c r="AA917" i="1" s="1"/>
  <c r="Y909" i="1"/>
  <c r="AA909" i="1" s="1"/>
  <c r="Z953" i="1"/>
  <c r="Z945" i="1"/>
  <c r="Z937" i="1"/>
  <c r="Z929" i="1"/>
  <c r="Z921" i="1"/>
  <c r="Z913" i="1"/>
  <c r="Z905" i="1"/>
  <c r="Y902" i="1"/>
  <c r="AA902" i="1" s="1"/>
  <c r="Z903" i="1"/>
  <c r="Z899" i="1"/>
  <c r="Y903" i="1"/>
  <c r="AA903" i="1" s="1"/>
  <c r="Z901" i="1"/>
  <c r="Y901" i="1"/>
  <c r="AA901" i="1" s="1"/>
  <c r="Z902" i="1"/>
  <c r="Z898" i="1"/>
  <c r="Z897" i="1"/>
  <c r="Y893" i="1"/>
  <c r="AA893" i="1" s="1"/>
  <c r="Z29" i="1"/>
  <c r="Z892" i="1"/>
  <c r="Y898" i="1"/>
  <c r="AA898" i="1" s="1"/>
  <c r="Z893" i="1"/>
  <c r="Z895" i="1"/>
  <c r="Z894" i="1"/>
  <c r="Z896" i="1"/>
  <c r="Y895" i="1"/>
  <c r="AA895" i="1" s="1"/>
  <c r="Y29" i="1"/>
  <c r="AA29" i="1" s="1"/>
  <c r="Y892" i="1"/>
  <c r="AA892" i="1" s="1"/>
  <c r="Y896" i="1"/>
  <c r="AA896" i="1" s="1"/>
  <c r="Y894" i="1"/>
  <c r="AA894" i="1" s="1"/>
  <c r="Y897" i="1"/>
  <c r="AA897" i="1" s="1"/>
  <c r="Y891" i="1"/>
  <c r="AA891" i="1" s="1"/>
  <c r="Z889" i="1"/>
  <c r="Z891" i="1"/>
  <c r="Y889" i="1"/>
  <c r="AA889" i="1" s="1"/>
  <c r="W888" i="1" l="1"/>
  <c r="X888" i="1" s="1"/>
  <c r="T888" i="1"/>
  <c r="U888" i="1" s="1"/>
  <c r="P888" i="1"/>
  <c r="Q888" i="1"/>
  <c r="R888" i="1"/>
  <c r="W887" i="1"/>
  <c r="X887" i="1" s="1"/>
  <c r="T887" i="1"/>
  <c r="U887" i="1" s="1"/>
  <c r="W886" i="1"/>
  <c r="X886" i="1" s="1"/>
  <c r="T886" i="1"/>
  <c r="U886" i="1" s="1"/>
  <c r="P887" i="1"/>
  <c r="Q887" i="1"/>
  <c r="R887" i="1"/>
  <c r="P886" i="1"/>
  <c r="Q886" i="1"/>
  <c r="R886" i="1"/>
  <c r="W885" i="1"/>
  <c r="T885" i="1"/>
  <c r="U885" i="1" s="1"/>
  <c r="W884" i="1"/>
  <c r="T884" i="1"/>
  <c r="U884" i="1" s="1"/>
  <c r="W883" i="1"/>
  <c r="T883" i="1"/>
  <c r="U883" i="1" s="1"/>
  <c r="W882" i="1"/>
  <c r="T882" i="1"/>
  <c r="U882" i="1" s="1"/>
  <c r="W881" i="1"/>
  <c r="T881" i="1"/>
  <c r="U881" i="1" s="1"/>
  <c r="W880" i="1"/>
  <c r="T880" i="1"/>
  <c r="U880" i="1" s="1"/>
  <c r="Z887" i="1" l="1"/>
  <c r="Z888" i="1"/>
  <c r="Y888" i="1"/>
  <c r="AA888" i="1" s="1"/>
  <c r="Y887" i="1"/>
  <c r="AA887" i="1" s="1"/>
  <c r="Y886" i="1"/>
  <c r="AA886" i="1" s="1"/>
  <c r="Z886" i="1"/>
  <c r="P885" i="1"/>
  <c r="Q885" i="1"/>
  <c r="R885" i="1"/>
  <c r="X885" i="1"/>
  <c r="Y885" i="1" s="1"/>
  <c r="AA885" i="1" s="1"/>
  <c r="P884" i="1"/>
  <c r="Q884" i="1"/>
  <c r="R884" i="1"/>
  <c r="X884" i="1"/>
  <c r="Y884" i="1" s="1"/>
  <c r="AA884" i="1" s="1"/>
  <c r="P883" i="1"/>
  <c r="Q883" i="1"/>
  <c r="R883" i="1"/>
  <c r="X883" i="1"/>
  <c r="Y883" i="1" s="1"/>
  <c r="AA883" i="1" s="1"/>
  <c r="W879" i="1"/>
  <c r="X879" i="1" s="1"/>
  <c r="T879" i="1"/>
  <c r="U879" i="1" s="1"/>
  <c r="W878" i="1"/>
  <c r="X878" i="1" s="1"/>
  <c r="T878" i="1"/>
  <c r="U878" i="1" s="1"/>
  <c r="W877" i="1"/>
  <c r="X877" i="1" s="1"/>
  <c r="T877" i="1"/>
  <c r="U877" i="1" s="1"/>
  <c r="W876" i="1"/>
  <c r="X876" i="1" s="1"/>
  <c r="T876" i="1"/>
  <c r="U876" i="1" s="1"/>
  <c r="W875" i="1"/>
  <c r="X875" i="1" s="1"/>
  <c r="T875" i="1"/>
  <c r="U875" i="1" s="1"/>
  <c r="W874" i="1"/>
  <c r="X874" i="1" s="1"/>
  <c r="T874" i="1"/>
  <c r="U874" i="1" s="1"/>
  <c r="W873" i="1"/>
  <c r="X873" i="1" s="1"/>
  <c r="T873" i="1"/>
  <c r="U873" i="1" s="1"/>
  <c r="W872" i="1"/>
  <c r="X872" i="1" s="1"/>
  <c r="T872" i="1"/>
  <c r="U872" i="1" s="1"/>
  <c r="W871" i="1"/>
  <c r="X871" i="1" s="1"/>
  <c r="T871" i="1"/>
  <c r="U871" i="1" s="1"/>
  <c r="W870" i="1"/>
  <c r="X870" i="1" s="1"/>
  <c r="T870" i="1"/>
  <c r="U870" i="1" s="1"/>
  <c r="W869" i="1"/>
  <c r="X869" i="1" s="1"/>
  <c r="T869" i="1"/>
  <c r="U869" i="1" s="1"/>
  <c r="W868" i="1"/>
  <c r="X868" i="1" s="1"/>
  <c r="T868" i="1"/>
  <c r="U868" i="1" s="1"/>
  <c r="W867" i="1"/>
  <c r="X867" i="1" s="1"/>
  <c r="T867" i="1"/>
  <c r="U867" i="1" s="1"/>
  <c r="W866" i="1"/>
  <c r="X866" i="1" s="1"/>
  <c r="T866" i="1"/>
  <c r="U866" i="1" s="1"/>
  <c r="W865" i="1"/>
  <c r="X865" i="1" s="1"/>
  <c r="T865" i="1"/>
  <c r="U865" i="1" s="1"/>
  <c r="W864" i="1"/>
  <c r="X864" i="1" s="1"/>
  <c r="T864" i="1"/>
  <c r="U864" i="1" s="1"/>
  <c r="W863" i="1"/>
  <c r="X863" i="1" s="1"/>
  <c r="T863" i="1"/>
  <c r="U863" i="1" s="1"/>
  <c r="W862" i="1"/>
  <c r="X862" i="1" s="1"/>
  <c r="T862" i="1"/>
  <c r="U862" i="1" s="1"/>
  <c r="W861" i="1"/>
  <c r="X861" i="1" s="1"/>
  <c r="T861" i="1"/>
  <c r="U861" i="1" s="1"/>
  <c r="W860" i="1"/>
  <c r="X860" i="1" s="1"/>
  <c r="T860" i="1"/>
  <c r="U860" i="1" s="1"/>
  <c r="W859" i="1"/>
  <c r="X859" i="1" s="1"/>
  <c r="T859" i="1"/>
  <c r="U859" i="1" s="1"/>
  <c r="W28" i="1"/>
  <c r="X28" i="1" s="1"/>
  <c r="T28" i="1"/>
  <c r="U28" i="1" s="1"/>
  <c r="W858" i="1"/>
  <c r="X858" i="1" s="1"/>
  <c r="T858" i="1"/>
  <c r="U858" i="1" s="1"/>
  <c r="W857" i="1"/>
  <c r="X857" i="1" s="1"/>
  <c r="T857" i="1"/>
  <c r="U857" i="1" s="1"/>
  <c r="W856" i="1"/>
  <c r="X856" i="1" s="1"/>
  <c r="T856" i="1"/>
  <c r="U856" i="1" s="1"/>
  <c r="W855" i="1"/>
  <c r="X855" i="1" s="1"/>
  <c r="T855" i="1"/>
  <c r="U855" i="1" s="1"/>
  <c r="W854" i="1"/>
  <c r="X854" i="1" s="1"/>
  <c r="T854" i="1"/>
  <c r="U854" i="1" s="1"/>
  <c r="P878" i="1"/>
  <c r="R879" i="1"/>
  <c r="Q879" i="1"/>
  <c r="P879" i="1"/>
  <c r="R878" i="1"/>
  <c r="Q878" i="1"/>
  <c r="P859" i="1"/>
  <c r="P860" i="1"/>
  <c r="P861" i="1"/>
  <c r="P862" i="1"/>
  <c r="P863" i="1"/>
  <c r="P864" i="1"/>
  <c r="P865" i="1"/>
  <c r="P866" i="1"/>
  <c r="P867" i="1"/>
  <c r="P868" i="1"/>
  <c r="P869" i="1"/>
  <c r="P870" i="1"/>
  <c r="P871" i="1"/>
  <c r="P872" i="1"/>
  <c r="P873" i="1"/>
  <c r="P874" i="1"/>
  <c r="P875" i="1"/>
  <c r="P876" i="1"/>
  <c r="P877" i="1"/>
  <c r="P880" i="1"/>
  <c r="P881" i="1"/>
  <c r="P882" i="1"/>
  <c r="Q859" i="1"/>
  <c r="Q860" i="1"/>
  <c r="Q861" i="1"/>
  <c r="Q862" i="1"/>
  <c r="Q863" i="1"/>
  <c r="Q864" i="1"/>
  <c r="Q865" i="1"/>
  <c r="Q866" i="1"/>
  <c r="Q867" i="1"/>
  <c r="Q868" i="1"/>
  <c r="Q869" i="1"/>
  <c r="Q870" i="1"/>
  <c r="Q871" i="1"/>
  <c r="Q872" i="1"/>
  <c r="Q873" i="1"/>
  <c r="Q874" i="1"/>
  <c r="Q875" i="1"/>
  <c r="Q876" i="1"/>
  <c r="Q877" i="1"/>
  <c r="Q880" i="1"/>
  <c r="Q881" i="1"/>
  <c r="Q882" i="1"/>
  <c r="R859" i="1"/>
  <c r="R860" i="1"/>
  <c r="R861" i="1"/>
  <c r="R862" i="1"/>
  <c r="R863" i="1"/>
  <c r="R864" i="1"/>
  <c r="R865" i="1"/>
  <c r="R866" i="1"/>
  <c r="R867" i="1"/>
  <c r="R868" i="1"/>
  <c r="R869" i="1"/>
  <c r="R870" i="1"/>
  <c r="R871" i="1"/>
  <c r="R872" i="1"/>
  <c r="R873" i="1"/>
  <c r="R874" i="1"/>
  <c r="R875" i="1"/>
  <c r="R876" i="1"/>
  <c r="R877" i="1"/>
  <c r="R880" i="1"/>
  <c r="R881" i="1"/>
  <c r="R882" i="1"/>
  <c r="X880" i="1"/>
  <c r="X881" i="1"/>
  <c r="X882" i="1"/>
  <c r="P28" i="1"/>
  <c r="Q28" i="1"/>
  <c r="R28" i="1"/>
  <c r="P858" i="1"/>
  <c r="Q858" i="1"/>
  <c r="R858" i="1"/>
  <c r="P857" i="1"/>
  <c r="Q857" i="1"/>
  <c r="R857" i="1"/>
  <c r="P856" i="1"/>
  <c r="Q856" i="1"/>
  <c r="R856" i="1"/>
  <c r="P855" i="1"/>
  <c r="Q855" i="1"/>
  <c r="R855" i="1"/>
  <c r="P854" i="1"/>
  <c r="Q854" i="1"/>
  <c r="R854" i="1"/>
  <c r="Z885" i="1" l="1"/>
  <c r="Z884" i="1"/>
  <c r="Z883" i="1"/>
  <c r="Z866" i="1"/>
  <c r="Z860" i="1"/>
  <c r="Z882" i="1"/>
  <c r="Z870" i="1"/>
  <c r="Y881" i="1"/>
  <c r="AA881" i="1" s="1"/>
  <c r="Z864" i="1"/>
  <c r="Z862" i="1"/>
  <c r="Z875" i="1"/>
  <c r="Z859" i="1"/>
  <c r="Z874" i="1"/>
  <c r="Y882" i="1"/>
  <c r="AA882" i="1" s="1"/>
  <c r="Y880" i="1"/>
  <c r="AA880" i="1" s="1"/>
  <c r="Z873" i="1"/>
  <c r="Z865" i="1"/>
  <c r="Z863" i="1"/>
  <c r="Z877" i="1"/>
  <c r="Z869" i="1"/>
  <c r="Z861" i="1"/>
  <c r="Z872" i="1"/>
  <c r="Z868" i="1"/>
  <c r="Z867" i="1"/>
  <c r="Z876" i="1"/>
  <c r="Z879" i="1"/>
  <c r="Z881" i="1"/>
  <c r="Z871" i="1"/>
  <c r="Z857" i="1"/>
  <c r="Z880" i="1"/>
  <c r="Y879" i="1"/>
  <c r="AA879" i="1" s="1"/>
  <c r="Y878" i="1"/>
  <c r="AA878" i="1" s="1"/>
  <c r="Y877" i="1"/>
  <c r="AA877" i="1" s="1"/>
  <c r="Y873" i="1"/>
  <c r="AA873" i="1" s="1"/>
  <c r="Y876" i="1"/>
  <c r="AA876" i="1" s="1"/>
  <c r="Y869" i="1"/>
  <c r="AA869" i="1" s="1"/>
  <c r="Y871" i="1"/>
  <c r="AA871" i="1" s="1"/>
  <c r="Y875" i="1"/>
  <c r="AA875" i="1" s="1"/>
  <c r="Y867" i="1"/>
  <c r="AA867" i="1" s="1"/>
  <c r="Y868" i="1"/>
  <c r="AA868" i="1" s="1"/>
  <c r="Y874" i="1"/>
  <c r="AA874" i="1" s="1"/>
  <c r="Y870" i="1"/>
  <c r="AA870" i="1" s="1"/>
  <c r="Y866" i="1"/>
  <c r="AA866" i="1" s="1"/>
  <c r="Y865" i="1"/>
  <c r="AA865" i="1" s="1"/>
  <c r="Y864" i="1"/>
  <c r="AA864" i="1" s="1"/>
  <c r="Y862" i="1"/>
  <c r="AA862" i="1" s="1"/>
  <c r="Y863" i="1"/>
  <c r="AA863" i="1" s="1"/>
  <c r="Y861" i="1"/>
  <c r="AA861" i="1" s="1"/>
  <c r="Y860" i="1"/>
  <c r="AA860" i="1" s="1"/>
  <c r="Y859" i="1"/>
  <c r="AA859" i="1" s="1"/>
  <c r="Y858" i="1"/>
  <c r="AA858" i="1" s="1"/>
  <c r="Y857" i="1"/>
  <c r="AA857" i="1" s="1"/>
  <c r="Y28" i="1"/>
  <c r="AA28" i="1" s="1"/>
  <c r="Y856" i="1"/>
  <c r="AA856" i="1" s="1"/>
  <c r="Y855" i="1"/>
  <c r="AA855" i="1" s="1"/>
  <c r="Y854" i="1"/>
  <c r="AA854" i="1" s="1"/>
  <c r="Y872" i="1"/>
  <c r="AA872" i="1" s="1"/>
  <c r="Z878" i="1"/>
  <c r="Z854" i="1"/>
  <c r="Z855" i="1"/>
  <c r="Z28" i="1"/>
  <c r="Z858" i="1"/>
  <c r="Z856" i="1"/>
  <c r="W853" i="1" l="1"/>
  <c r="X853" i="1" s="1"/>
  <c r="T853" i="1"/>
  <c r="U853" i="1" s="1"/>
  <c r="W852" i="1"/>
  <c r="X852" i="1" s="1"/>
  <c r="T852" i="1"/>
  <c r="U852" i="1" s="1"/>
  <c r="W851" i="1"/>
  <c r="X851" i="1" s="1"/>
  <c r="T851" i="1"/>
  <c r="U851" i="1" s="1"/>
  <c r="W850" i="1"/>
  <c r="X850" i="1" s="1"/>
  <c r="T850" i="1"/>
  <c r="U850" i="1" s="1"/>
  <c r="W849" i="1"/>
  <c r="X849" i="1" s="1"/>
  <c r="T849" i="1"/>
  <c r="U849" i="1" s="1"/>
  <c r="W848" i="1"/>
  <c r="X848" i="1" s="1"/>
  <c r="T848" i="1"/>
  <c r="U848" i="1" s="1"/>
  <c r="W847" i="1"/>
  <c r="X847" i="1" s="1"/>
  <c r="T847" i="1"/>
  <c r="U847" i="1" s="1"/>
  <c r="W846" i="1"/>
  <c r="X846" i="1" s="1"/>
  <c r="T846" i="1"/>
  <c r="U846" i="1" s="1"/>
  <c r="W845" i="1"/>
  <c r="X845" i="1" s="1"/>
  <c r="T845" i="1"/>
  <c r="U845" i="1" s="1"/>
  <c r="W844" i="1"/>
  <c r="X844" i="1" s="1"/>
  <c r="T844" i="1"/>
  <c r="U844" i="1" s="1"/>
  <c r="W843" i="1"/>
  <c r="X843" i="1" s="1"/>
  <c r="T843" i="1"/>
  <c r="U843" i="1" s="1"/>
  <c r="W842" i="1"/>
  <c r="X842" i="1" s="1"/>
  <c r="T842" i="1"/>
  <c r="U842" i="1" s="1"/>
  <c r="W841" i="1"/>
  <c r="X841" i="1" s="1"/>
  <c r="T841" i="1"/>
  <c r="U841" i="1" s="1"/>
  <c r="W840" i="1"/>
  <c r="X840" i="1" s="1"/>
  <c r="T840" i="1"/>
  <c r="U840" i="1" s="1"/>
  <c r="W839" i="1"/>
  <c r="X839" i="1" s="1"/>
  <c r="T839" i="1"/>
  <c r="U839" i="1" s="1"/>
  <c r="W838" i="1"/>
  <c r="X838" i="1" s="1"/>
  <c r="T838" i="1"/>
  <c r="U838" i="1" s="1"/>
  <c r="W837" i="1"/>
  <c r="X837" i="1" s="1"/>
  <c r="T837" i="1"/>
  <c r="U837" i="1" s="1"/>
  <c r="W836" i="1"/>
  <c r="X836" i="1" s="1"/>
  <c r="T836" i="1"/>
  <c r="U836" i="1" s="1"/>
  <c r="W835" i="1"/>
  <c r="X835" i="1" s="1"/>
  <c r="T835" i="1"/>
  <c r="U835" i="1" s="1"/>
  <c r="W834" i="1"/>
  <c r="X834" i="1" s="1"/>
  <c r="T834" i="1"/>
  <c r="U834" i="1" s="1"/>
  <c r="W833" i="1"/>
  <c r="X833" i="1" s="1"/>
  <c r="T833" i="1"/>
  <c r="U833" i="1" s="1"/>
  <c r="W832" i="1"/>
  <c r="X832" i="1" s="1"/>
  <c r="T832" i="1"/>
  <c r="U832" i="1" s="1"/>
  <c r="W831" i="1"/>
  <c r="X831" i="1" s="1"/>
  <c r="T831" i="1"/>
  <c r="U831" i="1" s="1"/>
  <c r="W830" i="1"/>
  <c r="X830" i="1" s="1"/>
  <c r="T830" i="1"/>
  <c r="U830" i="1" s="1"/>
  <c r="W829" i="1"/>
  <c r="X829" i="1" s="1"/>
  <c r="T829" i="1"/>
  <c r="U829" i="1" s="1"/>
  <c r="P853" i="1"/>
  <c r="Q853" i="1"/>
  <c r="R853" i="1"/>
  <c r="P852" i="1"/>
  <c r="Q852" i="1"/>
  <c r="R852" i="1"/>
  <c r="P851" i="1"/>
  <c r="Q851" i="1"/>
  <c r="R851" i="1"/>
  <c r="P850" i="1"/>
  <c r="Q850" i="1"/>
  <c r="R850" i="1"/>
  <c r="P849" i="1"/>
  <c r="Q849" i="1"/>
  <c r="R849" i="1"/>
  <c r="P848" i="1"/>
  <c r="Q848" i="1"/>
  <c r="R848" i="1"/>
  <c r="P847" i="1"/>
  <c r="Q847" i="1"/>
  <c r="R847" i="1"/>
  <c r="P846" i="1"/>
  <c r="Q846" i="1"/>
  <c r="R846" i="1"/>
  <c r="P845" i="1"/>
  <c r="Q845" i="1"/>
  <c r="R845" i="1"/>
  <c r="P844" i="1"/>
  <c r="Q844" i="1"/>
  <c r="R844" i="1"/>
  <c r="P843" i="1"/>
  <c r="Q843" i="1"/>
  <c r="R843" i="1"/>
  <c r="P842" i="1"/>
  <c r="Q842" i="1"/>
  <c r="R842" i="1"/>
  <c r="P841" i="1"/>
  <c r="Q841" i="1"/>
  <c r="R841" i="1"/>
  <c r="P840" i="1"/>
  <c r="Q840" i="1"/>
  <c r="R840" i="1"/>
  <c r="P839" i="1"/>
  <c r="Q839" i="1"/>
  <c r="R839" i="1"/>
  <c r="P838" i="1"/>
  <c r="Q838" i="1"/>
  <c r="R838" i="1"/>
  <c r="P837" i="1"/>
  <c r="Q837" i="1"/>
  <c r="R837" i="1"/>
  <c r="P836" i="1"/>
  <c r="Q836" i="1"/>
  <c r="R836" i="1"/>
  <c r="P835" i="1"/>
  <c r="Q835" i="1"/>
  <c r="R835" i="1"/>
  <c r="P834" i="1"/>
  <c r="Q834" i="1"/>
  <c r="R834" i="1"/>
  <c r="P833" i="1"/>
  <c r="Q833" i="1"/>
  <c r="R833" i="1"/>
  <c r="P832" i="1"/>
  <c r="Q832" i="1"/>
  <c r="R832" i="1"/>
  <c r="P831" i="1"/>
  <c r="Q831" i="1"/>
  <c r="R831" i="1"/>
  <c r="P830" i="1"/>
  <c r="Q830" i="1"/>
  <c r="R830" i="1"/>
  <c r="L286" i="1"/>
  <c r="L295" i="1"/>
  <c r="L294" i="1"/>
  <c r="L279" i="1"/>
  <c r="L277" i="1"/>
  <c r="L275" i="1"/>
  <c r="L274" i="1"/>
  <c r="L272" i="1"/>
  <c r="L267" i="1"/>
  <c r="W828" i="1"/>
  <c r="X828" i="1" s="1"/>
  <c r="T828" i="1"/>
  <c r="U828" i="1" s="1"/>
  <c r="W827" i="1"/>
  <c r="X827" i="1" s="1"/>
  <c r="T827" i="1"/>
  <c r="U827" i="1" s="1"/>
  <c r="W826" i="1"/>
  <c r="X826" i="1" s="1"/>
  <c r="T826" i="1"/>
  <c r="U826" i="1" s="1"/>
  <c r="W825" i="1"/>
  <c r="X825" i="1" s="1"/>
  <c r="T825" i="1"/>
  <c r="U825" i="1" s="1"/>
  <c r="W824" i="1"/>
  <c r="X824" i="1" s="1"/>
  <c r="T824" i="1"/>
  <c r="U824" i="1" s="1"/>
  <c r="W823" i="1"/>
  <c r="X823" i="1" s="1"/>
  <c r="T823" i="1"/>
  <c r="U823" i="1" s="1"/>
  <c r="W822" i="1"/>
  <c r="X822" i="1" s="1"/>
  <c r="T822" i="1"/>
  <c r="U822" i="1" s="1"/>
  <c r="W821" i="1"/>
  <c r="X821" i="1" s="1"/>
  <c r="T821" i="1"/>
  <c r="U821" i="1" s="1"/>
  <c r="W820" i="1"/>
  <c r="X820" i="1" s="1"/>
  <c r="T820" i="1"/>
  <c r="U820" i="1" s="1"/>
  <c r="W819" i="1"/>
  <c r="X819" i="1" s="1"/>
  <c r="T819" i="1"/>
  <c r="U819" i="1" s="1"/>
  <c r="W818" i="1"/>
  <c r="X818" i="1" s="1"/>
  <c r="T818" i="1"/>
  <c r="U818" i="1" s="1"/>
  <c r="P829" i="1"/>
  <c r="Q829" i="1"/>
  <c r="R829" i="1"/>
  <c r="P828" i="1"/>
  <c r="Q828" i="1"/>
  <c r="R828" i="1"/>
  <c r="P827" i="1"/>
  <c r="Q827" i="1"/>
  <c r="R827" i="1"/>
  <c r="P826" i="1"/>
  <c r="Q826" i="1"/>
  <c r="R826" i="1"/>
  <c r="P825" i="1"/>
  <c r="Q825" i="1"/>
  <c r="R825" i="1"/>
  <c r="P824" i="1"/>
  <c r="Q824" i="1"/>
  <c r="R824" i="1"/>
  <c r="P823" i="1"/>
  <c r="Q823" i="1"/>
  <c r="R823" i="1"/>
  <c r="P822" i="1"/>
  <c r="Q822" i="1"/>
  <c r="R822" i="1"/>
  <c r="P821" i="1"/>
  <c r="Q821" i="1"/>
  <c r="R821" i="1"/>
  <c r="P820" i="1"/>
  <c r="Q820" i="1"/>
  <c r="R820" i="1"/>
  <c r="P819" i="1"/>
  <c r="Q819" i="1"/>
  <c r="R819" i="1"/>
  <c r="P818" i="1"/>
  <c r="Q818" i="1"/>
  <c r="R818" i="1"/>
  <c r="Y831" i="1" l="1"/>
  <c r="AA831" i="1" s="1"/>
  <c r="Y847" i="1"/>
  <c r="AA847" i="1" s="1"/>
  <c r="Z852" i="1"/>
  <c r="Z853" i="1"/>
  <c r="Z842" i="1"/>
  <c r="Z840" i="1"/>
  <c r="Y850" i="1"/>
  <c r="AA850" i="1" s="1"/>
  <c r="Y851" i="1"/>
  <c r="AA851" i="1" s="1"/>
  <c r="Y832" i="1"/>
  <c r="AA832" i="1" s="1"/>
  <c r="Y836" i="1"/>
  <c r="AA836" i="1" s="1"/>
  <c r="Z849" i="1"/>
  <c r="Z834" i="1"/>
  <c r="Z841" i="1"/>
  <c r="Z837" i="1"/>
  <c r="Y842" i="1"/>
  <c r="AA842" i="1" s="1"/>
  <c r="Y846" i="1"/>
  <c r="AA846" i="1" s="1"/>
  <c r="Y835" i="1"/>
  <c r="AA835" i="1" s="1"/>
  <c r="Y843" i="1"/>
  <c r="AA843" i="1" s="1"/>
  <c r="Z848" i="1"/>
  <c r="Z850" i="1"/>
  <c r="Y840" i="1"/>
  <c r="AA840" i="1" s="1"/>
  <c r="Z836" i="1"/>
  <c r="Z846" i="1"/>
  <c r="Y833" i="1"/>
  <c r="AA833" i="1" s="1"/>
  <c r="Y848" i="1"/>
  <c r="AA848" i="1" s="1"/>
  <c r="Z845" i="1"/>
  <c r="Z835" i="1"/>
  <c r="Y830" i="1"/>
  <c r="AA830" i="1" s="1"/>
  <c r="Y841" i="1"/>
  <c r="AA841" i="1" s="1"/>
  <c r="Y845" i="1"/>
  <c r="AA845" i="1" s="1"/>
  <c r="Z831" i="1"/>
  <c r="Y834" i="1"/>
  <c r="AA834" i="1" s="1"/>
  <c r="Y838" i="1"/>
  <c r="AA838" i="1" s="1"/>
  <c r="Y849" i="1"/>
  <c r="AA849" i="1" s="1"/>
  <c r="Y853" i="1"/>
  <c r="AA853" i="1" s="1"/>
  <c r="Y839" i="1"/>
  <c r="AA839" i="1" s="1"/>
  <c r="Y844" i="1"/>
  <c r="AA844" i="1" s="1"/>
  <c r="Y837" i="1"/>
  <c r="AA837" i="1" s="1"/>
  <c r="Y852" i="1"/>
  <c r="AA852" i="1" s="1"/>
  <c r="Z830" i="1"/>
  <c r="Z847" i="1"/>
  <c r="Z833" i="1"/>
  <c r="Z843" i="1"/>
  <c r="Z839" i="1"/>
  <c r="Z832" i="1"/>
  <c r="Z844" i="1"/>
  <c r="Z838" i="1"/>
  <c r="Z851" i="1"/>
  <c r="Y829" i="1"/>
  <c r="AA829" i="1" s="1"/>
  <c r="Z829" i="1"/>
  <c r="Z818" i="1"/>
  <c r="Z820" i="1"/>
  <c r="Z824" i="1"/>
  <c r="Z826" i="1"/>
  <c r="Z822" i="1"/>
  <c r="Z825" i="1"/>
  <c r="Z828" i="1"/>
  <c r="Z823" i="1"/>
  <c r="Z821" i="1"/>
  <c r="Z819" i="1"/>
  <c r="Z827" i="1"/>
  <c r="Y827" i="1"/>
  <c r="AA827" i="1" s="1"/>
  <c r="Y826" i="1"/>
  <c r="AA826" i="1" s="1"/>
  <c r="Y825" i="1"/>
  <c r="AA825" i="1" s="1"/>
  <c r="Y823" i="1"/>
  <c r="AA823" i="1" s="1"/>
  <c r="Y822" i="1"/>
  <c r="AA822" i="1" s="1"/>
  <c r="Y821" i="1"/>
  <c r="AA821" i="1" s="1"/>
  <c r="Y820" i="1"/>
  <c r="AA820" i="1" s="1"/>
  <c r="Y819" i="1"/>
  <c r="AA819" i="1" s="1"/>
  <c r="Y818" i="1"/>
  <c r="AA818" i="1" s="1"/>
  <c r="Y824" i="1"/>
  <c r="AA824" i="1" s="1"/>
  <c r="Y828" i="1"/>
  <c r="AA828" i="1" s="1"/>
  <c r="W817" i="1" l="1"/>
  <c r="T817" i="1"/>
  <c r="L624" i="1"/>
  <c r="L198" i="1"/>
  <c r="P817" i="1" l="1"/>
  <c r="Q817" i="1"/>
  <c r="R817" i="1"/>
  <c r="U817" i="1"/>
  <c r="X817" i="1"/>
  <c r="W578" i="1"/>
  <c r="X578" i="1" s="1"/>
  <c r="T578" i="1"/>
  <c r="U578" i="1" s="1"/>
  <c r="P578" i="1"/>
  <c r="Q578" i="1"/>
  <c r="R578" i="1"/>
  <c r="W816" i="1"/>
  <c r="X816" i="1" s="1"/>
  <c r="W815" i="1"/>
  <c r="X815" i="1" s="1"/>
  <c r="W27" i="1"/>
  <c r="X27" i="1" s="1"/>
  <c r="W814" i="1"/>
  <c r="X814" i="1" s="1"/>
  <c r="W813" i="1"/>
  <c r="X813" i="1" s="1"/>
  <c r="W26" i="1"/>
  <c r="X26" i="1" s="1"/>
  <c r="W812" i="1"/>
  <c r="X812" i="1" s="1"/>
  <c r="W811" i="1"/>
  <c r="X811" i="1" s="1"/>
  <c r="W25" i="1"/>
  <c r="X25" i="1" s="1"/>
  <c r="W810" i="1"/>
  <c r="X810" i="1" s="1"/>
  <c r="W809" i="1"/>
  <c r="X809" i="1" s="1"/>
  <c r="W24" i="1"/>
  <c r="X24" i="1" s="1"/>
  <c r="T816" i="1"/>
  <c r="U816" i="1" s="1"/>
  <c r="T815" i="1"/>
  <c r="U815" i="1" s="1"/>
  <c r="T27" i="1"/>
  <c r="U27" i="1" s="1"/>
  <c r="T814" i="1"/>
  <c r="U814" i="1" s="1"/>
  <c r="T813" i="1"/>
  <c r="U813" i="1" s="1"/>
  <c r="T26" i="1"/>
  <c r="U26" i="1" s="1"/>
  <c r="T812" i="1"/>
  <c r="U812" i="1" s="1"/>
  <c r="T811" i="1"/>
  <c r="U811" i="1" s="1"/>
  <c r="T25" i="1"/>
  <c r="U25" i="1" s="1"/>
  <c r="T810" i="1"/>
  <c r="U810" i="1" s="1"/>
  <c r="T809" i="1"/>
  <c r="U809" i="1" s="1"/>
  <c r="T24" i="1"/>
  <c r="U24" i="1" s="1"/>
  <c r="P816" i="1"/>
  <c r="Q816" i="1"/>
  <c r="R816" i="1"/>
  <c r="P815" i="1"/>
  <c r="Q815" i="1"/>
  <c r="R815" i="1"/>
  <c r="P27" i="1"/>
  <c r="Q27" i="1"/>
  <c r="R27" i="1"/>
  <c r="P814" i="1"/>
  <c r="Q814" i="1"/>
  <c r="R814" i="1"/>
  <c r="P813" i="1"/>
  <c r="Q813" i="1"/>
  <c r="R813" i="1"/>
  <c r="P26" i="1"/>
  <c r="Q26" i="1"/>
  <c r="R26" i="1"/>
  <c r="P812" i="1"/>
  <c r="Q812" i="1"/>
  <c r="R812" i="1"/>
  <c r="P811" i="1"/>
  <c r="Q811" i="1"/>
  <c r="R811" i="1"/>
  <c r="P25" i="1"/>
  <c r="Q25" i="1"/>
  <c r="R25" i="1"/>
  <c r="P810" i="1"/>
  <c r="Q810" i="1"/>
  <c r="R810" i="1"/>
  <c r="P809" i="1"/>
  <c r="Q809" i="1"/>
  <c r="R809" i="1"/>
  <c r="P24" i="1"/>
  <c r="Q24" i="1"/>
  <c r="R24" i="1"/>
  <c r="W808" i="1"/>
  <c r="T808" i="1"/>
  <c r="Y817" i="1" l="1"/>
  <c r="AA817" i="1" s="1"/>
  <c r="Z578" i="1"/>
  <c r="Z817" i="1"/>
  <c r="Y578" i="1"/>
  <c r="AA578" i="1" s="1"/>
  <c r="Y814" i="1"/>
  <c r="AA814" i="1" s="1"/>
  <c r="Y811" i="1"/>
  <c r="AA811" i="1" s="1"/>
  <c r="Z809" i="1"/>
  <c r="Z25" i="1"/>
  <c r="Y24" i="1"/>
  <c r="AA24" i="1" s="1"/>
  <c r="Y809" i="1"/>
  <c r="AA809" i="1" s="1"/>
  <c r="Y810" i="1"/>
  <c r="AA810" i="1" s="1"/>
  <c r="Z811" i="1"/>
  <c r="Z26" i="1"/>
  <c r="Z813" i="1"/>
  <c r="Z27" i="1"/>
  <c r="Z810" i="1"/>
  <c r="Y812" i="1"/>
  <c r="AA812" i="1" s="1"/>
  <c r="Y27" i="1"/>
  <c r="AA27" i="1" s="1"/>
  <c r="Y26" i="1"/>
  <c r="AA26" i="1" s="1"/>
  <c r="Y815" i="1"/>
  <c r="AA815" i="1" s="1"/>
  <c r="Y25" i="1"/>
  <c r="AA25" i="1" s="1"/>
  <c r="Y813" i="1"/>
  <c r="AA813" i="1" s="1"/>
  <c r="Y816" i="1"/>
  <c r="AA816" i="1" s="1"/>
  <c r="Z812" i="1"/>
  <c r="Z814" i="1"/>
  <c r="Z815" i="1"/>
  <c r="Z816" i="1"/>
  <c r="Z24" i="1"/>
  <c r="P808" i="1"/>
  <c r="Q808" i="1"/>
  <c r="R808" i="1"/>
  <c r="U808" i="1"/>
  <c r="X808" i="1"/>
  <c r="W807" i="1"/>
  <c r="X807" i="1" s="1"/>
  <c r="T807" i="1"/>
  <c r="U807" i="1" s="1"/>
  <c r="W806" i="1"/>
  <c r="X806" i="1" s="1"/>
  <c r="T806" i="1"/>
  <c r="U806" i="1" s="1"/>
  <c r="W805" i="1"/>
  <c r="X805" i="1" s="1"/>
  <c r="T805" i="1"/>
  <c r="U805" i="1" s="1"/>
  <c r="W804" i="1"/>
  <c r="X804" i="1" s="1"/>
  <c r="T804" i="1"/>
  <c r="U804" i="1" s="1"/>
  <c r="W803" i="1"/>
  <c r="X803" i="1" s="1"/>
  <c r="T803" i="1"/>
  <c r="U803" i="1" s="1"/>
  <c r="W802" i="1"/>
  <c r="X802" i="1" s="1"/>
  <c r="T802" i="1"/>
  <c r="U802" i="1" s="1"/>
  <c r="W801" i="1"/>
  <c r="X801" i="1" s="1"/>
  <c r="T801" i="1"/>
  <c r="U801" i="1" s="1"/>
  <c r="W800" i="1"/>
  <c r="X800" i="1" s="1"/>
  <c r="T800" i="1"/>
  <c r="U800" i="1" s="1"/>
  <c r="W799" i="1"/>
  <c r="X799" i="1" s="1"/>
  <c r="T799" i="1"/>
  <c r="U799" i="1" s="1"/>
  <c r="P807" i="1"/>
  <c r="Q807" i="1"/>
  <c r="R807" i="1"/>
  <c r="P806" i="1"/>
  <c r="Q806" i="1"/>
  <c r="R806" i="1"/>
  <c r="P805" i="1"/>
  <c r="Q805" i="1"/>
  <c r="R805" i="1"/>
  <c r="P804" i="1"/>
  <c r="Q804" i="1"/>
  <c r="R804" i="1"/>
  <c r="P803" i="1"/>
  <c r="Q803" i="1"/>
  <c r="R803" i="1"/>
  <c r="P802" i="1"/>
  <c r="Q802" i="1"/>
  <c r="R802" i="1"/>
  <c r="P801" i="1"/>
  <c r="Q801" i="1"/>
  <c r="R801" i="1"/>
  <c r="P800" i="1"/>
  <c r="Q800" i="1"/>
  <c r="R800" i="1"/>
  <c r="P799" i="1"/>
  <c r="Q799" i="1"/>
  <c r="R799" i="1"/>
  <c r="Z808" i="1" l="1"/>
  <c r="Y808" i="1"/>
  <c r="AA808" i="1" s="1"/>
  <c r="Y805" i="1"/>
  <c r="AA805" i="1" s="1"/>
  <c r="Y802" i="1"/>
  <c r="AA802" i="1" s="1"/>
  <c r="Z803" i="1"/>
  <c r="Y799" i="1"/>
  <c r="AA799" i="1" s="1"/>
  <c r="Z800" i="1"/>
  <c r="Y800" i="1"/>
  <c r="AA800" i="1" s="1"/>
  <c r="Y807" i="1"/>
  <c r="AA807" i="1" s="1"/>
  <c r="Z804" i="1"/>
  <c r="Z805" i="1"/>
  <c r="Z801" i="1"/>
  <c r="Y803" i="1"/>
  <c r="AA803" i="1" s="1"/>
  <c r="Y801" i="1"/>
  <c r="AA801" i="1" s="1"/>
  <c r="Z806" i="1"/>
  <c r="Y804" i="1"/>
  <c r="AA804" i="1" s="1"/>
  <c r="Y806" i="1"/>
  <c r="AA806" i="1" s="1"/>
  <c r="Z799" i="1"/>
  <c r="Z802" i="1"/>
  <c r="Z807" i="1"/>
  <c r="W789" i="1" l="1"/>
  <c r="X789" i="1" s="1"/>
  <c r="W790" i="1"/>
  <c r="X790" i="1" s="1"/>
  <c r="W791" i="1"/>
  <c r="X791" i="1" s="1"/>
  <c r="W792" i="1"/>
  <c r="X792" i="1" s="1"/>
  <c r="W793" i="1"/>
  <c r="X793" i="1" s="1"/>
  <c r="W794" i="1"/>
  <c r="X794" i="1" s="1"/>
  <c r="W795" i="1"/>
  <c r="X795" i="1" s="1"/>
  <c r="W796" i="1"/>
  <c r="X796" i="1" s="1"/>
  <c r="W797" i="1"/>
  <c r="X797" i="1" s="1"/>
  <c r="W798" i="1"/>
  <c r="X798" i="1" s="1"/>
  <c r="T798" i="1"/>
  <c r="U798" i="1" s="1"/>
  <c r="T797" i="1"/>
  <c r="U797" i="1" s="1"/>
  <c r="T796" i="1"/>
  <c r="U796" i="1" s="1"/>
  <c r="T795" i="1"/>
  <c r="U795" i="1" s="1"/>
  <c r="T794" i="1"/>
  <c r="U794" i="1" s="1"/>
  <c r="T793" i="1"/>
  <c r="U793" i="1" s="1"/>
  <c r="T792" i="1"/>
  <c r="U792" i="1" s="1"/>
  <c r="T791" i="1"/>
  <c r="U791" i="1" s="1"/>
  <c r="T790" i="1"/>
  <c r="U790" i="1" s="1"/>
  <c r="T789" i="1"/>
  <c r="U789" i="1" s="1"/>
  <c r="W788" i="1"/>
  <c r="X788" i="1" s="1"/>
  <c r="T788" i="1"/>
  <c r="U788" i="1" s="1"/>
  <c r="W787" i="1"/>
  <c r="T787" i="1"/>
  <c r="U787" i="1" s="1"/>
  <c r="P798" i="1"/>
  <c r="Q798" i="1"/>
  <c r="R798" i="1"/>
  <c r="P797" i="1"/>
  <c r="Q797" i="1"/>
  <c r="R797" i="1"/>
  <c r="P796" i="1"/>
  <c r="Q796" i="1"/>
  <c r="R796" i="1"/>
  <c r="P795" i="1"/>
  <c r="Q795" i="1"/>
  <c r="R795" i="1"/>
  <c r="P794" i="1"/>
  <c r="Q794" i="1"/>
  <c r="R794" i="1"/>
  <c r="P793" i="1"/>
  <c r="Q793" i="1"/>
  <c r="R793" i="1"/>
  <c r="P792" i="1"/>
  <c r="Q792" i="1"/>
  <c r="R792" i="1"/>
  <c r="P791" i="1"/>
  <c r="Q791" i="1"/>
  <c r="R791" i="1"/>
  <c r="P790" i="1"/>
  <c r="Q790" i="1"/>
  <c r="R790" i="1"/>
  <c r="P789" i="1"/>
  <c r="Q789" i="1"/>
  <c r="R789" i="1"/>
  <c r="P788" i="1"/>
  <c r="Q788" i="1"/>
  <c r="R788" i="1"/>
  <c r="Y796" i="1" l="1"/>
  <c r="AA796" i="1" s="1"/>
  <c r="Y797" i="1"/>
  <c r="AA797" i="1" s="1"/>
  <c r="Y798" i="1"/>
  <c r="AA798" i="1" s="1"/>
  <c r="Y793" i="1"/>
  <c r="AA793" i="1" s="1"/>
  <c r="Y795" i="1"/>
  <c r="AA795" i="1" s="1"/>
  <c r="Y792" i="1"/>
  <c r="AA792" i="1" s="1"/>
  <c r="Y791" i="1"/>
  <c r="AA791" i="1" s="1"/>
  <c r="Y790" i="1"/>
  <c r="AA790" i="1" s="1"/>
  <c r="Y789" i="1"/>
  <c r="AA789" i="1" s="1"/>
  <c r="Y788" i="1"/>
  <c r="AA788" i="1" s="1"/>
  <c r="Z791" i="1"/>
  <c r="Z793" i="1"/>
  <c r="Y794" i="1"/>
  <c r="AA794" i="1" s="1"/>
  <c r="Z798" i="1"/>
  <c r="Z797" i="1"/>
  <c r="Z796" i="1"/>
  <c r="Z795" i="1"/>
  <c r="Z794" i="1"/>
  <c r="Z792" i="1"/>
  <c r="Z790" i="1"/>
  <c r="Z789" i="1"/>
  <c r="Z788" i="1"/>
  <c r="P787" i="1" l="1"/>
  <c r="Q787" i="1"/>
  <c r="R787" i="1"/>
  <c r="X787" i="1"/>
  <c r="W786" i="1"/>
  <c r="X786" i="1" s="1"/>
  <c r="T786" i="1"/>
  <c r="U786" i="1" s="1"/>
  <c r="W785" i="1"/>
  <c r="X785" i="1" s="1"/>
  <c r="T785" i="1"/>
  <c r="U785" i="1" s="1"/>
  <c r="P786" i="1"/>
  <c r="Q786" i="1"/>
  <c r="R786" i="1"/>
  <c r="P785" i="1"/>
  <c r="Q785" i="1"/>
  <c r="R785" i="1"/>
  <c r="L783" i="1"/>
  <c r="L782" i="1"/>
  <c r="L781" i="1"/>
  <c r="L780" i="1"/>
  <c r="L779" i="1"/>
  <c r="L778" i="1"/>
  <c r="L777" i="1"/>
  <c r="L784" i="1"/>
  <c r="W784" i="1"/>
  <c r="T784" i="1"/>
  <c r="U784" i="1" s="1"/>
  <c r="W783" i="1"/>
  <c r="T783" i="1"/>
  <c r="U783" i="1" s="1"/>
  <c r="W782" i="1"/>
  <c r="T782" i="1"/>
  <c r="U782" i="1" s="1"/>
  <c r="W781" i="1"/>
  <c r="T781" i="1"/>
  <c r="U781" i="1" s="1"/>
  <c r="W780" i="1"/>
  <c r="T780" i="1"/>
  <c r="U780" i="1" s="1"/>
  <c r="W779" i="1"/>
  <c r="T779" i="1"/>
  <c r="U779" i="1" s="1"/>
  <c r="W778" i="1"/>
  <c r="T778" i="1"/>
  <c r="U778" i="1" s="1"/>
  <c r="W777" i="1"/>
  <c r="T777" i="1"/>
  <c r="U777" i="1" s="1"/>
  <c r="Y787" i="1" l="1"/>
  <c r="AA787" i="1" s="1"/>
  <c r="Z787" i="1"/>
  <c r="Z785" i="1"/>
  <c r="Z786" i="1"/>
  <c r="Y786" i="1"/>
  <c r="AA786" i="1" s="1"/>
  <c r="Y785" i="1"/>
  <c r="AA785" i="1" s="1"/>
  <c r="P784" i="1"/>
  <c r="Q784" i="1"/>
  <c r="R784" i="1"/>
  <c r="X784" i="1"/>
  <c r="Y784" i="1" s="1"/>
  <c r="AA784" i="1" s="1"/>
  <c r="P783" i="1"/>
  <c r="Q783" i="1"/>
  <c r="R783" i="1"/>
  <c r="X783" i="1"/>
  <c r="Y783" i="1" s="1"/>
  <c r="AA783" i="1" s="1"/>
  <c r="P782" i="1"/>
  <c r="Q782" i="1"/>
  <c r="R782" i="1"/>
  <c r="X782" i="1"/>
  <c r="Y782" i="1" s="1"/>
  <c r="AA782" i="1" s="1"/>
  <c r="P781" i="1"/>
  <c r="Q781" i="1"/>
  <c r="R781" i="1"/>
  <c r="X781" i="1"/>
  <c r="Y781" i="1" s="1"/>
  <c r="AA781" i="1" s="1"/>
  <c r="P780" i="1"/>
  <c r="Q780" i="1"/>
  <c r="R780" i="1"/>
  <c r="X780" i="1"/>
  <c r="Y780" i="1" s="1"/>
  <c r="AA780" i="1" s="1"/>
  <c r="P779" i="1"/>
  <c r="Q779" i="1"/>
  <c r="R779" i="1"/>
  <c r="X779" i="1"/>
  <c r="Y779" i="1" s="1"/>
  <c r="AA779" i="1" s="1"/>
  <c r="P778" i="1"/>
  <c r="Q778" i="1"/>
  <c r="R778" i="1"/>
  <c r="X778" i="1"/>
  <c r="Y778" i="1" s="1"/>
  <c r="AA778" i="1" s="1"/>
  <c r="P777" i="1"/>
  <c r="Q777" i="1"/>
  <c r="R777" i="1"/>
  <c r="X777" i="1"/>
  <c r="Y777" i="1" s="1"/>
  <c r="AA777" i="1" s="1"/>
  <c r="Z780" i="1" l="1"/>
  <c r="Z778" i="1"/>
  <c r="Z782" i="1"/>
  <c r="Z777" i="1"/>
  <c r="Z779" i="1"/>
  <c r="Z781" i="1"/>
  <c r="Z783" i="1"/>
  <c r="Z784" i="1"/>
  <c r="L197" i="1" l="1"/>
  <c r="L199" i="1"/>
  <c r="W23" i="1"/>
  <c r="T23" i="1"/>
  <c r="U23" i="1" s="1"/>
  <c r="W776" i="1"/>
  <c r="T776" i="1"/>
  <c r="U776" i="1" s="1"/>
  <c r="P23" i="1" l="1"/>
  <c r="Q23" i="1"/>
  <c r="R23" i="1"/>
  <c r="X23" i="1"/>
  <c r="Y23" i="1" s="1"/>
  <c r="AA23" i="1" s="1"/>
  <c r="Z23" i="1" l="1"/>
  <c r="L291" i="1" l="1"/>
  <c r="P776" i="1" l="1"/>
  <c r="Q776" i="1"/>
  <c r="R776" i="1"/>
  <c r="X776" i="1"/>
  <c r="Z776" i="1" l="1"/>
  <c r="Y776" i="1"/>
  <c r="AA776" i="1" s="1"/>
  <c r="L94" i="1" l="1"/>
  <c r="L93" i="1"/>
  <c r="L91" i="1"/>
  <c r="L90" i="1"/>
  <c r="L89" i="1"/>
  <c r="L88" i="1"/>
  <c r="L87" i="1"/>
  <c r="L86" i="1"/>
  <c r="L85" i="1"/>
  <c r="W775" i="1" l="1"/>
  <c r="X775" i="1" s="1"/>
  <c r="T775" i="1"/>
  <c r="U775" i="1" s="1"/>
  <c r="W774" i="1"/>
  <c r="X774" i="1" s="1"/>
  <c r="T774" i="1"/>
  <c r="U774" i="1" s="1"/>
  <c r="W773" i="1"/>
  <c r="X773" i="1" s="1"/>
  <c r="T773" i="1"/>
  <c r="U773" i="1" s="1"/>
  <c r="W772" i="1"/>
  <c r="X772" i="1" s="1"/>
  <c r="T772" i="1"/>
  <c r="U772" i="1" s="1"/>
  <c r="W771" i="1"/>
  <c r="X771" i="1" s="1"/>
  <c r="T771" i="1"/>
  <c r="U771" i="1" s="1"/>
  <c r="W770" i="1"/>
  <c r="X770" i="1" s="1"/>
  <c r="T770" i="1"/>
  <c r="U770" i="1" s="1"/>
  <c r="W769" i="1"/>
  <c r="X769" i="1" s="1"/>
  <c r="T769" i="1"/>
  <c r="U769" i="1" s="1"/>
  <c r="W768" i="1"/>
  <c r="X768" i="1" s="1"/>
  <c r="T768" i="1"/>
  <c r="U768" i="1" s="1"/>
  <c r="W767" i="1"/>
  <c r="X767" i="1" s="1"/>
  <c r="T767" i="1"/>
  <c r="U767" i="1" s="1"/>
  <c r="W766" i="1"/>
  <c r="X766" i="1" s="1"/>
  <c r="T766" i="1"/>
  <c r="U766" i="1" s="1"/>
  <c r="R766" i="1"/>
  <c r="Q766" i="1"/>
  <c r="P766" i="1"/>
  <c r="P775" i="1"/>
  <c r="Q775" i="1"/>
  <c r="R775" i="1"/>
  <c r="P774" i="1"/>
  <c r="Q774" i="1"/>
  <c r="R774" i="1"/>
  <c r="P773" i="1"/>
  <c r="Q773" i="1"/>
  <c r="R773" i="1"/>
  <c r="P772" i="1"/>
  <c r="Q772" i="1"/>
  <c r="R772" i="1"/>
  <c r="P771" i="1"/>
  <c r="Q771" i="1"/>
  <c r="R771" i="1"/>
  <c r="P770" i="1"/>
  <c r="Q770" i="1"/>
  <c r="R770" i="1"/>
  <c r="P769" i="1"/>
  <c r="Q769" i="1"/>
  <c r="R769" i="1"/>
  <c r="P768" i="1"/>
  <c r="Q768" i="1"/>
  <c r="R768" i="1"/>
  <c r="P767" i="1"/>
  <c r="Q767" i="1"/>
  <c r="R767" i="1"/>
  <c r="L256" i="1"/>
  <c r="W765" i="1"/>
  <c r="X765" i="1" s="1"/>
  <c r="T765" i="1"/>
  <c r="U765" i="1" s="1"/>
  <c r="P765" i="1"/>
  <c r="Q765" i="1"/>
  <c r="R765" i="1"/>
  <c r="W764" i="1"/>
  <c r="X764" i="1" s="1"/>
  <c r="T764" i="1"/>
  <c r="U764" i="1" s="1"/>
  <c r="R764" i="1"/>
  <c r="Q764" i="1"/>
  <c r="P764" i="1"/>
  <c r="W763" i="1"/>
  <c r="X763" i="1" s="1"/>
  <c r="T763" i="1"/>
  <c r="U763" i="1" s="1"/>
  <c r="R763" i="1"/>
  <c r="Q763" i="1"/>
  <c r="P763" i="1"/>
  <c r="W762" i="1"/>
  <c r="X762" i="1" s="1"/>
  <c r="T762" i="1"/>
  <c r="U762" i="1" s="1"/>
  <c r="R762" i="1"/>
  <c r="Q762" i="1"/>
  <c r="P762" i="1"/>
  <c r="L692" i="1"/>
  <c r="L691" i="1"/>
  <c r="W761" i="1"/>
  <c r="X761" i="1" s="1"/>
  <c r="T761" i="1"/>
  <c r="U761" i="1" s="1"/>
  <c r="R761" i="1"/>
  <c r="Q761" i="1"/>
  <c r="P761" i="1"/>
  <c r="P759" i="1"/>
  <c r="Q759" i="1"/>
  <c r="R759" i="1"/>
  <c r="T759" i="1"/>
  <c r="U759" i="1" s="1"/>
  <c r="W759" i="1"/>
  <c r="X759" i="1" s="1"/>
  <c r="P760" i="1"/>
  <c r="Q760" i="1"/>
  <c r="R760" i="1"/>
  <c r="T760" i="1"/>
  <c r="U760" i="1" s="1"/>
  <c r="W760" i="1"/>
  <c r="X760" i="1" s="1"/>
  <c r="W758" i="1"/>
  <c r="X758" i="1" s="1"/>
  <c r="T758" i="1"/>
  <c r="U758" i="1" s="1"/>
  <c r="R758" i="1"/>
  <c r="Q758" i="1"/>
  <c r="P758" i="1"/>
  <c r="W757" i="1"/>
  <c r="X757" i="1" s="1"/>
  <c r="T757" i="1"/>
  <c r="U757" i="1" s="1"/>
  <c r="R757" i="1"/>
  <c r="Q757" i="1"/>
  <c r="P757" i="1"/>
  <c r="L757" i="1"/>
  <c r="W756" i="1"/>
  <c r="X756" i="1" s="1"/>
  <c r="T756" i="1"/>
  <c r="U756" i="1" s="1"/>
  <c r="R756" i="1"/>
  <c r="Q756" i="1"/>
  <c r="P756" i="1"/>
  <c r="W755" i="1"/>
  <c r="X755" i="1" s="1"/>
  <c r="T755" i="1"/>
  <c r="U755" i="1" s="1"/>
  <c r="R755" i="1"/>
  <c r="Q755" i="1"/>
  <c r="P755" i="1"/>
  <c r="W754" i="1"/>
  <c r="X754" i="1" s="1"/>
  <c r="T754" i="1"/>
  <c r="U754" i="1" s="1"/>
  <c r="R754" i="1"/>
  <c r="Q754" i="1"/>
  <c r="P754" i="1"/>
  <c r="W753" i="1"/>
  <c r="X753" i="1" s="1"/>
  <c r="T753" i="1"/>
  <c r="U753" i="1" s="1"/>
  <c r="R753" i="1"/>
  <c r="Q753" i="1"/>
  <c r="P753" i="1"/>
  <c r="W752" i="1"/>
  <c r="X752" i="1" s="1"/>
  <c r="T752" i="1"/>
  <c r="U752" i="1" s="1"/>
  <c r="R752" i="1"/>
  <c r="Q752" i="1"/>
  <c r="P752" i="1"/>
  <c r="W751" i="1"/>
  <c r="X751" i="1" s="1"/>
  <c r="T751" i="1"/>
  <c r="U751" i="1" s="1"/>
  <c r="R751" i="1"/>
  <c r="Q751" i="1"/>
  <c r="P751" i="1"/>
  <c r="W750" i="1"/>
  <c r="X750" i="1" s="1"/>
  <c r="T750" i="1"/>
  <c r="U750" i="1" s="1"/>
  <c r="R750" i="1"/>
  <c r="Q750" i="1"/>
  <c r="P750" i="1"/>
  <c r="W749" i="1"/>
  <c r="X749" i="1" s="1"/>
  <c r="T749" i="1"/>
  <c r="U749" i="1" s="1"/>
  <c r="R749" i="1"/>
  <c r="Q749" i="1"/>
  <c r="P749" i="1"/>
  <c r="W748" i="1"/>
  <c r="X748" i="1" s="1"/>
  <c r="T748" i="1"/>
  <c r="U748" i="1" s="1"/>
  <c r="R748" i="1"/>
  <c r="Q748" i="1"/>
  <c r="P748" i="1"/>
  <c r="W747" i="1"/>
  <c r="X747" i="1" s="1"/>
  <c r="T747" i="1"/>
  <c r="U747" i="1" s="1"/>
  <c r="R747" i="1"/>
  <c r="Q747" i="1"/>
  <c r="P747" i="1"/>
  <c r="W746" i="1"/>
  <c r="X746" i="1" s="1"/>
  <c r="T746" i="1"/>
  <c r="U746" i="1" s="1"/>
  <c r="R746" i="1"/>
  <c r="Q746" i="1"/>
  <c r="P746" i="1"/>
  <c r="W745" i="1"/>
  <c r="X745" i="1" s="1"/>
  <c r="T745" i="1"/>
  <c r="U745" i="1" s="1"/>
  <c r="R745" i="1"/>
  <c r="Q745" i="1"/>
  <c r="P745" i="1"/>
  <c r="L745" i="1"/>
  <c r="W744" i="1"/>
  <c r="X744" i="1" s="1"/>
  <c r="T744" i="1"/>
  <c r="U744" i="1" s="1"/>
  <c r="R744" i="1"/>
  <c r="Q744" i="1"/>
  <c r="P744" i="1"/>
  <c r="W743" i="1"/>
  <c r="X743" i="1" s="1"/>
  <c r="T743" i="1"/>
  <c r="U743" i="1" s="1"/>
  <c r="R743" i="1"/>
  <c r="Q743" i="1"/>
  <c r="P743" i="1"/>
  <c r="W742" i="1"/>
  <c r="X742" i="1" s="1"/>
  <c r="T742" i="1"/>
  <c r="U742" i="1" s="1"/>
  <c r="R742" i="1"/>
  <c r="Q742" i="1"/>
  <c r="P742" i="1"/>
  <c r="W741" i="1"/>
  <c r="X741" i="1" s="1"/>
  <c r="T741" i="1"/>
  <c r="U741" i="1" s="1"/>
  <c r="R741" i="1"/>
  <c r="Q741" i="1"/>
  <c r="P741" i="1"/>
  <c r="W740" i="1"/>
  <c r="X740" i="1" s="1"/>
  <c r="T740" i="1"/>
  <c r="U740" i="1" s="1"/>
  <c r="R740" i="1"/>
  <c r="Q740" i="1"/>
  <c r="P740" i="1"/>
  <c r="W739" i="1"/>
  <c r="X739" i="1" s="1"/>
  <c r="T739" i="1"/>
  <c r="U739" i="1" s="1"/>
  <c r="R739" i="1"/>
  <c r="Q739" i="1"/>
  <c r="P739" i="1"/>
  <c r="W738" i="1"/>
  <c r="X738" i="1" s="1"/>
  <c r="T738" i="1"/>
  <c r="U738" i="1" s="1"/>
  <c r="R738" i="1"/>
  <c r="Q738" i="1"/>
  <c r="P738" i="1"/>
  <c r="L738" i="1"/>
  <c r="W737" i="1"/>
  <c r="X737" i="1" s="1"/>
  <c r="T737" i="1"/>
  <c r="U737" i="1" s="1"/>
  <c r="R737" i="1"/>
  <c r="Q737" i="1"/>
  <c r="P737" i="1"/>
  <c r="W736" i="1"/>
  <c r="X736" i="1" s="1"/>
  <c r="T736" i="1"/>
  <c r="U736" i="1" s="1"/>
  <c r="R736" i="1"/>
  <c r="Q736" i="1"/>
  <c r="P736" i="1"/>
  <c r="W735" i="1"/>
  <c r="X735" i="1" s="1"/>
  <c r="T735" i="1"/>
  <c r="U735" i="1" s="1"/>
  <c r="R735" i="1"/>
  <c r="Q735" i="1"/>
  <c r="P735" i="1"/>
  <c r="W734" i="1"/>
  <c r="X734" i="1" s="1"/>
  <c r="T734" i="1"/>
  <c r="U734" i="1" s="1"/>
  <c r="R734" i="1"/>
  <c r="Q734" i="1"/>
  <c r="P734" i="1"/>
  <c r="L734" i="1"/>
  <c r="W733" i="1"/>
  <c r="X733" i="1" s="1"/>
  <c r="T733" i="1"/>
  <c r="U733" i="1" s="1"/>
  <c r="R733" i="1"/>
  <c r="Q733" i="1"/>
  <c r="P733" i="1"/>
  <c r="W732" i="1"/>
  <c r="X732" i="1" s="1"/>
  <c r="T732" i="1"/>
  <c r="U732" i="1" s="1"/>
  <c r="R732" i="1"/>
  <c r="Q732" i="1"/>
  <c r="P732" i="1"/>
  <c r="L732" i="1"/>
  <c r="W731" i="1"/>
  <c r="X731" i="1" s="1"/>
  <c r="T731" i="1"/>
  <c r="U731" i="1" s="1"/>
  <c r="R731" i="1"/>
  <c r="Q731" i="1"/>
  <c r="P731" i="1"/>
  <c r="W730" i="1"/>
  <c r="X730" i="1" s="1"/>
  <c r="T730" i="1"/>
  <c r="U730" i="1" s="1"/>
  <c r="R730" i="1"/>
  <c r="Q730" i="1"/>
  <c r="P730" i="1"/>
  <c r="L573" i="1"/>
  <c r="L84" i="1"/>
  <c r="L83" i="1"/>
  <c r="L82" i="1"/>
  <c r="L81" i="1"/>
  <c r="L80" i="1"/>
  <c r="L79" i="1"/>
  <c r="L78" i="1"/>
  <c r="L77" i="1"/>
  <c r="L76" i="1"/>
  <c r="L75" i="1"/>
  <c r="L74" i="1"/>
  <c r="L72" i="1"/>
  <c r="L70" i="1"/>
  <c r="L69" i="1"/>
  <c r="L68" i="1"/>
  <c r="L67" i="1"/>
  <c r="L66" i="1"/>
  <c r="L65" i="1"/>
  <c r="L64" i="1"/>
  <c r="L63" i="1"/>
  <c r="L62" i="1"/>
  <c r="L61" i="1"/>
  <c r="L60" i="1"/>
  <c r="L59" i="1"/>
  <c r="L58" i="1"/>
  <c r="L57" i="1"/>
  <c r="L171" i="1"/>
  <c r="W729" i="1"/>
  <c r="X729" i="1" s="1"/>
  <c r="T729" i="1"/>
  <c r="U729" i="1" s="1"/>
  <c r="L650" i="1"/>
  <c r="L649" i="1"/>
  <c r="L628" i="1"/>
  <c r="L572" i="1"/>
  <c r="L571" i="1"/>
  <c r="L570" i="1"/>
  <c r="L564" i="1"/>
  <c r="L561" i="1"/>
  <c r="L560" i="1"/>
  <c r="L559" i="1"/>
  <c r="L556" i="1"/>
  <c r="L183" i="1"/>
  <c r="L182" i="1"/>
  <c r="L178" i="1"/>
  <c r="L175" i="1"/>
  <c r="L174" i="1"/>
  <c r="L169" i="1"/>
  <c r="L168" i="1"/>
  <c r="L167" i="1"/>
  <c r="L166" i="1"/>
  <c r="L164" i="1"/>
  <c r="L163" i="1"/>
  <c r="L162" i="1"/>
  <c r="L160" i="1"/>
  <c r="L159" i="1"/>
  <c r="L158" i="1"/>
  <c r="L157" i="1"/>
  <c r="L156" i="1"/>
  <c r="L155" i="1"/>
  <c r="L153" i="1"/>
  <c r="L151" i="1"/>
  <c r="L150" i="1"/>
  <c r="L147" i="1"/>
  <c r="L146" i="1"/>
  <c r="P729" i="1"/>
  <c r="Q729" i="1"/>
  <c r="R729" i="1"/>
  <c r="W728" i="1"/>
  <c r="X728" i="1" s="1"/>
  <c r="W727" i="1"/>
  <c r="X727" i="1" s="1"/>
  <c r="T728" i="1"/>
  <c r="U728" i="1" s="1"/>
  <c r="T727" i="1"/>
  <c r="U727" i="1" s="1"/>
  <c r="P728" i="1"/>
  <c r="Q728" i="1"/>
  <c r="R728" i="1"/>
  <c r="P727" i="1"/>
  <c r="Q727" i="1"/>
  <c r="R727" i="1"/>
  <c r="W726" i="1"/>
  <c r="X726" i="1" s="1"/>
  <c r="T726" i="1"/>
  <c r="U726" i="1" s="1"/>
  <c r="W725" i="1"/>
  <c r="X725" i="1" s="1"/>
  <c r="T725" i="1"/>
  <c r="U725" i="1" s="1"/>
  <c r="P726" i="1"/>
  <c r="Q726" i="1"/>
  <c r="R726" i="1"/>
  <c r="P725" i="1"/>
  <c r="Q725" i="1"/>
  <c r="R725" i="1"/>
  <c r="W724" i="1"/>
  <c r="X724" i="1" s="1"/>
  <c r="W723" i="1"/>
  <c r="X723" i="1" s="1"/>
  <c r="W722" i="1"/>
  <c r="X722" i="1" s="1"/>
  <c r="T724" i="1"/>
  <c r="U724" i="1" s="1"/>
  <c r="T723" i="1"/>
  <c r="U723" i="1" s="1"/>
  <c r="T722" i="1"/>
  <c r="U722" i="1" s="1"/>
  <c r="P724" i="1"/>
  <c r="Q724" i="1"/>
  <c r="R724" i="1"/>
  <c r="W721" i="1"/>
  <c r="X721" i="1" s="1"/>
  <c r="T721" i="1"/>
  <c r="U721" i="1" s="1"/>
  <c r="W720" i="1"/>
  <c r="X720" i="1" s="1"/>
  <c r="T720" i="1"/>
  <c r="U720" i="1" s="1"/>
  <c r="W719" i="1"/>
  <c r="X719" i="1" s="1"/>
  <c r="T719" i="1"/>
  <c r="U719" i="1" s="1"/>
  <c r="W718" i="1"/>
  <c r="X718" i="1" s="1"/>
  <c r="T718" i="1"/>
  <c r="U718" i="1" s="1"/>
  <c r="W717" i="1"/>
  <c r="X717" i="1" s="1"/>
  <c r="T717" i="1"/>
  <c r="U717" i="1" s="1"/>
  <c r="W716" i="1"/>
  <c r="X716" i="1" s="1"/>
  <c r="T716" i="1"/>
  <c r="U716" i="1" s="1"/>
  <c r="W715" i="1"/>
  <c r="X715" i="1" s="1"/>
  <c r="T715" i="1"/>
  <c r="U715" i="1" s="1"/>
  <c r="W714" i="1"/>
  <c r="X714" i="1" s="1"/>
  <c r="T714" i="1"/>
  <c r="U714" i="1" s="1"/>
  <c r="W713" i="1"/>
  <c r="X713" i="1" s="1"/>
  <c r="T713" i="1"/>
  <c r="U713" i="1" s="1"/>
  <c r="W712" i="1"/>
  <c r="X712" i="1" s="1"/>
  <c r="T712" i="1"/>
  <c r="U712" i="1" s="1"/>
  <c r="W711" i="1"/>
  <c r="X711" i="1" s="1"/>
  <c r="T711" i="1"/>
  <c r="U711" i="1" s="1"/>
  <c r="W710" i="1"/>
  <c r="X710" i="1" s="1"/>
  <c r="T710" i="1"/>
  <c r="U710" i="1" s="1"/>
  <c r="W709" i="1"/>
  <c r="X709" i="1" s="1"/>
  <c r="T709" i="1"/>
  <c r="U709" i="1" s="1"/>
  <c r="W708" i="1"/>
  <c r="X708" i="1" s="1"/>
  <c r="T708" i="1"/>
  <c r="U708" i="1" s="1"/>
  <c r="W707" i="1"/>
  <c r="X707" i="1" s="1"/>
  <c r="T707" i="1"/>
  <c r="U707" i="1" s="1"/>
  <c r="P723" i="1"/>
  <c r="Q723" i="1"/>
  <c r="R723" i="1"/>
  <c r="P722" i="1"/>
  <c r="Q722" i="1"/>
  <c r="R722" i="1"/>
  <c r="P721" i="1"/>
  <c r="Q721" i="1"/>
  <c r="R721" i="1"/>
  <c r="P720" i="1"/>
  <c r="Q720" i="1"/>
  <c r="R720" i="1"/>
  <c r="P719" i="1"/>
  <c r="Q719" i="1"/>
  <c r="R719" i="1"/>
  <c r="P718" i="1"/>
  <c r="Q718" i="1"/>
  <c r="R718" i="1"/>
  <c r="P717" i="1"/>
  <c r="Q717" i="1"/>
  <c r="R717" i="1"/>
  <c r="P716" i="1"/>
  <c r="Q716" i="1"/>
  <c r="R716" i="1"/>
  <c r="P715" i="1"/>
  <c r="Q715" i="1"/>
  <c r="R715" i="1"/>
  <c r="P714" i="1"/>
  <c r="Q714" i="1"/>
  <c r="R714" i="1"/>
  <c r="P713" i="1"/>
  <c r="Q713" i="1"/>
  <c r="R713" i="1"/>
  <c r="P712" i="1"/>
  <c r="Q712" i="1"/>
  <c r="R712" i="1"/>
  <c r="P711" i="1"/>
  <c r="Q711" i="1"/>
  <c r="R711" i="1"/>
  <c r="P710" i="1"/>
  <c r="Q710" i="1"/>
  <c r="R710" i="1"/>
  <c r="P709" i="1"/>
  <c r="Q709" i="1"/>
  <c r="R709" i="1"/>
  <c r="P708" i="1"/>
  <c r="Q708" i="1"/>
  <c r="R708" i="1"/>
  <c r="P707" i="1"/>
  <c r="Q707" i="1"/>
  <c r="R707" i="1"/>
  <c r="L188" i="1"/>
  <c r="L270" i="1"/>
  <c r="L269" i="1"/>
  <c r="L262" i="1"/>
  <c r="L261" i="1"/>
  <c r="P703" i="1"/>
  <c r="Q703" i="1"/>
  <c r="R703" i="1"/>
  <c r="T703" i="1"/>
  <c r="U703" i="1" s="1"/>
  <c r="W703" i="1"/>
  <c r="X703" i="1" s="1"/>
  <c r="P704" i="1"/>
  <c r="Q704" i="1"/>
  <c r="R704" i="1"/>
  <c r="T704" i="1"/>
  <c r="U704" i="1" s="1"/>
  <c r="W704" i="1"/>
  <c r="X704" i="1" s="1"/>
  <c r="P705" i="1"/>
  <c r="Q705" i="1"/>
  <c r="R705" i="1"/>
  <c r="T705" i="1"/>
  <c r="U705" i="1" s="1"/>
  <c r="W705" i="1"/>
  <c r="X705" i="1" s="1"/>
  <c r="P706" i="1"/>
  <c r="Q706" i="1"/>
  <c r="R706" i="1"/>
  <c r="T706" i="1"/>
  <c r="U706" i="1" s="1"/>
  <c r="W706" i="1"/>
  <c r="X706" i="1" s="1"/>
  <c r="W702" i="1"/>
  <c r="X702" i="1" s="1"/>
  <c r="W701" i="1"/>
  <c r="X701" i="1" s="1"/>
  <c r="T702" i="1"/>
  <c r="U702" i="1" s="1"/>
  <c r="T701" i="1"/>
  <c r="U701" i="1" s="1"/>
  <c r="P702" i="1"/>
  <c r="Q702" i="1"/>
  <c r="R702" i="1"/>
  <c r="P701" i="1"/>
  <c r="Q701" i="1"/>
  <c r="R701" i="1"/>
  <c r="L652" i="1"/>
  <c r="W700" i="1"/>
  <c r="X700" i="1" s="1"/>
  <c r="W699" i="1"/>
  <c r="X699" i="1" s="1"/>
  <c r="W698" i="1"/>
  <c r="X698" i="1" s="1"/>
  <c r="W697" i="1"/>
  <c r="X697" i="1" s="1"/>
  <c r="W696" i="1"/>
  <c r="X696" i="1" s="1"/>
  <c r="W695" i="1"/>
  <c r="X695" i="1" s="1"/>
  <c r="T700" i="1"/>
  <c r="U700" i="1" s="1"/>
  <c r="T699" i="1"/>
  <c r="U699" i="1" s="1"/>
  <c r="T698" i="1"/>
  <c r="U698" i="1" s="1"/>
  <c r="T697" i="1"/>
  <c r="U697" i="1" s="1"/>
  <c r="T696" i="1"/>
  <c r="U696" i="1" s="1"/>
  <c r="T695" i="1"/>
  <c r="U695" i="1" s="1"/>
  <c r="P700" i="1"/>
  <c r="Q700" i="1"/>
  <c r="R700" i="1"/>
  <c r="P699" i="1"/>
  <c r="Q699" i="1"/>
  <c r="R699" i="1"/>
  <c r="P698" i="1"/>
  <c r="Q698" i="1"/>
  <c r="R698" i="1"/>
  <c r="P697" i="1"/>
  <c r="Q697" i="1"/>
  <c r="R697" i="1"/>
  <c r="P696" i="1"/>
  <c r="Q696" i="1"/>
  <c r="R696" i="1"/>
  <c r="W694" i="1"/>
  <c r="X694" i="1" s="1"/>
  <c r="W693" i="1"/>
  <c r="X693" i="1" s="1"/>
  <c r="W692" i="1"/>
  <c r="X692" i="1" s="1"/>
  <c r="W691" i="1"/>
  <c r="X691" i="1" s="1"/>
  <c r="T694" i="1"/>
  <c r="U694" i="1" s="1"/>
  <c r="T693" i="1"/>
  <c r="U693" i="1" s="1"/>
  <c r="T692" i="1"/>
  <c r="U692" i="1" s="1"/>
  <c r="T691" i="1"/>
  <c r="U691" i="1" s="1"/>
  <c r="W690" i="1"/>
  <c r="X690" i="1" s="1"/>
  <c r="T690" i="1"/>
  <c r="U690" i="1" s="1"/>
  <c r="P695" i="1"/>
  <c r="Q695" i="1"/>
  <c r="R695" i="1"/>
  <c r="P694" i="1"/>
  <c r="Q694" i="1"/>
  <c r="R694" i="1"/>
  <c r="P693" i="1"/>
  <c r="Q693" i="1"/>
  <c r="R693" i="1"/>
  <c r="P692" i="1"/>
  <c r="Q692" i="1"/>
  <c r="R692" i="1"/>
  <c r="P691" i="1"/>
  <c r="Q691" i="1"/>
  <c r="R691" i="1"/>
  <c r="L204" i="1"/>
  <c r="L194" i="1"/>
  <c r="P690" i="1"/>
  <c r="Q690" i="1"/>
  <c r="R690" i="1"/>
  <c r="W689" i="1"/>
  <c r="X689" i="1" s="1"/>
  <c r="T689" i="1"/>
  <c r="U689" i="1" s="1"/>
  <c r="W688" i="1"/>
  <c r="X688" i="1" s="1"/>
  <c r="T688" i="1"/>
  <c r="U688" i="1" s="1"/>
  <c r="P689" i="1"/>
  <c r="Q689" i="1"/>
  <c r="R689" i="1"/>
  <c r="L644" i="1"/>
  <c r="P688" i="1"/>
  <c r="Q688" i="1"/>
  <c r="R688" i="1"/>
  <c r="W687" i="1"/>
  <c r="X687" i="1" s="1"/>
  <c r="T687" i="1"/>
  <c r="U687" i="1" s="1"/>
  <c r="P687" i="1"/>
  <c r="Q687" i="1"/>
  <c r="R687" i="1"/>
  <c r="L609" i="1"/>
  <c r="L482" i="1"/>
  <c r="L500" i="1"/>
  <c r="L483" i="1"/>
  <c r="L201" i="1"/>
  <c r="L290" i="1"/>
  <c r="L632" i="1"/>
  <c r="L631" i="1"/>
  <c r="L19" i="1"/>
  <c r="L502" i="1"/>
  <c r="L488" i="1"/>
  <c r="L485" i="1"/>
  <c r="L484" i="1"/>
  <c r="L138" i="1"/>
  <c r="L137" i="1"/>
  <c r="L134" i="1"/>
  <c r="L487" i="1"/>
  <c r="L603" i="1"/>
  <c r="L545" i="1"/>
  <c r="L435" i="1"/>
  <c r="L434" i="1"/>
  <c r="L431" i="1"/>
  <c r="L430" i="1"/>
  <c r="L429" i="1"/>
  <c r="L428" i="1"/>
  <c r="L426" i="1"/>
  <c r="L425" i="1"/>
  <c r="L424" i="1"/>
  <c r="L423" i="1"/>
  <c r="L421" i="1"/>
  <c r="L420" i="1"/>
  <c r="L419" i="1"/>
  <c r="L415" i="1"/>
  <c r="L414" i="1"/>
  <c r="L413" i="1"/>
  <c r="L412" i="1"/>
  <c r="L410" i="1"/>
  <c r="L131" i="1"/>
  <c r="L148" i="1"/>
  <c r="L172" i="1"/>
  <c r="L179" i="1"/>
  <c r="L176" i="1"/>
  <c r="L170" i="1"/>
  <c r="L181" i="1"/>
  <c r="L173" i="1"/>
  <c r="L165" i="1"/>
  <c r="L161" i="1"/>
  <c r="L154" i="1"/>
  <c r="L149" i="1"/>
  <c r="L307" i="1"/>
  <c r="L306" i="1"/>
  <c r="L305" i="1"/>
  <c r="L303" i="1"/>
  <c r="L302" i="1"/>
  <c r="L301" i="1"/>
  <c r="L300" i="1"/>
  <c r="L299" i="1"/>
  <c r="L284" i="1"/>
  <c r="L268" i="1"/>
  <c r="L145" i="1"/>
  <c r="L144" i="1"/>
  <c r="L143" i="1"/>
  <c r="L140" i="1"/>
  <c r="L136" i="1"/>
  <c r="L127" i="1"/>
  <c r="L124" i="1"/>
  <c r="L123" i="1"/>
  <c r="T545" i="1"/>
  <c r="U545" i="1" s="1"/>
  <c r="T493" i="1"/>
  <c r="U493" i="1" s="1"/>
  <c r="T492" i="1"/>
  <c r="U492" i="1" s="1"/>
  <c r="T491" i="1"/>
  <c r="U491" i="1" s="1"/>
  <c r="T490" i="1"/>
  <c r="U490" i="1" s="1"/>
  <c r="T489" i="1"/>
  <c r="U489" i="1" s="1"/>
  <c r="T488" i="1"/>
  <c r="U488" i="1" s="1"/>
  <c r="T487" i="1"/>
  <c r="U487" i="1" s="1"/>
  <c r="T486" i="1"/>
  <c r="U486" i="1" s="1"/>
  <c r="T485" i="1"/>
  <c r="U485" i="1" s="1"/>
  <c r="T484" i="1"/>
  <c r="U484" i="1" s="1"/>
  <c r="T483" i="1"/>
  <c r="U483" i="1" s="1"/>
  <c r="T482" i="1"/>
  <c r="U482" i="1" s="1"/>
  <c r="T481" i="1"/>
  <c r="U481" i="1" s="1"/>
  <c r="T480" i="1"/>
  <c r="U480" i="1" s="1"/>
  <c r="T479" i="1"/>
  <c r="U479" i="1" s="1"/>
  <c r="T478" i="1"/>
  <c r="U478" i="1" s="1"/>
  <c r="T477" i="1"/>
  <c r="U477" i="1" s="1"/>
  <c r="T476" i="1"/>
  <c r="U476" i="1" s="1"/>
  <c r="T363" i="1"/>
  <c r="U363" i="1" s="1"/>
  <c r="T253" i="1"/>
  <c r="U253" i="1" s="1"/>
  <c r="T192" i="1"/>
  <c r="U192" i="1" s="1"/>
  <c r="T191" i="1"/>
  <c r="U191" i="1" s="1"/>
  <c r="W545" i="1"/>
  <c r="X545" i="1" s="1"/>
  <c r="W493" i="1"/>
  <c r="X493" i="1" s="1"/>
  <c r="W492" i="1"/>
  <c r="X492" i="1" s="1"/>
  <c r="W491" i="1"/>
  <c r="X491" i="1" s="1"/>
  <c r="W490" i="1"/>
  <c r="X490" i="1" s="1"/>
  <c r="W489" i="1"/>
  <c r="X489" i="1" s="1"/>
  <c r="W488" i="1"/>
  <c r="X488" i="1" s="1"/>
  <c r="W487" i="1"/>
  <c r="X487" i="1" s="1"/>
  <c r="W486" i="1"/>
  <c r="X486" i="1" s="1"/>
  <c r="W485" i="1"/>
  <c r="X485" i="1" s="1"/>
  <c r="W484" i="1"/>
  <c r="X484" i="1" s="1"/>
  <c r="W483" i="1"/>
  <c r="X483" i="1" s="1"/>
  <c r="W482" i="1"/>
  <c r="X482" i="1" s="1"/>
  <c r="W481" i="1"/>
  <c r="X481" i="1" s="1"/>
  <c r="W480" i="1"/>
  <c r="X480" i="1" s="1"/>
  <c r="W479" i="1"/>
  <c r="X479" i="1" s="1"/>
  <c r="W478" i="1"/>
  <c r="X478" i="1" s="1"/>
  <c r="W477" i="1"/>
  <c r="X477" i="1" s="1"/>
  <c r="W476" i="1"/>
  <c r="X476" i="1" s="1"/>
  <c r="W363" i="1"/>
  <c r="X363" i="1" s="1"/>
  <c r="W253" i="1"/>
  <c r="X253" i="1" s="1"/>
  <c r="W192" i="1"/>
  <c r="X192" i="1" s="1"/>
  <c r="W191" i="1"/>
  <c r="X191" i="1" s="1"/>
  <c r="W409" i="1"/>
  <c r="X409" i="1" s="1"/>
  <c r="P363" i="1"/>
  <c r="Q363" i="1"/>
  <c r="R363" i="1"/>
  <c r="P253" i="1"/>
  <c r="Q253" i="1"/>
  <c r="R253" i="1"/>
  <c r="P52" i="1"/>
  <c r="Q52" i="1"/>
  <c r="R52" i="1"/>
  <c r="T52" i="1"/>
  <c r="U52" i="1" s="1"/>
  <c r="P53" i="1"/>
  <c r="Q53" i="1"/>
  <c r="R53" i="1"/>
  <c r="T53" i="1"/>
  <c r="U53" i="1" s="1"/>
  <c r="P54" i="1"/>
  <c r="Q54" i="1"/>
  <c r="R54" i="1"/>
  <c r="T54" i="1"/>
  <c r="U54" i="1" s="1"/>
  <c r="P55" i="1"/>
  <c r="Q55" i="1"/>
  <c r="R55" i="1"/>
  <c r="T55" i="1"/>
  <c r="U55" i="1" s="1"/>
  <c r="P56" i="1"/>
  <c r="Q56" i="1"/>
  <c r="R56" i="1"/>
  <c r="T56" i="1"/>
  <c r="U56" i="1" s="1"/>
  <c r="P57" i="1"/>
  <c r="Q57" i="1"/>
  <c r="R57" i="1"/>
  <c r="T57" i="1"/>
  <c r="U57" i="1" s="1"/>
  <c r="P58" i="1"/>
  <c r="Q58" i="1"/>
  <c r="R58" i="1"/>
  <c r="T58" i="1"/>
  <c r="U58" i="1" s="1"/>
  <c r="P59" i="1"/>
  <c r="Q59" i="1"/>
  <c r="R59" i="1"/>
  <c r="T59" i="1"/>
  <c r="U59" i="1" s="1"/>
  <c r="P60" i="1"/>
  <c r="Q60" i="1"/>
  <c r="R60" i="1"/>
  <c r="T60" i="1"/>
  <c r="U60" i="1" s="1"/>
  <c r="P61" i="1"/>
  <c r="Q61" i="1"/>
  <c r="R61" i="1"/>
  <c r="T61" i="1"/>
  <c r="U61" i="1" s="1"/>
  <c r="P62" i="1"/>
  <c r="Q62" i="1"/>
  <c r="R62" i="1"/>
  <c r="T62" i="1"/>
  <c r="U62" i="1" s="1"/>
  <c r="P63" i="1"/>
  <c r="Q63" i="1"/>
  <c r="R63" i="1"/>
  <c r="T63" i="1"/>
  <c r="U63" i="1" s="1"/>
  <c r="P64" i="1"/>
  <c r="Q64" i="1"/>
  <c r="R64" i="1"/>
  <c r="T64" i="1"/>
  <c r="U64" i="1" s="1"/>
  <c r="P65" i="1"/>
  <c r="Q65" i="1"/>
  <c r="R65" i="1"/>
  <c r="T65" i="1"/>
  <c r="U65" i="1" s="1"/>
  <c r="P66" i="1"/>
  <c r="Q66" i="1"/>
  <c r="R66" i="1"/>
  <c r="T66" i="1"/>
  <c r="U66" i="1" s="1"/>
  <c r="P67" i="1"/>
  <c r="Q67" i="1"/>
  <c r="R67" i="1"/>
  <c r="T67" i="1"/>
  <c r="U67" i="1" s="1"/>
  <c r="P68" i="1"/>
  <c r="Q68" i="1"/>
  <c r="R68" i="1"/>
  <c r="T68" i="1"/>
  <c r="U68" i="1" s="1"/>
  <c r="P69" i="1"/>
  <c r="Q69" i="1"/>
  <c r="R69" i="1"/>
  <c r="T69" i="1"/>
  <c r="U69" i="1" s="1"/>
  <c r="P70" i="1"/>
  <c r="Q70" i="1"/>
  <c r="R70" i="1"/>
  <c r="T70" i="1"/>
  <c r="U70" i="1" s="1"/>
  <c r="P71" i="1"/>
  <c r="Q71" i="1"/>
  <c r="R71" i="1"/>
  <c r="T71" i="1"/>
  <c r="U71" i="1" s="1"/>
  <c r="P72" i="1"/>
  <c r="Q72" i="1"/>
  <c r="R72" i="1"/>
  <c r="T72" i="1"/>
  <c r="U72" i="1" s="1"/>
  <c r="P73" i="1"/>
  <c r="Q73" i="1"/>
  <c r="R73" i="1"/>
  <c r="T73" i="1"/>
  <c r="U73" i="1" s="1"/>
  <c r="P74" i="1"/>
  <c r="Q74" i="1"/>
  <c r="R74" i="1"/>
  <c r="T74" i="1"/>
  <c r="U74" i="1" s="1"/>
  <c r="P75" i="1"/>
  <c r="Q75" i="1"/>
  <c r="R75" i="1"/>
  <c r="T75" i="1"/>
  <c r="U75" i="1" s="1"/>
  <c r="P76" i="1"/>
  <c r="Q76" i="1"/>
  <c r="R76" i="1"/>
  <c r="T76" i="1"/>
  <c r="U76" i="1" s="1"/>
  <c r="P77" i="1"/>
  <c r="Q77" i="1"/>
  <c r="R77" i="1"/>
  <c r="T77" i="1"/>
  <c r="U77" i="1" s="1"/>
  <c r="P78" i="1"/>
  <c r="Q78" i="1"/>
  <c r="R78" i="1"/>
  <c r="T78" i="1"/>
  <c r="U78" i="1" s="1"/>
  <c r="P79" i="1"/>
  <c r="Q79" i="1"/>
  <c r="R79" i="1"/>
  <c r="T79" i="1"/>
  <c r="U79" i="1" s="1"/>
  <c r="P80" i="1"/>
  <c r="Q80" i="1"/>
  <c r="R80" i="1"/>
  <c r="T80" i="1"/>
  <c r="U80" i="1" s="1"/>
  <c r="P81" i="1"/>
  <c r="Q81" i="1"/>
  <c r="R81" i="1"/>
  <c r="T81" i="1"/>
  <c r="U81" i="1" s="1"/>
  <c r="P82" i="1"/>
  <c r="Q82" i="1"/>
  <c r="R82" i="1"/>
  <c r="T82" i="1"/>
  <c r="U82" i="1" s="1"/>
  <c r="P83" i="1"/>
  <c r="Q83" i="1"/>
  <c r="R83" i="1"/>
  <c r="T83" i="1"/>
  <c r="U83" i="1" s="1"/>
  <c r="P84" i="1"/>
  <c r="Q84" i="1"/>
  <c r="R84" i="1"/>
  <c r="T84" i="1"/>
  <c r="U84" i="1" s="1"/>
  <c r="P85" i="1"/>
  <c r="Q85" i="1"/>
  <c r="R85" i="1"/>
  <c r="T85" i="1"/>
  <c r="U85" i="1" s="1"/>
  <c r="P86" i="1"/>
  <c r="Q86" i="1"/>
  <c r="R86" i="1"/>
  <c r="T86" i="1"/>
  <c r="U86" i="1" s="1"/>
  <c r="P87" i="1"/>
  <c r="Q87" i="1"/>
  <c r="R87" i="1"/>
  <c r="T87" i="1"/>
  <c r="U87" i="1" s="1"/>
  <c r="P88" i="1"/>
  <c r="Q88" i="1"/>
  <c r="R88" i="1"/>
  <c r="T88" i="1"/>
  <c r="U88" i="1" s="1"/>
  <c r="P89" i="1"/>
  <c r="Q89" i="1"/>
  <c r="R89" i="1"/>
  <c r="T89" i="1"/>
  <c r="U89" i="1" s="1"/>
  <c r="P90" i="1"/>
  <c r="Q90" i="1"/>
  <c r="R90" i="1"/>
  <c r="T90" i="1"/>
  <c r="U90" i="1" s="1"/>
  <c r="P91" i="1"/>
  <c r="Q91" i="1"/>
  <c r="R91" i="1"/>
  <c r="T91" i="1"/>
  <c r="U91" i="1" s="1"/>
  <c r="P92" i="1"/>
  <c r="Q92" i="1"/>
  <c r="R92" i="1"/>
  <c r="T92" i="1"/>
  <c r="U92" i="1" s="1"/>
  <c r="P93" i="1"/>
  <c r="Q93" i="1"/>
  <c r="R93" i="1"/>
  <c r="T93" i="1"/>
  <c r="U93" i="1" s="1"/>
  <c r="P94" i="1"/>
  <c r="Q94" i="1"/>
  <c r="R94" i="1"/>
  <c r="T94" i="1"/>
  <c r="U94" i="1" s="1"/>
  <c r="P95" i="1"/>
  <c r="Q95" i="1"/>
  <c r="R95" i="1"/>
  <c r="T95" i="1"/>
  <c r="U95" i="1" s="1"/>
  <c r="P96" i="1"/>
  <c r="Q96" i="1"/>
  <c r="R96" i="1"/>
  <c r="T96" i="1"/>
  <c r="U96" i="1" s="1"/>
  <c r="P97" i="1"/>
  <c r="Q97" i="1"/>
  <c r="R97" i="1"/>
  <c r="T97" i="1"/>
  <c r="U97" i="1" s="1"/>
  <c r="P98" i="1"/>
  <c r="Q98" i="1"/>
  <c r="R98" i="1"/>
  <c r="T98" i="1"/>
  <c r="U98" i="1" s="1"/>
  <c r="P99" i="1"/>
  <c r="Q99" i="1"/>
  <c r="R99" i="1"/>
  <c r="T99" i="1"/>
  <c r="U99" i="1" s="1"/>
  <c r="P100" i="1"/>
  <c r="Q100" i="1"/>
  <c r="R100" i="1"/>
  <c r="T100" i="1"/>
  <c r="U100" i="1" s="1"/>
  <c r="P101" i="1"/>
  <c r="Q101" i="1"/>
  <c r="R101" i="1"/>
  <c r="T101" i="1"/>
  <c r="U101" i="1" s="1"/>
  <c r="P102" i="1"/>
  <c r="Q102" i="1"/>
  <c r="R102" i="1"/>
  <c r="T102" i="1"/>
  <c r="U102" i="1" s="1"/>
  <c r="P103" i="1"/>
  <c r="Q103" i="1"/>
  <c r="R103" i="1"/>
  <c r="T103" i="1"/>
  <c r="U103" i="1" s="1"/>
  <c r="P104" i="1"/>
  <c r="Q104" i="1"/>
  <c r="R104" i="1"/>
  <c r="T104" i="1"/>
  <c r="U104" i="1" s="1"/>
  <c r="P105" i="1"/>
  <c r="Q105" i="1"/>
  <c r="R105" i="1"/>
  <c r="T105" i="1"/>
  <c r="U105" i="1" s="1"/>
  <c r="P106" i="1"/>
  <c r="Q106" i="1"/>
  <c r="R106" i="1"/>
  <c r="T106" i="1"/>
  <c r="U106" i="1" s="1"/>
  <c r="P107" i="1"/>
  <c r="Q107" i="1"/>
  <c r="R107" i="1"/>
  <c r="T107" i="1"/>
  <c r="U107" i="1" s="1"/>
  <c r="P108" i="1"/>
  <c r="Q108" i="1"/>
  <c r="R108" i="1"/>
  <c r="T108" i="1"/>
  <c r="U108" i="1" s="1"/>
  <c r="P109" i="1"/>
  <c r="Q109" i="1"/>
  <c r="R109" i="1"/>
  <c r="T109" i="1"/>
  <c r="U109" i="1" s="1"/>
  <c r="P110" i="1"/>
  <c r="Q110" i="1"/>
  <c r="R110" i="1"/>
  <c r="T110" i="1"/>
  <c r="U110" i="1" s="1"/>
  <c r="P111" i="1"/>
  <c r="Q111" i="1"/>
  <c r="R111" i="1"/>
  <c r="T111" i="1"/>
  <c r="U111" i="1" s="1"/>
  <c r="P112" i="1"/>
  <c r="Q112" i="1"/>
  <c r="R112" i="1"/>
  <c r="T112" i="1"/>
  <c r="U112" i="1" s="1"/>
  <c r="P113" i="1"/>
  <c r="Q113" i="1"/>
  <c r="R113" i="1"/>
  <c r="T113" i="1"/>
  <c r="U113" i="1" s="1"/>
  <c r="P114" i="1"/>
  <c r="Q114" i="1"/>
  <c r="R114" i="1"/>
  <c r="T114" i="1"/>
  <c r="U114" i="1" s="1"/>
  <c r="P115" i="1"/>
  <c r="Q115" i="1"/>
  <c r="R115" i="1"/>
  <c r="T115" i="1"/>
  <c r="U115" i="1" s="1"/>
  <c r="P116" i="1"/>
  <c r="Q116" i="1"/>
  <c r="R116" i="1"/>
  <c r="T116" i="1"/>
  <c r="U116" i="1" s="1"/>
  <c r="P117" i="1"/>
  <c r="Q117" i="1"/>
  <c r="R117" i="1"/>
  <c r="T117" i="1"/>
  <c r="U117" i="1" s="1"/>
  <c r="P118" i="1"/>
  <c r="Q118" i="1"/>
  <c r="R118" i="1"/>
  <c r="T118" i="1"/>
  <c r="U118" i="1" s="1"/>
  <c r="P119" i="1"/>
  <c r="Q119" i="1"/>
  <c r="R119" i="1"/>
  <c r="T119" i="1"/>
  <c r="U119" i="1" s="1"/>
  <c r="P120" i="1"/>
  <c r="Q120" i="1"/>
  <c r="R120" i="1"/>
  <c r="T120" i="1"/>
  <c r="U120" i="1" s="1"/>
  <c r="P121" i="1"/>
  <c r="Q121" i="1"/>
  <c r="R121" i="1"/>
  <c r="T121" i="1"/>
  <c r="U121" i="1" s="1"/>
  <c r="P122" i="1"/>
  <c r="Q122" i="1"/>
  <c r="R122" i="1"/>
  <c r="T122" i="1"/>
  <c r="U122" i="1" s="1"/>
  <c r="P123" i="1"/>
  <c r="Q123" i="1"/>
  <c r="R123" i="1"/>
  <c r="T123" i="1"/>
  <c r="U123" i="1" s="1"/>
  <c r="P124" i="1"/>
  <c r="Q124" i="1"/>
  <c r="R124" i="1"/>
  <c r="T124" i="1"/>
  <c r="U124" i="1" s="1"/>
  <c r="P125" i="1"/>
  <c r="Q125" i="1"/>
  <c r="R125" i="1"/>
  <c r="T125" i="1"/>
  <c r="U125" i="1" s="1"/>
  <c r="P126" i="1"/>
  <c r="Q126" i="1"/>
  <c r="R126" i="1"/>
  <c r="T126" i="1"/>
  <c r="U126" i="1" s="1"/>
  <c r="P127" i="1"/>
  <c r="Q127" i="1"/>
  <c r="R127" i="1"/>
  <c r="T127" i="1"/>
  <c r="U127" i="1" s="1"/>
  <c r="P128" i="1"/>
  <c r="Q128" i="1"/>
  <c r="R128" i="1"/>
  <c r="T128" i="1"/>
  <c r="U128" i="1" s="1"/>
  <c r="P129" i="1"/>
  <c r="Q129" i="1"/>
  <c r="R129" i="1"/>
  <c r="T129" i="1"/>
  <c r="U129" i="1" s="1"/>
  <c r="P130" i="1"/>
  <c r="Q130" i="1"/>
  <c r="R130" i="1"/>
  <c r="T130" i="1"/>
  <c r="U130" i="1" s="1"/>
  <c r="P131" i="1"/>
  <c r="Q131" i="1"/>
  <c r="R131" i="1"/>
  <c r="T131" i="1"/>
  <c r="U131" i="1" s="1"/>
  <c r="P132" i="1"/>
  <c r="Q132" i="1"/>
  <c r="R132" i="1"/>
  <c r="T132" i="1"/>
  <c r="U132" i="1" s="1"/>
  <c r="P133" i="1"/>
  <c r="Q133" i="1"/>
  <c r="R133" i="1"/>
  <c r="T133" i="1"/>
  <c r="U133" i="1" s="1"/>
  <c r="P134" i="1"/>
  <c r="Q134" i="1"/>
  <c r="R134" i="1"/>
  <c r="T134" i="1"/>
  <c r="U134" i="1" s="1"/>
  <c r="P135" i="1"/>
  <c r="Q135" i="1"/>
  <c r="R135" i="1"/>
  <c r="T135" i="1"/>
  <c r="U135" i="1" s="1"/>
  <c r="P136" i="1"/>
  <c r="Q136" i="1"/>
  <c r="R136" i="1"/>
  <c r="T136" i="1"/>
  <c r="U136" i="1" s="1"/>
  <c r="P137" i="1"/>
  <c r="Q137" i="1"/>
  <c r="R137" i="1"/>
  <c r="T137" i="1"/>
  <c r="U137" i="1" s="1"/>
  <c r="P138" i="1"/>
  <c r="Q138" i="1"/>
  <c r="R138" i="1"/>
  <c r="T138" i="1"/>
  <c r="U138" i="1" s="1"/>
  <c r="P139" i="1"/>
  <c r="Q139" i="1"/>
  <c r="R139" i="1"/>
  <c r="T139" i="1"/>
  <c r="U139" i="1" s="1"/>
  <c r="P140" i="1"/>
  <c r="Q140" i="1"/>
  <c r="R140" i="1"/>
  <c r="T140" i="1"/>
  <c r="U140" i="1" s="1"/>
  <c r="P141" i="1"/>
  <c r="Q141" i="1"/>
  <c r="R141" i="1"/>
  <c r="T141" i="1"/>
  <c r="U141" i="1" s="1"/>
  <c r="P142" i="1"/>
  <c r="Q142" i="1"/>
  <c r="R142" i="1"/>
  <c r="T142" i="1"/>
  <c r="U142" i="1" s="1"/>
  <c r="P143" i="1"/>
  <c r="Q143" i="1"/>
  <c r="R143" i="1"/>
  <c r="T143" i="1"/>
  <c r="U143" i="1" s="1"/>
  <c r="P144" i="1"/>
  <c r="Q144" i="1"/>
  <c r="R144" i="1"/>
  <c r="T144" i="1"/>
  <c r="U144" i="1" s="1"/>
  <c r="P145" i="1"/>
  <c r="Q145" i="1"/>
  <c r="R145" i="1"/>
  <c r="T145" i="1"/>
  <c r="U145" i="1" s="1"/>
  <c r="P146" i="1"/>
  <c r="Q146" i="1"/>
  <c r="R146" i="1"/>
  <c r="T146" i="1"/>
  <c r="U146" i="1" s="1"/>
  <c r="P147" i="1"/>
  <c r="Q147" i="1"/>
  <c r="R147" i="1"/>
  <c r="T147" i="1"/>
  <c r="U147" i="1" s="1"/>
  <c r="P148" i="1"/>
  <c r="Q148" i="1"/>
  <c r="R148" i="1"/>
  <c r="T148" i="1"/>
  <c r="U148" i="1" s="1"/>
  <c r="P149" i="1"/>
  <c r="Q149" i="1"/>
  <c r="R149" i="1"/>
  <c r="T149" i="1"/>
  <c r="U149" i="1" s="1"/>
  <c r="P150" i="1"/>
  <c r="Q150" i="1"/>
  <c r="R150" i="1"/>
  <c r="T150" i="1"/>
  <c r="U150" i="1" s="1"/>
  <c r="P151" i="1"/>
  <c r="Q151" i="1"/>
  <c r="R151" i="1"/>
  <c r="T151" i="1"/>
  <c r="U151" i="1" s="1"/>
  <c r="P152" i="1"/>
  <c r="Q152" i="1"/>
  <c r="R152" i="1"/>
  <c r="T152" i="1"/>
  <c r="U152" i="1" s="1"/>
  <c r="P153" i="1"/>
  <c r="Q153" i="1"/>
  <c r="R153" i="1"/>
  <c r="T153" i="1"/>
  <c r="U153" i="1" s="1"/>
  <c r="P154" i="1"/>
  <c r="Q154" i="1"/>
  <c r="R154" i="1"/>
  <c r="T154" i="1"/>
  <c r="U154" i="1" s="1"/>
  <c r="P155" i="1"/>
  <c r="Q155" i="1"/>
  <c r="R155" i="1"/>
  <c r="T155" i="1"/>
  <c r="U155" i="1" s="1"/>
  <c r="P156" i="1"/>
  <c r="Q156" i="1"/>
  <c r="R156" i="1"/>
  <c r="T156" i="1"/>
  <c r="U156" i="1" s="1"/>
  <c r="P157" i="1"/>
  <c r="Q157" i="1"/>
  <c r="R157" i="1"/>
  <c r="T157" i="1"/>
  <c r="U157" i="1" s="1"/>
  <c r="P158" i="1"/>
  <c r="Q158" i="1"/>
  <c r="R158" i="1"/>
  <c r="T158" i="1"/>
  <c r="U158" i="1" s="1"/>
  <c r="P159" i="1"/>
  <c r="Q159" i="1"/>
  <c r="R159" i="1"/>
  <c r="T159" i="1"/>
  <c r="U159" i="1" s="1"/>
  <c r="P160" i="1"/>
  <c r="Q160" i="1"/>
  <c r="R160" i="1"/>
  <c r="T160" i="1"/>
  <c r="U160" i="1" s="1"/>
  <c r="P161" i="1"/>
  <c r="Q161" i="1"/>
  <c r="R161" i="1"/>
  <c r="T161" i="1"/>
  <c r="U161" i="1" s="1"/>
  <c r="P162" i="1"/>
  <c r="Q162" i="1"/>
  <c r="R162" i="1"/>
  <c r="T162" i="1"/>
  <c r="U162" i="1" s="1"/>
  <c r="P163" i="1"/>
  <c r="Q163" i="1"/>
  <c r="R163" i="1"/>
  <c r="T163" i="1"/>
  <c r="U163" i="1" s="1"/>
  <c r="P164" i="1"/>
  <c r="Q164" i="1"/>
  <c r="R164" i="1"/>
  <c r="T164" i="1"/>
  <c r="U164" i="1" s="1"/>
  <c r="P165" i="1"/>
  <c r="Q165" i="1"/>
  <c r="R165" i="1"/>
  <c r="T165" i="1"/>
  <c r="U165" i="1" s="1"/>
  <c r="P166" i="1"/>
  <c r="Q166" i="1"/>
  <c r="R166" i="1"/>
  <c r="T166" i="1"/>
  <c r="U166" i="1" s="1"/>
  <c r="P167" i="1"/>
  <c r="Q167" i="1"/>
  <c r="R167" i="1"/>
  <c r="T167" i="1"/>
  <c r="U167" i="1" s="1"/>
  <c r="P168" i="1"/>
  <c r="Q168" i="1"/>
  <c r="R168" i="1"/>
  <c r="T168" i="1"/>
  <c r="U168" i="1" s="1"/>
  <c r="P169" i="1"/>
  <c r="Q169" i="1"/>
  <c r="R169" i="1"/>
  <c r="T169" i="1"/>
  <c r="U169" i="1" s="1"/>
  <c r="P170" i="1"/>
  <c r="Q170" i="1"/>
  <c r="R170" i="1"/>
  <c r="T170" i="1"/>
  <c r="U170" i="1" s="1"/>
  <c r="P171" i="1"/>
  <c r="Q171" i="1"/>
  <c r="R171" i="1"/>
  <c r="T171" i="1"/>
  <c r="U171" i="1" s="1"/>
  <c r="P172" i="1"/>
  <c r="Q172" i="1"/>
  <c r="R172" i="1"/>
  <c r="T172" i="1"/>
  <c r="U172" i="1" s="1"/>
  <c r="P173" i="1"/>
  <c r="Q173" i="1"/>
  <c r="R173" i="1"/>
  <c r="T173" i="1"/>
  <c r="U173" i="1" s="1"/>
  <c r="P174" i="1"/>
  <c r="Q174" i="1"/>
  <c r="R174" i="1"/>
  <c r="T174" i="1"/>
  <c r="U174" i="1" s="1"/>
  <c r="P175" i="1"/>
  <c r="Q175" i="1"/>
  <c r="R175" i="1"/>
  <c r="T175" i="1"/>
  <c r="U175" i="1" s="1"/>
  <c r="P176" i="1"/>
  <c r="Q176" i="1"/>
  <c r="R176" i="1"/>
  <c r="T176" i="1"/>
  <c r="U176" i="1" s="1"/>
  <c r="P177" i="1"/>
  <c r="Q177" i="1"/>
  <c r="R177" i="1"/>
  <c r="T177" i="1"/>
  <c r="U177" i="1" s="1"/>
  <c r="P178" i="1"/>
  <c r="Q178" i="1"/>
  <c r="R178" i="1"/>
  <c r="T178" i="1"/>
  <c r="U178" i="1" s="1"/>
  <c r="P179" i="1"/>
  <c r="Q179" i="1"/>
  <c r="R179" i="1"/>
  <c r="T179" i="1"/>
  <c r="U179" i="1" s="1"/>
  <c r="P180" i="1"/>
  <c r="Q180" i="1"/>
  <c r="R180" i="1"/>
  <c r="T180" i="1"/>
  <c r="U180" i="1" s="1"/>
  <c r="P181" i="1"/>
  <c r="Q181" i="1"/>
  <c r="R181" i="1"/>
  <c r="T181" i="1"/>
  <c r="U181" i="1" s="1"/>
  <c r="P182" i="1"/>
  <c r="Q182" i="1"/>
  <c r="R182" i="1"/>
  <c r="T182" i="1"/>
  <c r="U182" i="1" s="1"/>
  <c r="P183" i="1"/>
  <c r="Q183" i="1"/>
  <c r="R183" i="1"/>
  <c r="T183" i="1"/>
  <c r="U183" i="1" s="1"/>
  <c r="P12" i="1"/>
  <c r="Q12" i="1"/>
  <c r="R12" i="1"/>
  <c r="T12" i="1"/>
  <c r="U12" i="1" s="1"/>
  <c r="P184" i="1"/>
  <c r="Q184" i="1"/>
  <c r="R184" i="1"/>
  <c r="T184" i="1"/>
  <c r="U184" i="1" s="1"/>
  <c r="P185" i="1"/>
  <c r="Q185" i="1"/>
  <c r="R185" i="1"/>
  <c r="T185" i="1"/>
  <c r="U185" i="1" s="1"/>
  <c r="P186" i="1"/>
  <c r="Q186" i="1"/>
  <c r="R186" i="1"/>
  <c r="T186" i="1"/>
  <c r="U186" i="1" s="1"/>
  <c r="P187" i="1"/>
  <c r="Q187" i="1"/>
  <c r="R187" i="1"/>
  <c r="T187" i="1"/>
  <c r="U187" i="1" s="1"/>
  <c r="P188" i="1"/>
  <c r="Q188" i="1"/>
  <c r="R188" i="1"/>
  <c r="T188" i="1"/>
  <c r="U188" i="1" s="1"/>
  <c r="P189" i="1"/>
  <c r="Q189" i="1"/>
  <c r="R189" i="1"/>
  <c r="T189" i="1"/>
  <c r="U189" i="1" s="1"/>
  <c r="P13" i="1"/>
  <c r="Q13" i="1"/>
  <c r="R13" i="1"/>
  <c r="T13" i="1"/>
  <c r="U13" i="1" s="1"/>
  <c r="P14" i="1"/>
  <c r="Q14" i="1"/>
  <c r="R14" i="1"/>
  <c r="T14" i="1"/>
  <c r="U14" i="1" s="1"/>
  <c r="P190" i="1"/>
  <c r="Q190" i="1"/>
  <c r="R190" i="1"/>
  <c r="T190" i="1"/>
  <c r="U190" i="1" s="1"/>
  <c r="P191" i="1"/>
  <c r="Q191" i="1"/>
  <c r="R191" i="1"/>
  <c r="P192" i="1"/>
  <c r="Q192" i="1"/>
  <c r="R192" i="1"/>
  <c r="P193" i="1"/>
  <c r="Q193" i="1"/>
  <c r="R193" i="1"/>
  <c r="T193" i="1"/>
  <c r="U193" i="1" s="1"/>
  <c r="P194" i="1"/>
  <c r="Q194" i="1"/>
  <c r="R194" i="1"/>
  <c r="T194" i="1"/>
  <c r="U194" i="1" s="1"/>
  <c r="P195" i="1"/>
  <c r="Q195" i="1"/>
  <c r="R195" i="1"/>
  <c r="T195" i="1"/>
  <c r="U195" i="1" s="1"/>
  <c r="P196" i="1"/>
  <c r="Q196" i="1"/>
  <c r="R196" i="1"/>
  <c r="T196" i="1"/>
  <c r="U196" i="1" s="1"/>
  <c r="P197" i="1"/>
  <c r="Q197" i="1"/>
  <c r="R197" i="1"/>
  <c r="T197" i="1"/>
  <c r="U197" i="1" s="1"/>
  <c r="P198" i="1"/>
  <c r="Q198" i="1"/>
  <c r="R198" i="1"/>
  <c r="T198" i="1"/>
  <c r="U198" i="1" s="1"/>
  <c r="P199" i="1"/>
  <c r="Q199" i="1"/>
  <c r="R199" i="1"/>
  <c r="T199" i="1"/>
  <c r="U199" i="1" s="1"/>
  <c r="P200" i="1"/>
  <c r="Q200" i="1"/>
  <c r="R200" i="1"/>
  <c r="T200" i="1"/>
  <c r="U200" i="1" s="1"/>
  <c r="P201" i="1"/>
  <c r="Q201" i="1"/>
  <c r="R201" i="1"/>
  <c r="T201" i="1"/>
  <c r="U201" i="1" s="1"/>
  <c r="P202" i="1"/>
  <c r="Q202" i="1"/>
  <c r="R202" i="1"/>
  <c r="T202" i="1"/>
  <c r="U202" i="1" s="1"/>
  <c r="P203" i="1"/>
  <c r="Q203" i="1"/>
  <c r="R203" i="1"/>
  <c r="T203" i="1"/>
  <c r="U203" i="1" s="1"/>
  <c r="P204" i="1"/>
  <c r="Q204" i="1"/>
  <c r="R204" i="1"/>
  <c r="T204" i="1"/>
  <c r="U204" i="1" s="1"/>
  <c r="P205" i="1"/>
  <c r="Q205" i="1"/>
  <c r="R205" i="1"/>
  <c r="T205" i="1"/>
  <c r="U205" i="1" s="1"/>
  <c r="P206" i="1"/>
  <c r="Q206" i="1"/>
  <c r="R206" i="1"/>
  <c r="T206" i="1"/>
  <c r="U206" i="1" s="1"/>
  <c r="P207" i="1"/>
  <c r="Q207" i="1"/>
  <c r="R207" i="1"/>
  <c r="T207" i="1"/>
  <c r="U207" i="1" s="1"/>
  <c r="P208" i="1"/>
  <c r="Q208" i="1"/>
  <c r="R208" i="1"/>
  <c r="T208" i="1"/>
  <c r="U208" i="1" s="1"/>
  <c r="P209" i="1"/>
  <c r="Q209" i="1"/>
  <c r="R209" i="1"/>
  <c r="T209" i="1"/>
  <c r="U209" i="1" s="1"/>
  <c r="P210" i="1"/>
  <c r="Q210" i="1"/>
  <c r="R210" i="1"/>
  <c r="T210" i="1"/>
  <c r="U210" i="1" s="1"/>
  <c r="P211" i="1"/>
  <c r="Q211" i="1"/>
  <c r="R211" i="1"/>
  <c r="T211" i="1"/>
  <c r="U211" i="1" s="1"/>
  <c r="P212" i="1"/>
  <c r="Q212" i="1"/>
  <c r="R212" i="1"/>
  <c r="T212" i="1"/>
  <c r="U212" i="1" s="1"/>
  <c r="P213" i="1"/>
  <c r="Q213" i="1"/>
  <c r="R213" i="1"/>
  <c r="T213" i="1"/>
  <c r="U213" i="1" s="1"/>
  <c r="P214" i="1"/>
  <c r="Q214" i="1"/>
  <c r="R214" i="1"/>
  <c r="T214" i="1"/>
  <c r="U214" i="1" s="1"/>
  <c r="P215" i="1"/>
  <c r="Q215" i="1"/>
  <c r="R215" i="1"/>
  <c r="T215" i="1"/>
  <c r="U215" i="1" s="1"/>
  <c r="P216" i="1"/>
  <c r="Q216" i="1"/>
  <c r="R216" i="1"/>
  <c r="T216" i="1"/>
  <c r="U216" i="1" s="1"/>
  <c r="P217" i="1"/>
  <c r="Q217" i="1"/>
  <c r="R217" i="1"/>
  <c r="T217" i="1"/>
  <c r="U217" i="1" s="1"/>
  <c r="P218" i="1"/>
  <c r="Q218" i="1"/>
  <c r="R218" i="1"/>
  <c r="T218" i="1"/>
  <c r="U218" i="1" s="1"/>
  <c r="P219" i="1"/>
  <c r="Q219" i="1"/>
  <c r="R219" i="1"/>
  <c r="T219" i="1"/>
  <c r="U219" i="1" s="1"/>
  <c r="P220" i="1"/>
  <c r="Q220" i="1"/>
  <c r="R220" i="1"/>
  <c r="T220" i="1"/>
  <c r="U220" i="1" s="1"/>
  <c r="P221" i="1"/>
  <c r="Q221" i="1"/>
  <c r="R221" i="1"/>
  <c r="T221" i="1"/>
  <c r="U221" i="1" s="1"/>
  <c r="P222" i="1"/>
  <c r="Q222" i="1"/>
  <c r="R222" i="1"/>
  <c r="T222" i="1"/>
  <c r="U222" i="1" s="1"/>
  <c r="P223" i="1"/>
  <c r="Q223" i="1"/>
  <c r="R223" i="1"/>
  <c r="T223" i="1"/>
  <c r="U223" i="1" s="1"/>
  <c r="P224" i="1"/>
  <c r="Q224" i="1"/>
  <c r="R224" i="1"/>
  <c r="T224" i="1"/>
  <c r="U224" i="1" s="1"/>
  <c r="P225" i="1"/>
  <c r="Q225" i="1"/>
  <c r="R225" i="1"/>
  <c r="T225" i="1"/>
  <c r="U225" i="1" s="1"/>
  <c r="P226" i="1"/>
  <c r="Q226" i="1"/>
  <c r="R226" i="1"/>
  <c r="T226" i="1"/>
  <c r="U226" i="1" s="1"/>
  <c r="P227" i="1"/>
  <c r="Q227" i="1"/>
  <c r="R227" i="1"/>
  <c r="T227" i="1"/>
  <c r="U227" i="1" s="1"/>
  <c r="P228" i="1"/>
  <c r="Q228" i="1"/>
  <c r="R228" i="1"/>
  <c r="T228" i="1"/>
  <c r="U228" i="1" s="1"/>
  <c r="P15" i="1"/>
  <c r="Q15" i="1"/>
  <c r="R15" i="1"/>
  <c r="T15" i="1"/>
  <c r="U15" i="1" s="1"/>
  <c r="P229" i="1"/>
  <c r="Q229" i="1"/>
  <c r="R229" i="1"/>
  <c r="T229" i="1"/>
  <c r="U229" i="1" s="1"/>
  <c r="P230" i="1"/>
  <c r="Q230" i="1"/>
  <c r="R230" i="1"/>
  <c r="T230" i="1"/>
  <c r="U230" i="1" s="1"/>
  <c r="P231" i="1"/>
  <c r="Q231" i="1"/>
  <c r="R231" i="1"/>
  <c r="T231" i="1"/>
  <c r="U231" i="1" s="1"/>
  <c r="P232" i="1"/>
  <c r="Q232" i="1"/>
  <c r="R232" i="1"/>
  <c r="T232" i="1"/>
  <c r="U232" i="1" s="1"/>
  <c r="P233" i="1"/>
  <c r="Q233" i="1"/>
  <c r="R233" i="1"/>
  <c r="T233" i="1"/>
  <c r="U233" i="1" s="1"/>
  <c r="P234" i="1"/>
  <c r="Q234" i="1"/>
  <c r="R234" i="1"/>
  <c r="T234" i="1"/>
  <c r="U234" i="1" s="1"/>
  <c r="P235" i="1"/>
  <c r="Q235" i="1"/>
  <c r="R235" i="1"/>
  <c r="T235" i="1"/>
  <c r="U235" i="1" s="1"/>
  <c r="P236" i="1"/>
  <c r="Q236" i="1"/>
  <c r="R236" i="1"/>
  <c r="T236" i="1"/>
  <c r="U236" i="1" s="1"/>
  <c r="P237" i="1"/>
  <c r="Q237" i="1"/>
  <c r="R237" i="1"/>
  <c r="T237" i="1"/>
  <c r="U237" i="1" s="1"/>
  <c r="P238" i="1"/>
  <c r="Q238" i="1"/>
  <c r="R238" i="1"/>
  <c r="T238" i="1"/>
  <c r="U238" i="1" s="1"/>
  <c r="P239" i="1"/>
  <c r="Q239" i="1"/>
  <c r="R239" i="1"/>
  <c r="T239" i="1"/>
  <c r="U239" i="1" s="1"/>
  <c r="P240" i="1"/>
  <c r="Q240" i="1"/>
  <c r="R240" i="1"/>
  <c r="T240" i="1"/>
  <c r="U240" i="1" s="1"/>
  <c r="P241" i="1"/>
  <c r="Q241" i="1"/>
  <c r="R241" i="1"/>
  <c r="T241" i="1"/>
  <c r="U241" i="1" s="1"/>
  <c r="P242" i="1"/>
  <c r="Q242" i="1"/>
  <c r="R242" i="1"/>
  <c r="T242" i="1"/>
  <c r="U242" i="1" s="1"/>
  <c r="P243" i="1"/>
  <c r="Q243" i="1"/>
  <c r="R243" i="1"/>
  <c r="T243" i="1"/>
  <c r="U243" i="1" s="1"/>
  <c r="P16" i="1"/>
  <c r="Q16" i="1"/>
  <c r="R16" i="1"/>
  <c r="T16" i="1"/>
  <c r="U16" i="1" s="1"/>
  <c r="P244" i="1"/>
  <c r="Q244" i="1"/>
  <c r="R244" i="1"/>
  <c r="T244" i="1"/>
  <c r="U244" i="1" s="1"/>
  <c r="P245" i="1"/>
  <c r="Q245" i="1"/>
  <c r="R245" i="1"/>
  <c r="T245" i="1"/>
  <c r="U245" i="1" s="1"/>
  <c r="P246" i="1"/>
  <c r="Q246" i="1"/>
  <c r="R246" i="1"/>
  <c r="T246" i="1"/>
  <c r="U246" i="1" s="1"/>
  <c r="P247" i="1"/>
  <c r="Q247" i="1"/>
  <c r="R247" i="1"/>
  <c r="T247" i="1"/>
  <c r="U247" i="1" s="1"/>
  <c r="P248" i="1"/>
  <c r="Q248" i="1"/>
  <c r="R248" i="1"/>
  <c r="T248" i="1"/>
  <c r="U248" i="1" s="1"/>
  <c r="P249" i="1"/>
  <c r="Q249" i="1"/>
  <c r="R249" i="1"/>
  <c r="T249" i="1"/>
  <c r="U249" i="1" s="1"/>
  <c r="P250" i="1"/>
  <c r="Q250" i="1"/>
  <c r="R250" i="1"/>
  <c r="T250" i="1"/>
  <c r="U250" i="1" s="1"/>
  <c r="P251" i="1"/>
  <c r="Q251" i="1"/>
  <c r="R251" i="1"/>
  <c r="T251" i="1"/>
  <c r="U251" i="1" s="1"/>
  <c r="P252" i="1"/>
  <c r="Q252" i="1"/>
  <c r="R252" i="1"/>
  <c r="T252" i="1"/>
  <c r="U252" i="1" s="1"/>
  <c r="P254" i="1"/>
  <c r="Q254" i="1"/>
  <c r="R254" i="1"/>
  <c r="T254" i="1"/>
  <c r="U254" i="1" s="1"/>
  <c r="P255" i="1"/>
  <c r="Q255" i="1"/>
  <c r="R255" i="1"/>
  <c r="T255" i="1"/>
  <c r="U255" i="1" s="1"/>
  <c r="P256" i="1"/>
  <c r="Q256" i="1"/>
  <c r="R256" i="1"/>
  <c r="T256" i="1"/>
  <c r="U256" i="1" s="1"/>
  <c r="P257" i="1"/>
  <c r="Q257" i="1"/>
  <c r="R257" i="1"/>
  <c r="T257" i="1"/>
  <c r="U257" i="1" s="1"/>
  <c r="P258" i="1"/>
  <c r="Q258" i="1"/>
  <c r="R258" i="1"/>
  <c r="T258" i="1"/>
  <c r="U258" i="1" s="1"/>
  <c r="P259" i="1"/>
  <c r="Q259" i="1"/>
  <c r="R259" i="1"/>
  <c r="T259" i="1"/>
  <c r="U259" i="1" s="1"/>
  <c r="P260" i="1"/>
  <c r="Q260" i="1"/>
  <c r="R260" i="1"/>
  <c r="T260" i="1"/>
  <c r="U260" i="1" s="1"/>
  <c r="P261" i="1"/>
  <c r="Q261" i="1"/>
  <c r="R261" i="1"/>
  <c r="T261" i="1"/>
  <c r="U261" i="1" s="1"/>
  <c r="P262" i="1"/>
  <c r="Q262" i="1"/>
  <c r="R262" i="1"/>
  <c r="T262" i="1"/>
  <c r="U262" i="1" s="1"/>
  <c r="P263" i="1"/>
  <c r="Q263" i="1"/>
  <c r="R263" i="1"/>
  <c r="T263" i="1"/>
  <c r="U263" i="1" s="1"/>
  <c r="P264" i="1"/>
  <c r="Q264" i="1"/>
  <c r="R264" i="1"/>
  <c r="T264" i="1"/>
  <c r="U264" i="1" s="1"/>
  <c r="P265" i="1"/>
  <c r="Q265" i="1"/>
  <c r="R265" i="1"/>
  <c r="T265" i="1"/>
  <c r="U265" i="1" s="1"/>
  <c r="P266" i="1"/>
  <c r="Q266" i="1"/>
  <c r="R266" i="1"/>
  <c r="T266" i="1"/>
  <c r="U266" i="1" s="1"/>
  <c r="P267" i="1"/>
  <c r="Q267" i="1"/>
  <c r="R267" i="1"/>
  <c r="T267" i="1"/>
  <c r="U267" i="1" s="1"/>
  <c r="P268" i="1"/>
  <c r="Q268" i="1"/>
  <c r="R268" i="1"/>
  <c r="T268" i="1"/>
  <c r="U268" i="1" s="1"/>
  <c r="P269" i="1"/>
  <c r="Q269" i="1"/>
  <c r="R269" i="1"/>
  <c r="T269" i="1"/>
  <c r="U269" i="1" s="1"/>
  <c r="P270" i="1"/>
  <c r="Q270" i="1"/>
  <c r="R270" i="1"/>
  <c r="T270" i="1"/>
  <c r="U270" i="1" s="1"/>
  <c r="P271" i="1"/>
  <c r="Q271" i="1"/>
  <c r="R271" i="1"/>
  <c r="T271" i="1"/>
  <c r="U271" i="1" s="1"/>
  <c r="P272" i="1"/>
  <c r="Q272" i="1"/>
  <c r="R272" i="1"/>
  <c r="T272" i="1"/>
  <c r="U272" i="1" s="1"/>
  <c r="P273" i="1"/>
  <c r="Q273" i="1"/>
  <c r="R273" i="1"/>
  <c r="T273" i="1"/>
  <c r="U273" i="1" s="1"/>
  <c r="P274" i="1"/>
  <c r="Q274" i="1"/>
  <c r="R274" i="1"/>
  <c r="T274" i="1"/>
  <c r="U274" i="1" s="1"/>
  <c r="P275" i="1"/>
  <c r="Q275" i="1"/>
  <c r="R275" i="1"/>
  <c r="T275" i="1"/>
  <c r="U275" i="1" s="1"/>
  <c r="P276" i="1"/>
  <c r="Q276" i="1"/>
  <c r="R276" i="1"/>
  <c r="T276" i="1"/>
  <c r="U276" i="1" s="1"/>
  <c r="P277" i="1"/>
  <c r="Q277" i="1"/>
  <c r="R277" i="1"/>
  <c r="T277" i="1"/>
  <c r="U277" i="1" s="1"/>
  <c r="P278" i="1"/>
  <c r="Q278" i="1"/>
  <c r="R278" i="1"/>
  <c r="T278" i="1"/>
  <c r="U278" i="1" s="1"/>
  <c r="P279" i="1"/>
  <c r="Q279" i="1"/>
  <c r="R279" i="1"/>
  <c r="T279" i="1"/>
  <c r="U279" i="1" s="1"/>
  <c r="P280" i="1"/>
  <c r="Q280" i="1"/>
  <c r="R280" i="1"/>
  <c r="T280" i="1"/>
  <c r="U280" i="1" s="1"/>
  <c r="P281" i="1"/>
  <c r="Q281" i="1"/>
  <c r="R281" i="1"/>
  <c r="T281" i="1"/>
  <c r="U281" i="1" s="1"/>
  <c r="P282" i="1"/>
  <c r="Q282" i="1"/>
  <c r="R282" i="1"/>
  <c r="T282" i="1"/>
  <c r="U282" i="1" s="1"/>
  <c r="P283" i="1"/>
  <c r="Q283" i="1"/>
  <c r="R283" i="1"/>
  <c r="T283" i="1"/>
  <c r="U283" i="1" s="1"/>
  <c r="P284" i="1"/>
  <c r="Q284" i="1"/>
  <c r="R284" i="1"/>
  <c r="T284" i="1"/>
  <c r="U284" i="1" s="1"/>
  <c r="P285" i="1"/>
  <c r="Q285" i="1"/>
  <c r="R285" i="1"/>
  <c r="T285" i="1"/>
  <c r="U285" i="1" s="1"/>
  <c r="P286" i="1"/>
  <c r="Q286" i="1"/>
  <c r="R286" i="1"/>
  <c r="T286" i="1"/>
  <c r="U286" i="1" s="1"/>
  <c r="P287" i="1"/>
  <c r="Q287" i="1"/>
  <c r="R287" i="1"/>
  <c r="T287" i="1"/>
  <c r="U287" i="1" s="1"/>
  <c r="P288" i="1"/>
  <c r="Q288" i="1"/>
  <c r="R288" i="1"/>
  <c r="T288" i="1"/>
  <c r="U288" i="1" s="1"/>
  <c r="P289" i="1"/>
  <c r="Q289" i="1"/>
  <c r="R289" i="1"/>
  <c r="T289" i="1"/>
  <c r="U289" i="1" s="1"/>
  <c r="P290" i="1"/>
  <c r="Q290" i="1"/>
  <c r="R290" i="1"/>
  <c r="T290" i="1"/>
  <c r="U290" i="1" s="1"/>
  <c r="P291" i="1"/>
  <c r="Q291" i="1"/>
  <c r="R291" i="1"/>
  <c r="T291" i="1"/>
  <c r="U291" i="1" s="1"/>
  <c r="P292" i="1"/>
  <c r="Q292" i="1"/>
  <c r="R292" i="1"/>
  <c r="T292" i="1"/>
  <c r="U292" i="1" s="1"/>
  <c r="P293" i="1"/>
  <c r="Q293" i="1"/>
  <c r="R293" i="1"/>
  <c r="T293" i="1"/>
  <c r="U293" i="1" s="1"/>
  <c r="P294" i="1"/>
  <c r="Q294" i="1"/>
  <c r="R294" i="1"/>
  <c r="T294" i="1"/>
  <c r="U294" i="1" s="1"/>
  <c r="P295" i="1"/>
  <c r="Q295" i="1"/>
  <c r="R295" i="1"/>
  <c r="T295" i="1"/>
  <c r="U295" i="1" s="1"/>
  <c r="P296" i="1"/>
  <c r="Q296" i="1"/>
  <c r="R296" i="1"/>
  <c r="T296" i="1"/>
  <c r="U296" i="1" s="1"/>
  <c r="P297" i="1"/>
  <c r="Q297" i="1"/>
  <c r="R297" i="1"/>
  <c r="T297" i="1"/>
  <c r="U297" i="1" s="1"/>
  <c r="P298" i="1"/>
  <c r="Q298" i="1"/>
  <c r="R298" i="1"/>
  <c r="T298" i="1"/>
  <c r="U298" i="1" s="1"/>
  <c r="P299" i="1"/>
  <c r="Q299" i="1"/>
  <c r="R299" i="1"/>
  <c r="T299" i="1"/>
  <c r="U299" i="1" s="1"/>
  <c r="P300" i="1"/>
  <c r="Q300" i="1"/>
  <c r="R300" i="1"/>
  <c r="T300" i="1"/>
  <c r="U300" i="1" s="1"/>
  <c r="P301" i="1"/>
  <c r="Q301" i="1"/>
  <c r="R301" i="1"/>
  <c r="T301" i="1"/>
  <c r="U301" i="1" s="1"/>
  <c r="P302" i="1"/>
  <c r="Q302" i="1"/>
  <c r="R302" i="1"/>
  <c r="T302" i="1"/>
  <c r="U302" i="1" s="1"/>
  <c r="P303" i="1"/>
  <c r="Q303" i="1"/>
  <c r="R303" i="1"/>
  <c r="T303" i="1"/>
  <c r="U303" i="1" s="1"/>
  <c r="P304" i="1"/>
  <c r="Q304" i="1"/>
  <c r="R304" i="1"/>
  <c r="T304" i="1"/>
  <c r="U304" i="1" s="1"/>
  <c r="P305" i="1"/>
  <c r="Q305" i="1"/>
  <c r="R305" i="1"/>
  <c r="T305" i="1"/>
  <c r="U305" i="1" s="1"/>
  <c r="P306" i="1"/>
  <c r="Q306" i="1"/>
  <c r="R306" i="1"/>
  <c r="T306" i="1"/>
  <c r="U306" i="1" s="1"/>
  <c r="P307" i="1"/>
  <c r="Q307" i="1"/>
  <c r="R307" i="1"/>
  <c r="T307" i="1"/>
  <c r="U307" i="1" s="1"/>
  <c r="P308" i="1"/>
  <c r="Q308" i="1"/>
  <c r="R308" i="1"/>
  <c r="T308" i="1"/>
  <c r="U308" i="1" s="1"/>
  <c r="P309" i="1"/>
  <c r="Q309" i="1"/>
  <c r="R309" i="1"/>
  <c r="T309" i="1"/>
  <c r="U309" i="1" s="1"/>
  <c r="P310" i="1"/>
  <c r="Q310" i="1"/>
  <c r="R310" i="1"/>
  <c r="T310" i="1"/>
  <c r="U310" i="1" s="1"/>
  <c r="P311" i="1"/>
  <c r="Q311" i="1"/>
  <c r="R311" i="1"/>
  <c r="T311" i="1"/>
  <c r="U311" i="1" s="1"/>
  <c r="P312" i="1"/>
  <c r="Q312" i="1"/>
  <c r="R312" i="1"/>
  <c r="T312" i="1"/>
  <c r="U312" i="1" s="1"/>
  <c r="P313" i="1"/>
  <c r="Q313" i="1"/>
  <c r="R313" i="1"/>
  <c r="T313" i="1"/>
  <c r="U313" i="1" s="1"/>
  <c r="P314" i="1"/>
  <c r="Q314" i="1"/>
  <c r="R314" i="1"/>
  <c r="T314" i="1"/>
  <c r="U314" i="1" s="1"/>
  <c r="P315" i="1"/>
  <c r="Q315" i="1"/>
  <c r="R315" i="1"/>
  <c r="T315" i="1"/>
  <c r="U315" i="1" s="1"/>
  <c r="P316" i="1"/>
  <c r="Q316" i="1"/>
  <c r="R316" i="1"/>
  <c r="T316" i="1"/>
  <c r="U316" i="1" s="1"/>
  <c r="P317" i="1"/>
  <c r="Q317" i="1"/>
  <c r="R317" i="1"/>
  <c r="T317" i="1"/>
  <c r="U317" i="1" s="1"/>
  <c r="P318" i="1"/>
  <c r="Q318" i="1"/>
  <c r="R318" i="1"/>
  <c r="T318" i="1"/>
  <c r="U318" i="1" s="1"/>
  <c r="P319" i="1"/>
  <c r="Q319" i="1"/>
  <c r="R319" i="1"/>
  <c r="T319" i="1"/>
  <c r="U319" i="1" s="1"/>
  <c r="P320" i="1"/>
  <c r="Q320" i="1"/>
  <c r="R320" i="1"/>
  <c r="T320" i="1"/>
  <c r="U320" i="1" s="1"/>
  <c r="P321" i="1"/>
  <c r="Q321" i="1"/>
  <c r="R321" i="1"/>
  <c r="T321" i="1"/>
  <c r="U321" i="1" s="1"/>
  <c r="P322" i="1"/>
  <c r="Q322" i="1"/>
  <c r="R322" i="1"/>
  <c r="T322" i="1"/>
  <c r="U322" i="1" s="1"/>
  <c r="P323" i="1"/>
  <c r="Q323" i="1"/>
  <c r="R323" i="1"/>
  <c r="T323" i="1"/>
  <c r="U323" i="1" s="1"/>
  <c r="P324" i="1"/>
  <c r="Q324" i="1"/>
  <c r="R324" i="1"/>
  <c r="T324" i="1"/>
  <c r="U324" i="1" s="1"/>
  <c r="P325" i="1"/>
  <c r="Q325" i="1"/>
  <c r="R325" i="1"/>
  <c r="T325" i="1"/>
  <c r="U325" i="1" s="1"/>
  <c r="P326" i="1"/>
  <c r="Q326" i="1"/>
  <c r="R326" i="1"/>
  <c r="T326" i="1"/>
  <c r="U326" i="1" s="1"/>
  <c r="P327" i="1"/>
  <c r="Q327" i="1"/>
  <c r="R327" i="1"/>
  <c r="T327" i="1"/>
  <c r="U327" i="1" s="1"/>
  <c r="P328" i="1"/>
  <c r="Q328" i="1"/>
  <c r="R328" i="1"/>
  <c r="T328" i="1"/>
  <c r="U328" i="1" s="1"/>
  <c r="P329" i="1"/>
  <c r="Q329" i="1"/>
  <c r="R329" i="1"/>
  <c r="T329" i="1"/>
  <c r="U329" i="1" s="1"/>
  <c r="P330" i="1"/>
  <c r="Q330" i="1"/>
  <c r="R330" i="1"/>
  <c r="T330" i="1"/>
  <c r="U330" i="1" s="1"/>
  <c r="P331" i="1"/>
  <c r="Q331" i="1"/>
  <c r="R331" i="1"/>
  <c r="T331" i="1"/>
  <c r="U331" i="1" s="1"/>
  <c r="P332" i="1"/>
  <c r="Q332" i="1"/>
  <c r="R332" i="1"/>
  <c r="T332" i="1"/>
  <c r="U332" i="1" s="1"/>
  <c r="P333" i="1"/>
  <c r="Q333" i="1"/>
  <c r="R333" i="1"/>
  <c r="T333" i="1"/>
  <c r="U333" i="1" s="1"/>
  <c r="P334" i="1"/>
  <c r="Q334" i="1"/>
  <c r="R334" i="1"/>
  <c r="T334" i="1"/>
  <c r="U334" i="1" s="1"/>
  <c r="P335" i="1"/>
  <c r="Q335" i="1"/>
  <c r="R335" i="1"/>
  <c r="T335" i="1"/>
  <c r="U335" i="1" s="1"/>
  <c r="P336" i="1"/>
  <c r="Q336" i="1"/>
  <c r="R336" i="1"/>
  <c r="T336" i="1"/>
  <c r="U336" i="1" s="1"/>
  <c r="P337" i="1"/>
  <c r="Q337" i="1"/>
  <c r="R337" i="1"/>
  <c r="T337" i="1"/>
  <c r="U337" i="1" s="1"/>
  <c r="P338" i="1"/>
  <c r="Q338" i="1"/>
  <c r="R338" i="1"/>
  <c r="T338" i="1"/>
  <c r="U338" i="1" s="1"/>
  <c r="P339" i="1"/>
  <c r="Q339" i="1"/>
  <c r="R339" i="1"/>
  <c r="T339" i="1"/>
  <c r="U339" i="1" s="1"/>
  <c r="P340" i="1"/>
  <c r="Q340" i="1"/>
  <c r="R340" i="1"/>
  <c r="T340" i="1"/>
  <c r="U340" i="1" s="1"/>
  <c r="P341" i="1"/>
  <c r="Q341" i="1"/>
  <c r="R341" i="1"/>
  <c r="T341" i="1"/>
  <c r="U341" i="1" s="1"/>
  <c r="P342" i="1"/>
  <c r="Q342" i="1"/>
  <c r="R342" i="1"/>
  <c r="T342" i="1"/>
  <c r="U342" i="1" s="1"/>
  <c r="P343" i="1"/>
  <c r="Q343" i="1"/>
  <c r="R343" i="1"/>
  <c r="T343" i="1"/>
  <c r="U343" i="1" s="1"/>
  <c r="P344" i="1"/>
  <c r="Q344" i="1"/>
  <c r="R344" i="1"/>
  <c r="T344" i="1"/>
  <c r="U344" i="1" s="1"/>
  <c r="P345" i="1"/>
  <c r="Q345" i="1"/>
  <c r="R345" i="1"/>
  <c r="T345" i="1"/>
  <c r="U345" i="1" s="1"/>
  <c r="P346" i="1"/>
  <c r="Q346" i="1"/>
  <c r="R346" i="1"/>
  <c r="T346" i="1"/>
  <c r="U346" i="1" s="1"/>
  <c r="P347" i="1"/>
  <c r="Q347" i="1"/>
  <c r="R347" i="1"/>
  <c r="T347" i="1"/>
  <c r="U347" i="1" s="1"/>
  <c r="P348" i="1"/>
  <c r="Q348" i="1"/>
  <c r="R348" i="1"/>
  <c r="T348" i="1"/>
  <c r="U348" i="1" s="1"/>
  <c r="P349" i="1"/>
  <c r="Q349" i="1"/>
  <c r="R349" i="1"/>
  <c r="T349" i="1"/>
  <c r="U349" i="1" s="1"/>
  <c r="P350" i="1"/>
  <c r="Q350" i="1"/>
  <c r="R350" i="1"/>
  <c r="T350" i="1"/>
  <c r="U350" i="1" s="1"/>
  <c r="P351" i="1"/>
  <c r="Q351" i="1"/>
  <c r="R351" i="1"/>
  <c r="T351" i="1"/>
  <c r="U351" i="1" s="1"/>
  <c r="P352" i="1"/>
  <c r="Q352" i="1"/>
  <c r="R352" i="1"/>
  <c r="T352" i="1"/>
  <c r="U352" i="1" s="1"/>
  <c r="P353" i="1"/>
  <c r="Q353" i="1"/>
  <c r="R353" i="1"/>
  <c r="T353" i="1"/>
  <c r="U353" i="1" s="1"/>
  <c r="P354" i="1"/>
  <c r="Q354" i="1"/>
  <c r="R354" i="1"/>
  <c r="T354" i="1"/>
  <c r="U354" i="1" s="1"/>
  <c r="P355" i="1"/>
  <c r="Q355" i="1"/>
  <c r="R355" i="1"/>
  <c r="T355" i="1"/>
  <c r="U355" i="1" s="1"/>
  <c r="P356" i="1"/>
  <c r="Q356" i="1"/>
  <c r="R356" i="1"/>
  <c r="T356" i="1"/>
  <c r="U356" i="1" s="1"/>
  <c r="P357" i="1"/>
  <c r="Q357" i="1"/>
  <c r="R357" i="1"/>
  <c r="T357" i="1"/>
  <c r="U357" i="1" s="1"/>
  <c r="P358" i="1"/>
  <c r="Q358" i="1"/>
  <c r="R358" i="1"/>
  <c r="T358" i="1"/>
  <c r="U358" i="1" s="1"/>
  <c r="P359" i="1"/>
  <c r="Q359" i="1"/>
  <c r="R359" i="1"/>
  <c r="T359" i="1"/>
  <c r="U359" i="1" s="1"/>
  <c r="P360" i="1"/>
  <c r="Q360" i="1"/>
  <c r="R360" i="1"/>
  <c r="T360" i="1"/>
  <c r="U360" i="1" s="1"/>
  <c r="P361" i="1"/>
  <c r="Q361" i="1"/>
  <c r="R361" i="1"/>
  <c r="T361" i="1"/>
  <c r="U361" i="1" s="1"/>
  <c r="P362" i="1"/>
  <c r="Q362" i="1"/>
  <c r="R362" i="1"/>
  <c r="T362" i="1"/>
  <c r="U362" i="1" s="1"/>
  <c r="P364" i="1"/>
  <c r="Q364" i="1"/>
  <c r="R364" i="1"/>
  <c r="T364" i="1"/>
  <c r="U364" i="1" s="1"/>
  <c r="P365" i="1"/>
  <c r="Q365" i="1"/>
  <c r="R365" i="1"/>
  <c r="T365" i="1"/>
  <c r="U365" i="1" s="1"/>
  <c r="P366" i="1"/>
  <c r="Q366" i="1"/>
  <c r="R366" i="1"/>
  <c r="T366" i="1"/>
  <c r="U366" i="1" s="1"/>
  <c r="P367" i="1"/>
  <c r="Q367" i="1"/>
  <c r="R367" i="1"/>
  <c r="T367" i="1"/>
  <c r="U367" i="1" s="1"/>
  <c r="P368" i="1"/>
  <c r="Q368" i="1"/>
  <c r="R368" i="1"/>
  <c r="T368" i="1"/>
  <c r="U368" i="1" s="1"/>
  <c r="P369" i="1"/>
  <c r="Q369" i="1"/>
  <c r="R369" i="1"/>
  <c r="T369" i="1"/>
  <c r="U369" i="1" s="1"/>
  <c r="P370" i="1"/>
  <c r="Q370" i="1"/>
  <c r="R370" i="1"/>
  <c r="T370" i="1"/>
  <c r="U370" i="1" s="1"/>
  <c r="P371" i="1"/>
  <c r="Q371" i="1"/>
  <c r="R371" i="1"/>
  <c r="T371" i="1"/>
  <c r="U371" i="1" s="1"/>
  <c r="P372" i="1"/>
  <c r="Q372" i="1"/>
  <c r="R372" i="1"/>
  <c r="T372" i="1"/>
  <c r="U372" i="1" s="1"/>
  <c r="P373" i="1"/>
  <c r="Q373" i="1"/>
  <c r="R373" i="1"/>
  <c r="T373" i="1"/>
  <c r="U373" i="1" s="1"/>
  <c r="P374" i="1"/>
  <c r="Q374" i="1"/>
  <c r="R374" i="1"/>
  <c r="T374" i="1"/>
  <c r="U374" i="1" s="1"/>
  <c r="P375" i="1"/>
  <c r="Q375" i="1"/>
  <c r="R375" i="1"/>
  <c r="T375" i="1"/>
  <c r="U375" i="1" s="1"/>
  <c r="P376" i="1"/>
  <c r="Q376" i="1"/>
  <c r="R376" i="1"/>
  <c r="T376" i="1"/>
  <c r="U376" i="1" s="1"/>
  <c r="P377" i="1"/>
  <c r="Q377" i="1"/>
  <c r="R377" i="1"/>
  <c r="T377" i="1"/>
  <c r="U377" i="1" s="1"/>
  <c r="P378" i="1"/>
  <c r="Q378" i="1"/>
  <c r="R378" i="1"/>
  <c r="T378" i="1"/>
  <c r="U378" i="1" s="1"/>
  <c r="P379" i="1"/>
  <c r="Q379" i="1"/>
  <c r="R379" i="1"/>
  <c r="T379" i="1"/>
  <c r="U379" i="1" s="1"/>
  <c r="P380" i="1"/>
  <c r="Q380" i="1"/>
  <c r="R380" i="1"/>
  <c r="T380" i="1"/>
  <c r="U380" i="1" s="1"/>
  <c r="P381" i="1"/>
  <c r="Q381" i="1"/>
  <c r="R381" i="1"/>
  <c r="T381" i="1"/>
  <c r="U381" i="1" s="1"/>
  <c r="P382" i="1"/>
  <c r="Q382" i="1"/>
  <c r="R382" i="1"/>
  <c r="T382" i="1"/>
  <c r="U382" i="1" s="1"/>
  <c r="P383" i="1"/>
  <c r="Q383" i="1"/>
  <c r="R383" i="1"/>
  <c r="T383" i="1"/>
  <c r="U383" i="1" s="1"/>
  <c r="P384" i="1"/>
  <c r="Q384" i="1"/>
  <c r="R384" i="1"/>
  <c r="T384" i="1"/>
  <c r="U384" i="1" s="1"/>
  <c r="P385" i="1"/>
  <c r="Q385" i="1"/>
  <c r="R385" i="1"/>
  <c r="T385" i="1"/>
  <c r="U385" i="1" s="1"/>
  <c r="P386" i="1"/>
  <c r="Q386" i="1"/>
  <c r="R386" i="1"/>
  <c r="T386" i="1"/>
  <c r="U386" i="1" s="1"/>
  <c r="P387" i="1"/>
  <c r="Q387" i="1"/>
  <c r="R387" i="1"/>
  <c r="T387" i="1"/>
  <c r="U387" i="1" s="1"/>
  <c r="P388" i="1"/>
  <c r="Q388" i="1"/>
  <c r="R388" i="1"/>
  <c r="T388" i="1"/>
  <c r="U388" i="1" s="1"/>
  <c r="P389" i="1"/>
  <c r="Q389" i="1"/>
  <c r="R389" i="1"/>
  <c r="T389" i="1"/>
  <c r="U389" i="1" s="1"/>
  <c r="P390" i="1"/>
  <c r="Q390" i="1"/>
  <c r="R390" i="1"/>
  <c r="T390" i="1"/>
  <c r="U390" i="1" s="1"/>
  <c r="P391" i="1"/>
  <c r="Q391" i="1"/>
  <c r="R391" i="1"/>
  <c r="T391" i="1"/>
  <c r="U391" i="1" s="1"/>
  <c r="P392" i="1"/>
  <c r="Q392" i="1"/>
  <c r="R392" i="1"/>
  <c r="T392" i="1"/>
  <c r="U392" i="1" s="1"/>
  <c r="P393" i="1"/>
  <c r="Q393" i="1"/>
  <c r="R393" i="1"/>
  <c r="T393" i="1"/>
  <c r="U393" i="1" s="1"/>
  <c r="P394" i="1"/>
  <c r="Q394" i="1"/>
  <c r="R394" i="1"/>
  <c r="T394" i="1"/>
  <c r="U394" i="1" s="1"/>
  <c r="P395" i="1"/>
  <c r="Q395" i="1"/>
  <c r="R395" i="1"/>
  <c r="T395" i="1"/>
  <c r="U395" i="1" s="1"/>
  <c r="P396" i="1"/>
  <c r="Q396" i="1"/>
  <c r="R396" i="1"/>
  <c r="T396" i="1"/>
  <c r="U396" i="1" s="1"/>
  <c r="P397" i="1"/>
  <c r="Q397" i="1"/>
  <c r="R397" i="1"/>
  <c r="T397" i="1"/>
  <c r="U397" i="1" s="1"/>
  <c r="P398" i="1"/>
  <c r="Q398" i="1"/>
  <c r="R398" i="1"/>
  <c r="T398" i="1"/>
  <c r="U398" i="1" s="1"/>
  <c r="P399" i="1"/>
  <c r="Q399" i="1"/>
  <c r="R399" i="1"/>
  <c r="T399" i="1"/>
  <c r="U399" i="1" s="1"/>
  <c r="P400" i="1"/>
  <c r="Q400" i="1"/>
  <c r="R400" i="1"/>
  <c r="T400" i="1"/>
  <c r="U400" i="1" s="1"/>
  <c r="P401" i="1"/>
  <c r="Q401" i="1"/>
  <c r="R401" i="1"/>
  <c r="T401" i="1"/>
  <c r="U401" i="1" s="1"/>
  <c r="P402" i="1"/>
  <c r="Q402" i="1"/>
  <c r="R402" i="1"/>
  <c r="T402" i="1"/>
  <c r="U402" i="1" s="1"/>
  <c r="P403" i="1"/>
  <c r="Q403" i="1"/>
  <c r="R403" i="1"/>
  <c r="T403" i="1"/>
  <c r="U403" i="1" s="1"/>
  <c r="P404" i="1"/>
  <c r="Q404" i="1"/>
  <c r="R404" i="1"/>
  <c r="T404" i="1"/>
  <c r="U404" i="1" s="1"/>
  <c r="P405" i="1"/>
  <c r="Q405" i="1"/>
  <c r="R405" i="1"/>
  <c r="T405" i="1"/>
  <c r="U405" i="1" s="1"/>
  <c r="P406" i="1"/>
  <c r="Q406" i="1"/>
  <c r="R406" i="1"/>
  <c r="T406" i="1"/>
  <c r="U406" i="1" s="1"/>
  <c r="P407" i="1"/>
  <c r="Q407" i="1"/>
  <c r="R407" i="1"/>
  <c r="T407" i="1"/>
  <c r="U407" i="1" s="1"/>
  <c r="P408" i="1"/>
  <c r="Q408" i="1"/>
  <c r="R408" i="1"/>
  <c r="T408" i="1"/>
  <c r="U408" i="1" s="1"/>
  <c r="P409" i="1"/>
  <c r="Q409" i="1"/>
  <c r="R409" i="1"/>
  <c r="T409" i="1"/>
  <c r="U409" i="1" s="1"/>
  <c r="P410" i="1"/>
  <c r="Q410" i="1"/>
  <c r="R410" i="1"/>
  <c r="T410" i="1"/>
  <c r="U410" i="1" s="1"/>
  <c r="P411" i="1"/>
  <c r="Q411" i="1"/>
  <c r="R411" i="1"/>
  <c r="T411" i="1"/>
  <c r="U411" i="1" s="1"/>
  <c r="P412" i="1"/>
  <c r="Q412" i="1"/>
  <c r="R412" i="1"/>
  <c r="T412" i="1"/>
  <c r="U412" i="1" s="1"/>
  <c r="P413" i="1"/>
  <c r="Q413" i="1"/>
  <c r="R413" i="1"/>
  <c r="T413" i="1"/>
  <c r="U413" i="1" s="1"/>
  <c r="P414" i="1"/>
  <c r="Q414" i="1"/>
  <c r="R414" i="1"/>
  <c r="T414" i="1"/>
  <c r="U414" i="1" s="1"/>
  <c r="P415" i="1"/>
  <c r="Q415" i="1"/>
  <c r="R415" i="1"/>
  <c r="T415" i="1"/>
  <c r="U415" i="1" s="1"/>
  <c r="P416" i="1"/>
  <c r="Q416" i="1"/>
  <c r="R416" i="1"/>
  <c r="T416" i="1"/>
  <c r="U416" i="1" s="1"/>
  <c r="P417" i="1"/>
  <c r="Q417" i="1"/>
  <c r="R417" i="1"/>
  <c r="T417" i="1"/>
  <c r="U417" i="1" s="1"/>
  <c r="P418" i="1"/>
  <c r="Q418" i="1"/>
  <c r="R418" i="1"/>
  <c r="T418" i="1"/>
  <c r="U418" i="1" s="1"/>
  <c r="P419" i="1"/>
  <c r="Q419" i="1"/>
  <c r="R419" i="1"/>
  <c r="T419" i="1"/>
  <c r="U419" i="1" s="1"/>
  <c r="P420" i="1"/>
  <c r="Q420" i="1"/>
  <c r="R420" i="1"/>
  <c r="T420" i="1"/>
  <c r="U420" i="1" s="1"/>
  <c r="P421" i="1"/>
  <c r="Q421" i="1"/>
  <c r="R421" i="1"/>
  <c r="T421" i="1"/>
  <c r="U421" i="1" s="1"/>
  <c r="P422" i="1"/>
  <c r="Q422" i="1"/>
  <c r="R422" i="1"/>
  <c r="T422" i="1"/>
  <c r="U422" i="1" s="1"/>
  <c r="P423" i="1"/>
  <c r="Q423" i="1"/>
  <c r="R423" i="1"/>
  <c r="T423" i="1"/>
  <c r="U423" i="1" s="1"/>
  <c r="P424" i="1"/>
  <c r="Q424" i="1"/>
  <c r="R424" i="1"/>
  <c r="T424" i="1"/>
  <c r="U424" i="1" s="1"/>
  <c r="P425" i="1"/>
  <c r="Q425" i="1"/>
  <c r="R425" i="1"/>
  <c r="T425" i="1"/>
  <c r="U425" i="1" s="1"/>
  <c r="P426" i="1"/>
  <c r="Q426" i="1"/>
  <c r="R426" i="1"/>
  <c r="T426" i="1"/>
  <c r="U426" i="1" s="1"/>
  <c r="P427" i="1"/>
  <c r="Q427" i="1"/>
  <c r="R427" i="1"/>
  <c r="T427" i="1"/>
  <c r="U427" i="1" s="1"/>
  <c r="P428" i="1"/>
  <c r="Q428" i="1"/>
  <c r="R428" i="1"/>
  <c r="T428" i="1"/>
  <c r="U428" i="1" s="1"/>
  <c r="P429" i="1"/>
  <c r="Q429" i="1"/>
  <c r="R429" i="1"/>
  <c r="T429" i="1"/>
  <c r="U429" i="1" s="1"/>
  <c r="P430" i="1"/>
  <c r="Q430" i="1"/>
  <c r="R430" i="1"/>
  <c r="T430" i="1"/>
  <c r="U430" i="1" s="1"/>
  <c r="P431" i="1"/>
  <c r="Q431" i="1"/>
  <c r="R431" i="1"/>
  <c r="T431" i="1"/>
  <c r="U431" i="1" s="1"/>
  <c r="P432" i="1"/>
  <c r="Q432" i="1"/>
  <c r="R432" i="1"/>
  <c r="T432" i="1"/>
  <c r="U432" i="1" s="1"/>
  <c r="P433" i="1"/>
  <c r="Q433" i="1"/>
  <c r="R433" i="1"/>
  <c r="T433" i="1"/>
  <c r="U433" i="1" s="1"/>
  <c r="P434" i="1"/>
  <c r="Q434" i="1"/>
  <c r="R434" i="1"/>
  <c r="T434" i="1"/>
  <c r="U434" i="1" s="1"/>
  <c r="P435" i="1"/>
  <c r="Q435" i="1"/>
  <c r="R435" i="1"/>
  <c r="T435" i="1"/>
  <c r="U435" i="1" s="1"/>
  <c r="P436" i="1"/>
  <c r="Q436" i="1"/>
  <c r="R436" i="1"/>
  <c r="T436" i="1"/>
  <c r="U436" i="1" s="1"/>
  <c r="P437" i="1"/>
  <c r="Q437" i="1"/>
  <c r="R437" i="1"/>
  <c r="T437" i="1"/>
  <c r="U437" i="1" s="1"/>
  <c r="P438" i="1"/>
  <c r="Q438" i="1"/>
  <c r="R438" i="1"/>
  <c r="T438" i="1"/>
  <c r="U438" i="1" s="1"/>
  <c r="P439" i="1"/>
  <c r="Q439" i="1"/>
  <c r="R439" i="1"/>
  <c r="T439" i="1"/>
  <c r="U439" i="1" s="1"/>
  <c r="P440" i="1"/>
  <c r="Q440" i="1"/>
  <c r="R440" i="1"/>
  <c r="T440" i="1"/>
  <c r="U440" i="1" s="1"/>
  <c r="P441" i="1"/>
  <c r="Q441" i="1"/>
  <c r="R441" i="1"/>
  <c r="T441" i="1"/>
  <c r="U441" i="1" s="1"/>
  <c r="P442" i="1"/>
  <c r="Q442" i="1"/>
  <c r="R442" i="1"/>
  <c r="T442" i="1"/>
  <c r="U442" i="1" s="1"/>
  <c r="P443" i="1"/>
  <c r="Q443" i="1"/>
  <c r="R443" i="1"/>
  <c r="T443" i="1"/>
  <c r="U443" i="1" s="1"/>
  <c r="P444" i="1"/>
  <c r="Q444" i="1"/>
  <c r="R444" i="1"/>
  <c r="T444" i="1"/>
  <c r="U444" i="1" s="1"/>
  <c r="P445" i="1"/>
  <c r="Q445" i="1"/>
  <c r="R445" i="1"/>
  <c r="T445" i="1"/>
  <c r="U445" i="1" s="1"/>
  <c r="P446" i="1"/>
  <c r="Q446" i="1"/>
  <c r="R446" i="1"/>
  <c r="T446" i="1"/>
  <c r="U446" i="1" s="1"/>
  <c r="P447" i="1"/>
  <c r="Q447" i="1"/>
  <c r="R447" i="1"/>
  <c r="T447" i="1"/>
  <c r="U447" i="1" s="1"/>
  <c r="P448" i="1"/>
  <c r="Q448" i="1"/>
  <c r="R448" i="1"/>
  <c r="T448" i="1"/>
  <c r="U448" i="1" s="1"/>
  <c r="P449" i="1"/>
  <c r="Q449" i="1"/>
  <c r="R449" i="1"/>
  <c r="T449" i="1"/>
  <c r="U449" i="1" s="1"/>
  <c r="P450" i="1"/>
  <c r="Q450" i="1"/>
  <c r="R450" i="1"/>
  <c r="T450" i="1"/>
  <c r="U450" i="1" s="1"/>
  <c r="P451" i="1"/>
  <c r="Q451" i="1"/>
  <c r="R451" i="1"/>
  <c r="T451" i="1"/>
  <c r="U451" i="1" s="1"/>
  <c r="P452" i="1"/>
  <c r="Q452" i="1"/>
  <c r="R452" i="1"/>
  <c r="T452" i="1"/>
  <c r="U452" i="1" s="1"/>
  <c r="P453" i="1"/>
  <c r="Q453" i="1"/>
  <c r="R453" i="1"/>
  <c r="T453" i="1"/>
  <c r="U453" i="1" s="1"/>
  <c r="P454" i="1"/>
  <c r="Q454" i="1"/>
  <c r="R454" i="1"/>
  <c r="T454" i="1"/>
  <c r="U454" i="1" s="1"/>
  <c r="P455" i="1"/>
  <c r="Q455" i="1"/>
  <c r="R455" i="1"/>
  <c r="T455" i="1"/>
  <c r="U455" i="1" s="1"/>
  <c r="P456" i="1"/>
  <c r="Q456" i="1"/>
  <c r="R456" i="1"/>
  <c r="T456" i="1"/>
  <c r="U456" i="1" s="1"/>
  <c r="P457" i="1"/>
  <c r="Q457" i="1"/>
  <c r="R457" i="1"/>
  <c r="T457" i="1"/>
  <c r="U457" i="1" s="1"/>
  <c r="P458" i="1"/>
  <c r="Q458" i="1"/>
  <c r="R458" i="1"/>
  <c r="T458" i="1"/>
  <c r="U458" i="1" s="1"/>
  <c r="P459" i="1"/>
  <c r="Q459" i="1"/>
  <c r="R459" i="1"/>
  <c r="T459" i="1"/>
  <c r="U459" i="1" s="1"/>
  <c r="P460" i="1"/>
  <c r="Q460" i="1"/>
  <c r="R460" i="1"/>
  <c r="T460" i="1"/>
  <c r="U460" i="1" s="1"/>
  <c r="P461" i="1"/>
  <c r="Q461" i="1"/>
  <c r="R461" i="1"/>
  <c r="T461" i="1"/>
  <c r="U461" i="1" s="1"/>
  <c r="P462" i="1"/>
  <c r="Q462" i="1"/>
  <c r="R462" i="1"/>
  <c r="T462" i="1"/>
  <c r="U462" i="1" s="1"/>
  <c r="P463" i="1"/>
  <c r="Q463" i="1"/>
  <c r="R463" i="1"/>
  <c r="T463" i="1"/>
  <c r="U463" i="1" s="1"/>
  <c r="P464" i="1"/>
  <c r="Q464" i="1"/>
  <c r="R464" i="1"/>
  <c r="T464" i="1"/>
  <c r="U464" i="1" s="1"/>
  <c r="P465" i="1"/>
  <c r="Q465" i="1"/>
  <c r="R465" i="1"/>
  <c r="T465" i="1"/>
  <c r="U465" i="1" s="1"/>
  <c r="P466" i="1"/>
  <c r="Q466" i="1"/>
  <c r="R466" i="1"/>
  <c r="T466" i="1"/>
  <c r="U466" i="1" s="1"/>
  <c r="P467" i="1"/>
  <c r="Q467" i="1"/>
  <c r="R467" i="1"/>
  <c r="T467" i="1"/>
  <c r="U467" i="1" s="1"/>
  <c r="P468" i="1"/>
  <c r="Q468" i="1"/>
  <c r="R468" i="1"/>
  <c r="T468" i="1"/>
  <c r="U468" i="1" s="1"/>
  <c r="P469" i="1"/>
  <c r="Q469" i="1"/>
  <c r="R469" i="1"/>
  <c r="T469" i="1"/>
  <c r="U469" i="1" s="1"/>
  <c r="P470" i="1"/>
  <c r="Q470" i="1"/>
  <c r="R470" i="1"/>
  <c r="T470" i="1"/>
  <c r="U470" i="1" s="1"/>
  <c r="P471" i="1"/>
  <c r="Q471" i="1"/>
  <c r="R471" i="1"/>
  <c r="T471" i="1"/>
  <c r="U471" i="1" s="1"/>
  <c r="P472" i="1"/>
  <c r="Q472" i="1"/>
  <c r="R472" i="1"/>
  <c r="T472" i="1"/>
  <c r="U472" i="1" s="1"/>
  <c r="P473" i="1"/>
  <c r="Q473" i="1"/>
  <c r="R473" i="1"/>
  <c r="T473" i="1"/>
  <c r="U473" i="1" s="1"/>
  <c r="P474" i="1"/>
  <c r="Q474" i="1"/>
  <c r="R474" i="1"/>
  <c r="T474" i="1"/>
  <c r="U474" i="1" s="1"/>
  <c r="P475" i="1"/>
  <c r="Q475" i="1"/>
  <c r="R475" i="1"/>
  <c r="T475" i="1"/>
  <c r="U475" i="1" s="1"/>
  <c r="P476" i="1"/>
  <c r="Q476" i="1"/>
  <c r="R476" i="1"/>
  <c r="P477" i="1"/>
  <c r="Q477" i="1"/>
  <c r="R477" i="1"/>
  <c r="P478" i="1"/>
  <c r="Q478" i="1"/>
  <c r="R478" i="1"/>
  <c r="P479" i="1"/>
  <c r="Q479" i="1"/>
  <c r="R479" i="1"/>
  <c r="P480" i="1"/>
  <c r="Q480" i="1"/>
  <c r="R480" i="1"/>
  <c r="P481" i="1"/>
  <c r="Q481" i="1"/>
  <c r="R481" i="1"/>
  <c r="P482" i="1"/>
  <c r="Q482" i="1"/>
  <c r="R482" i="1"/>
  <c r="P483" i="1"/>
  <c r="Q483" i="1"/>
  <c r="R483" i="1"/>
  <c r="P484" i="1"/>
  <c r="Q484" i="1"/>
  <c r="R484" i="1"/>
  <c r="P485" i="1"/>
  <c r="Q485" i="1"/>
  <c r="R485" i="1"/>
  <c r="P486" i="1"/>
  <c r="Q486" i="1"/>
  <c r="R486" i="1"/>
  <c r="P487" i="1"/>
  <c r="Q487" i="1"/>
  <c r="R487" i="1"/>
  <c r="P488" i="1"/>
  <c r="Q488" i="1"/>
  <c r="R488" i="1"/>
  <c r="P489" i="1"/>
  <c r="Q489" i="1"/>
  <c r="R489" i="1"/>
  <c r="P490" i="1"/>
  <c r="Q490" i="1"/>
  <c r="R490" i="1"/>
  <c r="P491" i="1"/>
  <c r="Q491" i="1"/>
  <c r="R491" i="1"/>
  <c r="P492" i="1"/>
  <c r="Q492" i="1"/>
  <c r="R492" i="1"/>
  <c r="P493" i="1"/>
  <c r="Q493" i="1"/>
  <c r="R493" i="1"/>
  <c r="P494" i="1"/>
  <c r="Q494" i="1"/>
  <c r="R494" i="1"/>
  <c r="T494" i="1"/>
  <c r="U494" i="1" s="1"/>
  <c r="P495" i="1"/>
  <c r="Q495" i="1"/>
  <c r="R495" i="1"/>
  <c r="T495" i="1"/>
  <c r="U495" i="1" s="1"/>
  <c r="P496" i="1"/>
  <c r="Q496" i="1"/>
  <c r="R496" i="1"/>
  <c r="T496" i="1"/>
  <c r="U496" i="1" s="1"/>
  <c r="P497" i="1"/>
  <c r="Q497" i="1"/>
  <c r="R497" i="1"/>
  <c r="T497" i="1"/>
  <c r="U497" i="1" s="1"/>
  <c r="P498" i="1"/>
  <c r="Q498" i="1"/>
  <c r="R498" i="1"/>
  <c r="T498" i="1"/>
  <c r="U498" i="1" s="1"/>
  <c r="P499" i="1"/>
  <c r="Q499" i="1"/>
  <c r="R499" i="1"/>
  <c r="T499" i="1"/>
  <c r="U499" i="1" s="1"/>
  <c r="P500" i="1"/>
  <c r="Q500" i="1"/>
  <c r="R500" i="1"/>
  <c r="T500" i="1"/>
  <c r="U500" i="1" s="1"/>
  <c r="P501" i="1"/>
  <c r="Q501" i="1"/>
  <c r="R501" i="1"/>
  <c r="T501" i="1"/>
  <c r="U501" i="1" s="1"/>
  <c r="P502" i="1"/>
  <c r="Q502" i="1"/>
  <c r="R502" i="1"/>
  <c r="T502" i="1"/>
  <c r="U502" i="1" s="1"/>
  <c r="P503" i="1"/>
  <c r="Q503" i="1"/>
  <c r="R503" i="1"/>
  <c r="T503" i="1"/>
  <c r="U503" i="1" s="1"/>
  <c r="P504" i="1"/>
  <c r="Q504" i="1"/>
  <c r="R504" i="1"/>
  <c r="T504" i="1"/>
  <c r="U504" i="1" s="1"/>
  <c r="P505" i="1"/>
  <c r="Q505" i="1"/>
  <c r="R505" i="1"/>
  <c r="T505" i="1"/>
  <c r="U505" i="1" s="1"/>
  <c r="P506" i="1"/>
  <c r="Q506" i="1"/>
  <c r="R506" i="1"/>
  <c r="T506" i="1"/>
  <c r="U506" i="1" s="1"/>
  <c r="P507" i="1"/>
  <c r="Q507" i="1"/>
  <c r="R507" i="1"/>
  <c r="T507" i="1"/>
  <c r="U507" i="1" s="1"/>
  <c r="P508" i="1"/>
  <c r="Q508" i="1"/>
  <c r="R508" i="1"/>
  <c r="T508" i="1"/>
  <c r="U508" i="1" s="1"/>
  <c r="P509" i="1"/>
  <c r="Q509" i="1"/>
  <c r="R509" i="1"/>
  <c r="T509" i="1"/>
  <c r="U509" i="1" s="1"/>
  <c r="P510" i="1"/>
  <c r="Q510" i="1"/>
  <c r="R510" i="1"/>
  <c r="T510" i="1"/>
  <c r="U510" i="1" s="1"/>
  <c r="P511" i="1"/>
  <c r="Q511" i="1"/>
  <c r="R511" i="1"/>
  <c r="T511" i="1"/>
  <c r="U511" i="1" s="1"/>
  <c r="P512" i="1"/>
  <c r="Q512" i="1"/>
  <c r="R512" i="1"/>
  <c r="T512" i="1"/>
  <c r="U512" i="1" s="1"/>
  <c r="P513" i="1"/>
  <c r="Q513" i="1"/>
  <c r="R513" i="1"/>
  <c r="T513" i="1"/>
  <c r="U513" i="1" s="1"/>
  <c r="P514" i="1"/>
  <c r="Q514" i="1"/>
  <c r="R514" i="1"/>
  <c r="T514" i="1"/>
  <c r="U514" i="1" s="1"/>
  <c r="P515" i="1"/>
  <c r="Q515" i="1"/>
  <c r="R515" i="1"/>
  <c r="T515" i="1"/>
  <c r="U515" i="1" s="1"/>
  <c r="P516" i="1"/>
  <c r="Q516" i="1"/>
  <c r="R516" i="1"/>
  <c r="T516" i="1"/>
  <c r="U516" i="1" s="1"/>
  <c r="P517" i="1"/>
  <c r="Q517" i="1"/>
  <c r="R517" i="1"/>
  <c r="T517" i="1"/>
  <c r="U517" i="1" s="1"/>
  <c r="P518" i="1"/>
  <c r="Q518" i="1"/>
  <c r="R518" i="1"/>
  <c r="T518" i="1"/>
  <c r="U518" i="1" s="1"/>
  <c r="P519" i="1"/>
  <c r="Q519" i="1"/>
  <c r="R519" i="1"/>
  <c r="T519" i="1"/>
  <c r="U519" i="1" s="1"/>
  <c r="P520" i="1"/>
  <c r="Q520" i="1"/>
  <c r="R520" i="1"/>
  <c r="T520" i="1"/>
  <c r="U520" i="1" s="1"/>
  <c r="P521" i="1"/>
  <c r="Q521" i="1"/>
  <c r="R521" i="1"/>
  <c r="T521" i="1"/>
  <c r="U521" i="1" s="1"/>
  <c r="P522" i="1"/>
  <c r="Q522" i="1"/>
  <c r="R522" i="1"/>
  <c r="T522" i="1"/>
  <c r="U522" i="1" s="1"/>
  <c r="P523" i="1"/>
  <c r="Q523" i="1"/>
  <c r="R523" i="1"/>
  <c r="T523" i="1"/>
  <c r="U523" i="1" s="1"/>
  <c r="P524" i="1"/>
  <c r="Q524" i="1"/>
  <c r="R524" i="1"/>
  <c r="T524" i="1"/>
  <c r="U524" i="1" s="1"/>
  <c r="P525" i="1"/>
  <c r="Q525" i="1"/>
  <c r="R525" i="1"/>
  <c r="T525" i="1"/>
  <c r="U525" i="1" s="1"/>
  <c r="P526" i="1"/>
  <c r="Q526" i="1"/>
  <c r="R526" i="1"/>
  <c r="T526" i="1"/>
  <c r="U526" i="1" s="1"/>
  <c r="P527" i="1"/>
  <c r="Q527" i="1"/>
  <c r="R527" i="1"/>
  <c r="T527" i="1"/>
  <c r="U527" i="1" s="1"/>
  <c r="P528" i="1"/>
  <c r="Q528" i="1"/>
  <c r="R528" i="1"/>
  <c r="T528" i="1"/>
  <c r="U528" i="1" s="1"/>
  <c r="P529" i="1"/>
  <c r="Q529" i="1"/>
  <c r="R529" i="1"/>
  <c r="T529" i="1"/>
  <c r="U529" i="1" s="1"/>
  <c r="P530" i="1"/>
  <c r="Q530" i="1"/>
  <c r="R530" i="1"/>
  <c r="T530" i="1"/>
  <c r="U530" i="1" s="1"/>
  <c r="P531" i="1"/>
  <c r="Q531" i="1"/>
  <c r="R531" i="1"/>
  <c r="T531" i="1"/>
  <c r="U531" i="1" s="1"/>
  <c r="P532" i="1"/>
  <c r="Q532" i="1"/>
  <c r="R532" i="1"/>
  <c r="T532" i="1"/>
  <c r="U532" i="1" s="1"/>
  <c r="P533" i="1"/>
  <c r="Q533" i="1"/>
  <c r="R533" i="1"/>
  <c r="T533" i="1"/>
  <c r="U533" i="1" s="1"/>
  <c r="P534" i="1"/>
  <c r="Q534" i="1"/>
  <c r="R534" i="1"/>
  <c r="T534" i="1"/>
  <c r="U534" i="1" s="1"/>
  <c r="P535" i="1"/>
  <c r="Q535" i="1"/>
  <c r="R535" i="1"/>
  <c r="T535" i="1"/>
  <c r="U535" i="1" s="1"/>
  <c r="P536" i="1"/>
  <c r="Q536" i="1"/>
  <c r="R536" i="1"/>
  <c r="T536" i="1"/>
  <c r="U536" i="1" s="1"/>
  <c r="P537" i="1"/>
  <c r="Q537" i="1"/>
  <c r="R537" i="1"/>
  <c r="T537" i="1"/>
  <c r="U537" i="1" s="1"/>
  <c r="P538" i="1"/>
  <c r="Q538" i="1"/>
  <c r="R538" i="1"/>
  <c r="T538" i="1"/>
  <c r="U538" i="1" s="1"/>
  <c r="P539" i="1"/>
  <c r="Q539" i="1"/>
  <c r="R539" i="1"/>
  <c r="T539" i="1"/>
  <c r="U539" i="1" s="1"/>
  <c r="P540" i="1"/>
  <c r="Q540" i="1"/>
  <c r="R540" i="1"/>
  <c r="T540" i="1"/>
  <c r="U540" i="1" s="1"/>
  <c r="P541" i="1"/>
  <c r="Q541" i="1"/>
  <c r="R541" i="1"/>
  <c r="T541" i="1"/>
  <c r="U541" i="1" s="1"/>
  <c r="P542" i="1"/>
  <c r="Q542" i="1"/>
  <c r="R542" i="1"/>
  <c r="T542" i="1"/>
  <c r="U542" i="1" s="1"/>
  <c r="P543" i="1"/>
  <c r="Q543" i="1"/>
  <c r="R543" i="1"/>
  <c r="T543" i="1"/>
  <c r="U543" i="1" s="1"/>
  <c r="P544" i="1"/>
  <c r="Q544" i="1"/>
  <c r="R544" i="1"/>
  <c r="T544" i="1"/>
  <c r="U544" i="1" s="1"/>
  <c r="P545" i="1"/>
  <c r="Q545" i="1"/>
  <c r="R545" i="1"/>
  <c r="P546" i="1"/>
  <c r="Q546" i="1"/>
  <c r="R546" i="1"/>
  <c r="T546" i="1"/>
  <c r="U546" i="1" s="1"/>
  <c r="P547" i="1"/>
  <c r="Q547" i="1"/>
  <c r="R547" i="1"/>
  <c r="T547" i="1"/>
  <c r="U547" i="1" s="1"/>
  <c r="P548" i="1"/>
  <c r="Q548" i="1"/>
  <c r="R548" i="1"/>
  <c r="T548" i="1"/>
  <c r="U548" i="1" s="1"/>
  <c r="P549" i="1"/>
  <c r="Q549" i="1"/>
  <c r="R549" i="1"/>
  <c r="T549" i="1"/>
  <c r="U549" i="1" s="1"/>
  <c r="P550" i="1"/>
  <c r="Q550" i="1"/>
  <c r="R550" i="1"/>
  <c r="T550" i="1"/>
  <c r="U550" i="1" s="1"/>
  <c r="P551" i="1"/>
  <c r="Q551" i="1"/>
  <c r="R551" i="1"/>
  <c r="T551" i="1"/>
  <c r="U551" i="1" s="1"/>
  <c r="P552" i="1"/>
  <c r="Q552" i="1"/>
  <c r="R552" i="1"/>
  <c r="T552" i="1"/>
  <c r="U552" i="1" s="1"/>
  <c r="P890" i="1"/>
  <c r="Q890" i="1"/>
  <c r="R890" i="1"/>
  <c r="T890" i="1"/>
  <c r="U890" i="1" s="1"/>
  <c r="P554" i="1"/>
  <c r="Q554" i="1"/>
  <c r="R554" i="1"/>
  <c r="T554" i="1"/>
  <c r="U554" i="1" s="1"/>
  <c r="P555" i="1"/>
  <c r="Q555" i="1"/>
  <c r="R555" i="1"/>
  <c r="T555" i="1"/>
  <c r="U555" i="1" s="1"/>
  <c r="P556" i="1"/>
  <c r="Q556" i="1"/>
  <c r="R556" i="1"/>
  <c r="T556" i="1"/>
  <c r="U556" i="1" s="1"/>
  <c r="P557" i="1"/>
  <c r="Q557" i="1"/>
  <c r="R557" i="1"/>
  <c r="T557" i="1"/>
  <c r="U557" i="1" s="1"/>
  <c r="P558" i="1"/>
  <c r="Q558" i="1"/>
  <c r="R558" i="1"/>
  <c r="T558" i="1"/>
  <c r="U558" i="1" s="1"/>
  <c r="P559" i="1"/>
  <c r="Q559" i="1"/>
  <c r="R559" i="1"/>
  <c r="T559" i="1"/>
  <c r="U559" i="1" s="1"/>
  <c r="P560" i="1"/>
  <c r="Q560" i="1"/>
  <c r="R560" i="1"/>
  <c r="T560" i="1"/>
  <c r="U560" i="1" s="1"/>
  <c r="P561" i="1"/>
  <c r="Q561" i="1"/>
  <c r="R561" i="1"/>
  <c r="T561" i="1"/>
  <c r="U561" i="1" s="1"/>
  <c r="P562" i="1"/>
  <c r="Q562" i="1"/>
  <c r="R562" i="1"/>
  <c r="T562" i="1"/>
  <c r="U562" i="1" s="1"/>
  <c r="P563" i="1"/>
  <c r="Q563" i="1"/>
  <c r="R563" i="1"/>
  <c r="T563" i="1"/>
  <c r="U563" i="1" s="1"/>
  <c r="P564" i="1"/>
  <c r="Q564" i="1"/>
  <c r="R564" i="1"/>
  <c r="T564" i="1"/>
  <c r="U564" i="1" s="1"/>
  <c r="P565" i="1"/>
  <c r="Q565" i="1"/>
  <c r="R565" i="1"/>
  <c r="T565" i="1"/>
  <c r="U565" i="1" s="1"/>
  <c r="P566" i="1"/>
  <c r="Q566" i="1"/>
  <c r="R566" i="1"/>
  <c r="T566" i="1"/>
  <c r="U566" i="1" s="1"/>
  <c r="P567" i="1"/>
  <c r="Q567" i="1"/>
  <c r="R567" i="1"/>
  <c r="T567" i="1"/>
  <c r="U567" i="1" s="1"/>
  <c r="P568" i="1"/>
  <c r="Q568" i="1"/>
  <c r="R568" i="1"/>
  <c r="T568" i="1"/>
  <c r="U568" i="1" s="1"/>
  <c r="P569" i="1"/>
  <c r="Q569" i="1"/>
  <c r="R569" i="1"/>
  <c r="T569" i="1"/>
  <c r="U569" i="1" s="1"/>
  <c r="P570" i="1"/>
  <c r="Q570" i="1"/>
  <c r="R570" i="1"/>
  <c r="T570" i="1"/>
  <c r="U570" i="1" s="1"/>
  <c r="P571" i="1"/>
  <c r="Q571" i="1"/>
  <c r="R571" i="1"/>
  <c r="T571" i="1"/>
  <c r="U571" i="1" s="1"/>
  <c r="P572" i="1"/>
  <c r="Q572" i="1"/>
  <c r="R572" i="1"/>
  <c r="T572" i="1"/>
  <c r="U572" i="1" s="1"/>
  <c r="P573" i="1"/>
  <c r="Q573" i="1"/>
  <c r="R573" i="1"/>
  <c r="T573" i="1"/>
  <c r="U573" i="1" s="1"/>
  <c r="P574" i="1"/>
  <c r="Q574" i="1"/>
  <c r="R574" i="1"/>
  <c r="T574" i="1"/>
  <c r="U574" i="1" s="1"/>
  <c r="P575" i="1"/>
  <c r="Q575" i="1"/>
  <c r="R575" i="1"/>
  <c r="T575" i="1"/>
  <c r="U575" i="1" s="1"/>
  <c r="P576" i="1"/>
  <c r="Q576" i="1"/>
  <c r="R576" i="1"/>
  <c r="T576" i="1"/>
  <c r="U576" i="1" s="1"/>
  <c r="P577" i="1"/>
  <c r="Q577" i="1"/>
  <c r="R577" i="1"/>
  <c r="T577" i="1"/>
  <c r="U577" i="1" s="1"/>
  <c r="P579" i="1"/>
  <c r="Q579" i="1"/>
  <c r="R579" i="1"/>
  <c r="T579" i="1"/>
  <c r="U579" i="1" s="1"/>
  <c r="P580" i="1"/>
  <c r="Q580" i="1"/>
  <c r="R580" i="1"/>
  <c r="T580" i="1"/>
  <c r="U580" i="1" s="1"/>
  <c r="P581" i="1"/>
  <c r="Q581" i="1"/>
  <c r="R581" i="1"/>
  <c r="T581" i="1"/>
  <c r="U581" i="1" s="1"/>
  <c r="P582" i="1"/>
  <c r="Q582" i="1"/>
  <c r="R582" i="1"/>
  <c r="T582" i="1"/>
  <c r="U582" i="1" s="1"/>
  <c r="P583" i="1"/>
  <c r="Q583" i="1"/>
  <c r="R583" i="1"/>
  <c r="T583" i="1"/>
  <c r="U583" i="1" s="1"/>
  <c r="P584" i="1"/>
  <c r="Q584" i="1"/>
  <c r="R584" i="1"/>
  <c r="T584" i="1"/>
  <c r="U584" i="1" s="1"/>
  <c r="P585" i="1"/>
  <c r="Q585" i="1"/>
  <c r="R585" i="1"/>
  <c r="T585" i="1"/>
  <c r="U585" i="1" s="1"/>
  <c r="P586" i="1"/>
  <c r="Q586" i="1"/>
  <c r="R586" i="1"/>
  <c r="T586" i="1"/>
  <c r="U586" i="1" s="1"/>
  <c r="P587" i="1"/>
  <c r="Q587" i="1"/>
  <c r="R587" i="1"/>
  <c r="T587" i="1"/>
  <c r="U587" i="1" s="1"/>
  <c r="P588" i="1"/>
  <c r="Q588" i="1"/>
  <c r="R588" i="1"/>
  <c r="T588" i="1"/>
  <c r="U588" i="1" s="1"/>
  <c r="P589" i="1"/>
  <c r="Q589" i="1"/>
  <c r="R589" i="1"/>
  <c r="T589" i="1"/>
  <c r="U589" i="1" s="1"/>
  <c r="P590" i="1"/>
  <c r="Q590" i="1"/>
  <c r="R590" i="1"/>
  <c r="T590" i="1"/>
  <c r="U590" i="1" s="1"/>
  <c r="P591" i="1"/>
  <c r="Q591" i="1"/>
  <c r="R591" i="1"/>
  <c r="T591" i="1"/>
  <c r="U591" i="1" s="1"/>
  <c r="P592" i="1"/>
  <c r="Q592" i="1"/>
  <c r="R592" i="1"/>
  <c r="T592" i="1"/>
  <c r="U592" i="1" s="1"/>
  <c r="P593" i="1"/>
  <c r="Q593" i="1"/>
  <c r="R593" i="1"/>
  <c r="T593" i="1"/>
  <c r="U593" i="1" s="1"/>
  <c r="P594" i="1"/>
  <c r="Q594" i="1"/>
  <c r="R594" i="1"/>
  <c r="T594" i="1"/>
  <c r="U594" i="1" s="1"/>
  <c r="P595" i="1"/>
  <c r="Q595" i="1"/>
  <c r="R595" i="1"/>
  <c r="T595" i="1"/>
  <c r="U595" i="1" s="1"/>
  <c r="P596" i="1"/>
  <c r="Q596" i="1"/>
  <c r="R596" i="1"/>
  <c r="T596" i="1"/>
  <c r="U596" i="1" s="1"/>
  <c r="P597" i="1"/>
  <c r="Q597" i="1"/>
  <c r="R597" i="1"/>
  <c r="T597" i="1"/>
  <c r="U597" i="1" s="1"/>
  <c r="P598" i="1"/>
  <c r="Q598" i="1"/>
  <c r="R598" i="1"/>
  <c r="T598" i="1"/>
  <c r="U598" i="1" s="1"/>
  <c r="P599" i="1"/>
  <c r="Q599" i="1"/>
  <c r="R599" i="1"/>
  <c r="T599" i="1"/>
  <c r="U599" i="1" s="1"/>
  <c r="P600" i="1"/>
  <c r="Q600" i="1"/>
  <c r="R600" i="1"/>
  <c r="T600" i="1"/>
  <c r="U600" i="1" s="1"/>
  <c r="P601" i="1"/>
  <c r="Q601" i="1"/>
  <c r="R601" i="1"/>
  <c r="T601" i="1"/>
  <c r="U601" i="1" s="1"/>
  <c r="P602" i="1"/>
  <c r="Q602" i="1"/>
  <c r="R602" i="1"/>
  <c r="T602" i="1"/>
  <c r="U602" i="1" s="1"/>
  <c r="P603" i="1"/>
  <c r="Q603" i="1"/>
  <c r="R603" i="1"/>
  <c r="T603" i="1"/>
  <c r="U603" i="1" s="1"/>
  <c r="P604" i="1"/>
  <c r="Q604" i="1"/>
  <c r="R604" i="1"/>
  <c r="T604" i="1"/>
  <c r="U604" i="1" s="1"/>
  <c r="P605" i="1"/>
  <c r="Q605" i="1"/>
  <c r="R605" i="1"/>
  <c r="T605" i="1"/>
  <c r="U605" i="1" s="1"/>
  <c r="P606" i="1"/>
  <c r="Q606" i="1"/>
  <c r="R606" i="1"/>
  <c r="T606" i="1"/>
  <c r="U606" i="1" s="1"/>
  <c r="P607" i="1"/>
  <c r="Q607" i="1"/>
  <c r="R607" i="1"/>
  <c r="T607" i="1"/>
  <c r="U607" i="1" s="1"/>
  <c r="P608" i="1"/>
  <c r="Q608" i="1"/>
  <c r="R608" i="1"/>
  <c r="T608" i="1"/>
  <c r="U608" i="1" s="1"/>
  <c r="P609" i="1"/>
  <c r="Q609" i="1"/>
  <c r="R609" i="1"/>
  <c r="T609" i="1"/>
  <c r="U609" i="1" s="1"/>
  <c r="P17" i="1"/>
  <c r="Q17" i="1"/>
  <c r="R17" i="1"/>
  <c r="T17" i="1"/>
  <c r="U17" i="1" s="1"/>
  <c r="P610" i="1"/>
  <c r="Q610" i="1"/>
  <c r="R610" i="1"/>
  <c r="T610" i="1"/>
  <c r="U610" i="1" s="1"/>
  <c r="P611" i="1"/>
  <c r="Q611" i="1"/>
  <c r="R611" i="1"/>
  <c r="T611" i="1"/>
  <c r="U611" i="1" s="1"/>
  <c r="P612" i="1"/>
  <c r="Q612" i="1"/>
  <c r="R612" i="1"/>
  <c r="T612" i="1"/>
  <c r="U612" i="1" s="1"/>
  <c r="P613" i="1"/>
  <c r="Q613" i="1"/>
  <c r="R613" i="1"/>
  <c r="T613" i="1"/>
  <c r="U613" i="1" s="1"/>
  <c r="P614" i="1"/>
  <c r="Q614" i="1"/>
  <c r="R614" i="1"/>
  <c r="T614" i="1"/>
  <c r="U614" i="1" s="1"/>
  <c r="P615" i="1"/>
  <c r="Q615" i="1"/>
  <c r="R615" i="1"/>
  <c r="T615" i="1"/>
  <c r="U615" i="1" s="1"/>
  <c r="P616" i="1"/>
  <c r="Q616" i="1"/>
  <c r="R616" i="1"/>
  <c r="T616" i="1"/>
  <c r="U616" i="1" s="1"/>
  <c r="P617" i="1"/>
  <c r="Q617" i="1"/>
  <c r="R617" i="1"/>
  <c r="T617" i="1"/>
  <c r="U617" i="1" s="1"/>
  <c r="P618" i="1"/>
  <c r="Q618" i="1"/>
  <c r="R618" i="1"/>
  <c r="T618" i="1"/>
  <c r="U618" i="1" s="1"/>
  <c r="P619" i="1"/>
  <c r="Q619" i="1"/>
  <c r="R619" i="1"/>
  <c r="T619" i="1"/>
  <c r="U619" i="1" s="1"/>
  <c r="P620" i="1"/>
  <c r="Q620" i="1"/>
  <c r="R620" i="1"/>
  <c r="T620" i="1"/>
  <c r="U620" i="1" s="1"/>
  <c r="P621" i="1"/>
  <c r="Q621" i="1"/>
  <c r="R621" i="1"/>
  <c r="T621" i="1"/>
  <c r="U621" i="1" s="1"/>
  <c r="P622" i="1"/>
  <c r="Q622" i="1"/>
  <c r="R622" i="1"/>
  <c r="T622" i="1"/>
  <c r="U622" i="1" s="1"/>
  <c r="P623" i="1"/>
  <c r="Q623" i="1"/>
  <c r="R623" i="1"/>
  <c r="T623" i="1"/>
  <c r="U623" i="1" s="1"/>
  <c r="P18" i="1"/>
  <c r="Q18" i="1"/>
  <c r="R18" i="1"/>
  <c r="T18" i="1"/>
  <c r="U18" i="1" s="1"/>
  <c r="W52" i="1"/>
  <c r="X52" i="1" s="1"/>
  <c r="W53" i="1"/>
  <c r="X53" i="1" s="1"/>
  <c r="W54" i="1"/>
  <c r="X54" i="1" s="1"/>
  <c r="W55" i="1"/>
  <c r="X55" i="1" s="1"/>
  <c r="W56" i="1"/>
  <c r="X56" i="1" s="1"/>
  <c r="W57" i="1"/>
  <c r="X57" i="1" s="1"/>
  <c r="W58" i="1"/>
  <c r="X58" i="1" s="1"/>
  <c r="W59" i="1"/>
  <c r="X59" i="1" s="1"/>
  <c r="W60" i="1"/>
  <c r="X60" i="1" s="1"/>
  <c r="W61" i="1"/>
  <c r="X61" i="1" s="1"/>
  <c r="W62" i="1"/>
  <c r="X62" i="1" s="1"/>
  <c r="W63" i="1"/>
  <c r="X63" i="1" s="1"/>
  <c r="W64" i="1"/>
  <c r="X64" i="1" s="1"/>
  <c r="W65" i="1"/>
  <c r="X65" i="1" s="1"/>
  <c r="W66" i="1"/>
  <c r="X66" i="1" s="1"/>
  <c r="W67" i="1"/>
  <c r="X67" i="1" s="1"/>
  <c r="W68" i="1"/>
  <c r="X68" i="1" s="1"/>
  <c r="W69" i="1"/>
  <c r="X69" i="1" s="1"/>
  <c r="W70" i="1"/>
  <c r="X70" i="1" s="1"/>
  <c r="W71" i="1"/>
  <c r="X71" i="1" s="1"/>
  <c r="W72" i="1"/>
  <c r="X72" i="1" s="1"/>
  <c r="W73" i="1"/>
  <c r="X73" i="1" s="1"/>
  <c r="W74" i="1"/>
  <c r="X74" i="1" s="1"/>
  <c r="W75" i="1"/>
  <c r="X75" i="1" s="1"/>
  <c r="W76" i="1"/>
  <c r="X76" i="1" s="1"/>
  <c r="W77" i="1"/>
  <c r="X77" i="1" s="1"/>
  <c r="W78" i="1"/>
  <c r="X78" i="1" s="1"/>
  <c r="W79" i="1"/>
  <c r="X79" i="1" s="1"/>
  <c r="W80" i="1"/>
  <c r="X80" i="1" s="1"/>
  <c r="W81" i="1"/>
  <c r="X81" i="1" s="1"/>
  <c r="W82" i="1"/>
  <c r="X82" i="1" s="1"/>
  <c r="W83" i="1"/>
  <c r="X83" i="1" s="1"/>
  <c r="W84" i="1"/>
  <c r="X84" i="1" s="1"/>
  <c r="W85" i="1"/>
  <c r="X85" i="1" s="1"/>
  <c r="W86" i="1"/>
  <c r="X86" i="1" s="1"/>
  <c r="W87" i="1"/>
  <c r="X87" i="1" s="1"/>
  <c r="W88" i="1"/>
  <c r="X88" i="1" s="1"/>
  <c r="W89" i="1"/>
  <c r="X89" i="1" s="1"/>
  <c r="W90" i="1"/>
  <c r="X90" i="1" s="1"/>
  <c r="W91" i="1"/>
  <c r="X91" i="1" s="1"/>
  <c r="W92" i="1"/>
  <c r="X92" i="1" s="1"/>
  <c r="W93" i="1"/>
  <c r="X93" i="1" s="1"/>
  <c r="W94" i="1"/>
  <c r="X94" i="1" s="1"/>
  <c r="W95" i="1"/>
  <c r="X95" i="1" s="1"/>
  <c r="W96" i="1"/>
  <c r="X96" i="1" s="1"/>
  <c r="W97" i="1"/>
  <c r="X97" i="1" s="1"/>
  <c r="W98" i="1"/>
  <c r="X98" i="1" s="1"/>
  <c r="W99" i="1"/>
  <c r="X99" i="1" s="1"/>
  <c r="W100" i="1"/>
  <c r="X100" i="1" s="1"/>
  <c r="W101" i="1"/>
  <c r="X101" i="1" s="1"/>
  <c r="W102" i="1"/>
  <c r="X102" i="1" s="1"/>
  <c r="W103" i="1"/>
  <c r="X103" i="1" s="1"/>
  <c r="W104" i="1"/>
  <c r="X104" i="1" s="1"/>
  <c r="W105" i="1"/>
  <c r="X105" i="1" s="1"/>
  <c r="W106" i="1"/>
  <c r="X106" i="1" s="1"/>
  <c r="W107" i="1"/>
  <c r="X107" i="1" s="1"/>
  <c r="W108" i="1"/>
  <c r="X108" i="1" s="1"/>
  <c r="W109" i="1"/>
  <c r="X109" i="1" s="1"/>
  <c r="W110" i="1"/>
  <c r="X110" i="1" s="1"/>
  <c r="W111" i="1"/>
  <c r="X111" i="1" s="1"/>
  <c r="W112" i="1"/>
  <c r="X112" i="1" s="1"/>
  <c r="W113" i="1"/>
  <c r="X113" i="1" s="1"/>
  <c r="W114" i="1"/>
  <c r="X114" i="1" s="1"/>
  <c r="W115" i="1"/>
  <c r="X115" i="1" s="1"/>
  <c r="W116" i="1"/>
  <c r="X116" i="1" s="1"/>
  <c r="W117" i="1"/>
  <c r="X117" i="1" s="1"/>
  <c r="W118" i="1"/>
  <c r="X118" i="1" s="1"/>
  <c r="W119" i="1"/>
  <c r="X119" i="1" s="1"/>
  <c r="W120" i="1"/>
  <c r="X120" i="1" s="1"/>
  <c r="W121" i="1"/>
  <c r="X121" i="1" s="1"/>
  <c r="W122" i="1"/>
  <c r="X122" i="1" s="1"/>
  <c r="W123" i="1"/>
  <c r="X123" i="1" s="1"/>
  <c r="W124" i="1"/>
  <c r="X124" i="1" s="1"/>
  <c r="W125" i="1"/>
  <c r="X125" i="1" s="1"/>
  <c r="W126" i="1"/>
  <c r="X126" i="1" s="1"/>
  <c r="W127" i="1"/>
  <c r="X127" i="1" s="1"/>
  <c r="W128" i="1"/>
  <c r="X128" i="1" s="1"/>
  <c r="W129" i="1"/>
  <c r="X129" i="1" s="1"/>
  <c r="W130" i="1"/>
  <c r="X130" i="1" s="1"/>
  <c r="W131" i="1"/>
  <c r="X131" i="1" s="1"/>
  <c r="W132" i="1"/>
  <c r="X132" i="1" s="1"/>
  <c r="W133" i="1"/>
  <c r="X133" i="1" s="1"/>
  <c r="W134" i="1"/>
  <c r="X134" i="1" s="1"/>
  <c r="W135" i="1"/>
  <c r="X135" i="1" s="1"/>
  <c r="W136" i="1"/>
  <c r="X136" i="1" s="1"/>
  <c r="W137" i="1"/>
  <c r="X137" i="1" s="1"/>
  <c r="W138" i="1"/>
  <c r="X138" i="1" s="1"/>
  <c r="W139" i="1"/>
  <c r="X139" i="1" s="1"/>
  <c r="W140" i="1"/>
  <c r="X140" i="1" s="1"/>
  <c r="W141" i="1"/>
  <c r="X141" i="1" s="1"/>
  <c r="W142" i="1"/>
  <c r="X142" i="1" s="1"/>
  <c r="W143" i="1"/>
  <c r="X143" i="1" s="1"/>
  <c r="W144" i="1"/>
  <c r="X144" i="1" s="1"/>
  <c r="W145" i="1"/>
  <c r="X145" i="1" s="1"/>
  <c r="W146" i="1"/>
  <c r="X146" i="1" s="1"/>
  <c r="W147" i="1"/>
  <c r="X147" i="1" s="1"/>
  <c r="W148" i="1"/>
  <c r="X148" i="1" s="1"/>
  <c r="W149" i="1"/>
  <c r="X149" i="1" s="1"/>
  <c r="W150" i="1"/>
  <c r="X150" i="1" s="1"/>
  <c r="W151" i="1"/>
  <c r="X151" i="1" s="1"/>
  <c r="W152" i="1"/>
  <c r="X152" i="1" s="1"/>
  <c r="W153" i="1"/>
  <c r="X153" i="1" s="1"/>
  <c r="W154" i="1"/>
  <c r="X154" i="1" s="1"/>
  <c r="W155" i="1"/>
  <c r="X155" i="1" s="1"/>
  <c r="W156" i="1"/>
  <c r="X156" i="1" s="1"/>
  <c r="W157" i="1"/>
  <c r="X157" i="1" s="1"/>
  <c r="W158" i="1"/>
  <c r="X158" i="1" s="1"/>
  <c r="W159" i="1"/>
  <c r="X159" i="1" s="1"/>
  <c r="W160" i="1"/>
  <c r="X160" i="1" s="1"/>
  <c r="W161" i="1"/>
  <c r="X161" i="1" s="1"/>
  <c r="W162" i="1"/>
  <c r="X162" i="1" s="1"/>
  <c r="W163" i="1"/>
  <c r="X163" i="1" s="1"/>
  <c r="W164" i="1"/>
  <c r="X164" i="1" s="1"/>
  <c r="W165" i="1"/>
  <c r="X165" i="1" s="1"/>
  <c r="W166" i="1"/>
  <c r="X166" i="1" s="1"/>
  <c r="W167" i="1"/>
  <c r="X167" i="1" s="1"/>
  <c r="W168" i="1"/>
  <c r="X168" i="1" s="1"/>
  <c r="W169" i="1"/>
  <c r="X169" i="1" s="1"/>
  <c r="W170" i="1"/>
  <c r="X170" i="1" s="1"/>
  <c r="W171" i="1"/>
  <c r="X171" i="1" s="1"/>
  <c r="W172" i="1"/>
  <c r="X172" i="1" s="1"/>
  <c r="W173" i="1"/>
  <c r="X173" i="1" s="1"/>
  <c r="W174" i="1"/>
  <c r="X174" i="1" s="1"/>
  <c r="W175" i="1"/>
  <c r="X175" i="1" s="1"/>
  <c r="W176" i="1"/>
  <c r="X176" i="1" s="1"/>
  <c r="W177" i="1"/>
  <c r="X177" i="1" s="1"/>
  <c r="W178" i="1"/>
  <c r="X178" i="1" s="1"/>
  <c r="W179" i="1"/>
  <c r="X179" i="1" s="1"/>
  <c r="W180" i="1"/>
  <c r="X180" i="1" s="1"/>
  <c r="W181" i="1"/>
  <c r="X181" i="1" s="1"/>
  <c r="W182" i="1"/>
  <c r="X182" i="1" s="1"/>
  <c r="W183" i="1"/>
  <c r="X183" i="1" s="1"/>
  <c r="W12" i="1"/>
  <c r="X12" i="1" s="1"/>
  <c r="W184" i="1"/>
  <c r="X184" i="1" s="1"/>
  <c r="W185" i="1"/>
  <c r="X185" i="1" s="1"/>
  <c r="W186" i="1"/>
  <c r="X186" i="1" s="1"/>
  <c r="W187" i="1"/>
  <c r="X187" i="1" s="1"/>
  <c r="W188" i="1"/>
  <c r="X188" i="1" s="1"/>
  <c r="W189" i="1"/>
  <c r="X189" i="1" s="1"/>
  <c r="W13" i="1"/>
  <c r="X13" i="1" s="1"/>
  <c r="W14" i="1"/>
  <c r="X14" i="1" s="1"/>
  <c r="W190" i="1"/>
  <c r="X190" i="1" s="1"/>
  <c r="W193" i="1"/>
  <c r="X193" i="1" s="1"/>
  <c r="W194" i="1"/>
  <c r="X194" i="1" s="1"/>
  <c r="W195" i="1"/>
  <c r="X195" i="1" s="1"/>
  <c r="W196" i="1"/>
  <c r="X196" i="1" s="1"/>
  <c r="W197" i="1"/>
  <c r="X197" i="1" s="1"/>
  <c r="W198" i="1"/>
  <c r="X198" i="1" s="1"/>
  <c r="W199" i="1"/>
  <c r="X199" i="1" s="1"/>
  <c r="W200" i="1"/>
  <c r="X200" i="1" s="1"/>
  <c r="W201" i="1"/>
  <c r="X201" i="1" s="1"/>
  <c r="W202" i="1"/>
  <c r="X202" i="1" s="1"/>
  <c r="W203" i="1"/>
  <c r="X203" i="1" s="1"/>
  <c r="W204" i="1"/>
  <c r="X204" i="1" s="1"/>
  <c r="W205" i="1"/>
  <c r="X205" i="1" s="1"/>
  <c r="W206" i="1"/>
  <c r="X206" i="1" s="1"/>
  <c r="W207" i="1"/>
  <c r="X207" i="1" s="1"/>
  <c r="W208" i="1"/>
  <c r="X208" i="1" s="1"/>
  <c r="W209" i="1"/>
  <c r="X209" i="1" s="1"/>
  <c r="W210" i="1"/>
  <c r="X210" i="1" s="1"/>
  <c r="W211" i="1"/>
  <c r="X211" i="1" s="1"/>
  <c r="W212" i="1"/>
  <c r="X212" i="1" s="1"/>
  <c r="W213" i="1"/>
  <c r="X213" i="1" s="1"/>
  <c r="W214" i="1"/>
  <c r="X214" i="1" s="1"/>
  <c r="W215" i="1"/>
  <c r="X215" i="1" s="1"/>
  <c r="W216" i="1"/>
  <c r="X216" i="1" s="1"/>
  <c r="W217" i="1"/>
  <c r="X217" i="1" s="1"/>
  <c r="W218" i="1"/>
  <c r="X218" i="1" s="1"/>
  <c r="W219" i="1"/>
  <c r="X219" i="1" s="1"/>
  <c r="W220" i="1"/>
  <c r="X220" i="1" s="1"/>
  <c r="W221" i="1"/>
  <c r="X221" i="1" s="1"/>
  <c r="W222" i="1"/>
  <c r="X222" i="1" s="1"/>
  <c r="W223" i="1"/>
  <c r="X223" i="1" s="1"/>
  <c r="W224" i="1"/>
  <c r="X224" i="1" s="1"/>
  <c r="W225" i="1"/>
  <c r="X225" i="1" s="1"/>
  <c r="W226" i="1"/>
  <c r="X226" i="1" s="1"/>
  <c r="W227" i="1"/>
  <c r="X227" i="1" s="1"/>
  <c r="W228" i="1"/>
  <c r="X228" i="1" s="1"/>
  <c r="W15" i="1"/>
  <c r="X15" i="1" s="1"/>
  <c r="W229" i="1"/>
  <c r="X229" i="1" s="1"/>
  <c r="W230" i="1"/>
  <c r="X230" i="1" s="1"/>
  <c r="W231" i="1"/>
  <c r="X231" i="1" s="1"/>
  <c r="W232" i="1"/>
  <c r="X232" i="1" s="1"/>
  <c r="W233" i="1"/>
  <c r="X233" i="1" s="1"/>
  <c r="W234" i="1"/>
  <c r="X234" i="1" s="1"/>
  <c r="W235" i="1"/>
  <c r="X235" i="1" s="1"/>
  <c r="W236" i="1"/>
  <c r="X236" i="1" s="1"/>
  <c r="W237" i="1"/>
  <c r="X237" i="1" s="1"/>
  <c r="W238" i="1"/>
  <c r="X238" i="1" s="1"/>
  <c r="W239" i="1"/>
  <c r="X239" i="1" s="1"/>
  <c r="W240" i="1"/>
  <c r="X240" i="1" s="1"/>
  <c r="W241" i="1"/>
  <c r="X241" i="1" s="1"/>
  <c r="W242" i="1"/>
  <c r="X242" i="1" s="1"/>
  <c r="W243" i="1"/>
  <c r="X243" i="1" s="1"/>
  <c r="W16" i="1"/>
  <c r="X16" i="1" s="1"/>
  <c r="W244" i="1"/>
  <c r="X244" i="1" s="1"/>
  <c r="W245" i="1"/>
  <c r="X245" i="1" s="1"/>
  <c r="W246" i="1"/>
  <c r="X246" i="1" s="1"/>
  <c r="W247" i="1"/>
  <c r="X247" i="1" s="1"/>
  <c r="W248" i="1"/>
  <c r="X248" i="1" s="1"/>
  <c r="W249" i="1"/>
  <c r="X249" i="1" s="1"/>
  <c r="W250" i="1"/>
  <c r="X250" i="1" s="1"/>
  <c r="W251" i="1"/>
  <c r="X251" i="1" s="1"/>
  <c r="W252" i="1"/>
  <c r="X252" i="1" s="1"/>
  <c r="W254" i="1"/>
  <c r="X254" i="1" s="1"/>
  <c r="W255" i="1"/>
  <c r="X255" i="1" s="1"/>
  <c r="W256" i="1"/>
  <c r="X256" i="1" s="1"/>
  <c r="W257" i="1"/>
  <c r="X257" i="1" s="1"/>
  <c r="W258" i="1"/>
  <c r="X258" i="1" s="1"/>
  <c r="W259" i="1"/>
  <c r="X259" i="1" s="1"/>
  <c r="W260" i="1"/>
  <c r="X260" i="1" s="1"/>
  <c r="W261" i="1"/>
  <c r="X261" i="1" s="1"/>
  <c r="W262" i="1"/>
  <c r="X262" i="1" s="1"/>
  <c r="W263" i="1"/>
  <c r="X263" i="1" s="1"/>
  <c r="W264" i="1"/>
  <c r="X264" i="1" s="1"/>
  <c r="W265" i="1"/>
  <c r="X265" i="1" s="1"/>
  <c r="W266" i="1"/>
  <c r="X266" i="1" s="1"/>
  <c r="W267" i="1"/>
  <c r="X267" i="1" s="1"/>
  <c r="W268" i="1"/>
  <c r="X268" i="1" s="1"/>
  <c r="W269" i="1"/>
  <c r="X269" i="1" s="1"/>
  <c r="W270" i="1"/>
  <c r="X270" i="1" s="1"/>
  <c r="W271" i="1"/>
  <c r="X271" i="1" s="1"/>
  <c r="W272" i="1"/>
  <c r="X272" i="1" s="1"/>
  <c r="W273" i="1"/>
  <c r="X273" i="1" s="1"/>
  <c r="W274" i="1"/>
  <c r="X274" i="1" s="1"/>
  <c r="W275" i="1"/>
  <c r="X275" i="1" s="1"/>
  <c r="W276" i="1"/>
  <c r="X276" i="1" s="1"/>
  <c r="W277" i="1"/>
  <c r="X277" i="1" s="1"/>
  <c r="W278" i="1"/>
  <c r="X278" i="1" s="1"/>
  <c r="W279" i="1"/>
  <c r="X279" i="1" s="1"/>
  <c r="W280" i="1"/>
  <c r="X280" i="1" s="1"/>
  <c r="W281" i="1"/>
  <c r="X281" i="1" s="1"/>
  <c r="W282" i="1"/>
  <c r="X282" i="1" s="1"/>
  <c r="W283" i="1"/>
  <c r="X283" i="1" s="1"/>
  <c r="W284" i="1"/>
  <c r="X284" i="1" s="1"/>
  <c r="W285" i="1"/>
  <c r="X285" i="1" s="1"/>
  <c r="W286" i="1"/>
  <c r="X286" i="1" s="1"/>
  <c r="W287" i="1"/>
  <c r="X287" i="1" s="1"/>
  <c r="W288" i="1"/>
  <c r="X288" i="1" s="1"/>
  <c r="W289" i="1"/>
  <c r="X289" i="1" s="1"/>
  <c r="W290" i="1"/>
  <c r="X290" i="1" s="1"/>
  <c r="W291" i="1"/>
  <c r="X291" i="1" s="1"/>
  <c r="W292" i="1"/>
  <c r="X292" i="1" s="1"/>
  <c r="W293" i="1"/>
  <c r="X293" i="1" s="1"/>
  <c r="W294" i="1"/>
  <c r="X294" i="1" s="1"/>
  <c r="W295" i="1"/>
  <c r="X295" i="1" s="1"/>
  <c r="W296" i="1"/>
  <c r="X296" i="1" s="1"/>
  <c r="W297" i="1"/>
  <c r="X297" i="1" s="1"/>
  <c r="W298" i="1"/>
  <c r="X298" i="1" s="1"/>
  <c r="W299" i="1"/>
  <c r="X299" i="1" s="1"/>
  <c r="W300" i="1"/>
  <c r="X300" i="1" s="1"/>
  <c r="W301" i="1"/>
  <c r="X301" i="1" s="1"/>
  <c r="W302" i="1"/>
  <c r="X302" i="1" s="1"/>
  <c r="W303" i="1"/>
  <c r="X303" i="1" s="1"/>
  <c r="W304" i="1"/>
  <c r="X304" i="1" s="1"/>
  <c r="W305" i="1"/>
  <c r="X305" i="1" s="1"/>
  <c r="W306" i="1"/>
  <c r="X306" i="1" s="1"/>
  <c r="W307" i="1"/>
  <c r="X307" i="1" s="1"/>
  <c r="W308" i="1"/>
  <c r="X308" i="1" s="1"/>
  <c r="W309" i="1"/>
  <c r="X309" i="1" s="1"/>
  <c r="W310" i="1"/>
  <c r="X310" i="1" s="1"/>
  <c r="W311" i="1"/>
  <c r="X311" i="1" s="1"/>
  <c r="W312" i="1"/>
  <c r="X312" i="1" s="1"/>
  <c r="W313" i="1"/>
  <c r="X313" i="1" s="1"/>
  <c r="W314" i="1"/>
  <c r="X314" i="1" s="1"/>
  <c r="W315" i="1"/>
  <c r="X315" i="1" s="1"/>
  <c r="W316" i="1"/>
  <c r="X316" i="1" s="1"/>
  <c r="W317" i="1"/>
  <c r="X317" i="1" s="1"/>
  <c r="W318" i="1"/>
  <c r="X318" i="1" s="1"/>
  <c r="W319" i="1"/>
  <c r="X319" i="1" s="1"/>
  <c r="W320" i="1"/>
  <c r="X320" i="1" s="1"/>
  <c r="W321" i="1"/>
  <c r="X321" i="1" s="1"/>
  <c r="W322" i="1"/>
  <c r="X322" i="1" s="1"/>
  <c r="W323" i="1"/>
  <c r="X323" i="1" s="1"/>
  <c r="W324" i="1"/>
  <c r="X324" i="1" s="1"/>
  <c r="W325" i="1"/>
  <c r="X325" i="1" s="1"/>
  <c r="W326" i="1"/>
  <c r="X326" i="1" s="1"/>
  <c r="W327" i="1"/>
  <c r="X327" i="1" s="1"/>
  <c r="W328" i="1"/>
  <c r="X328" i="1" s="1"/>
  <c r="W329" i="1"/>
  <c r="X329" i="1" s="1"/>
  <c r="W330" i="1"/>
  <c r="X330" i="1" s="1"/>
  <c r="W331" i="1"/>
  <c r="X331" i="1" s="1"/>
  <c r="W332" i="1"/>
  <c r="X332" i="1" s="1"/>
  <c r="W333" i="1"/>
  <c r="X333" i="1" s="1"/>
  <c r="W334" i="1"/>
  <c r="X334" i="1" s="1"/>
  <c r="W335" i="1"/>
  <c r="X335" i="1" s="1"/>
  <c r="W336" i="1"/>
  <c r="X336" i="1" s="1"/>
  <c r="W337" i="1"/>
  <c r="X337" i="1" s="1"/>
  <c r="W338" i="1"/>
  <c r="X338" i="1" s="1"/>
  <c r="W339" i="1"/>
  <c r="X339" i="1" s="1"/>
  <c r="W340" i="1"/>
  <c r="X340" i="1" s="1"/>
  <c r="W341" i="1"/>
  <c r="X341" i="1" s="1"/>
  <c r="W342" i="1"/>
  <c r="X342" i="1" s="1"/>
  <c r="W343" i="1"/>
  <c r="X343" i="1" s="1"/>
  <c r="W344" i="1"/>
  <c r="X344" i="1" s="1"/>
  <c r="W345" i="1"/>
  <c r="X345" i="1" s="1"/>
  <c r="W346" i="1"/>
  <c r="X346" i="1" s="1"/>
  <c r="W347" i="1"/>
  <c r="X347" i="1" s="1"/>
  <c r="W348" i="1"/>
  <c r="X348" i="1" s="1"/>
  <c r="W349" i="1"/>
  <c r="X349" i="1" s="1"/>
  <c r="W350" i="1"/>
  <c r="X350" i="1" s="1"/>
  <c r="W351" i="1"/>
  <c r="X351" i="1" s="1"/>
  <c r="W352" i="1"/>
  <c r="X352" i="1" s="1"/>
  <c r="W353" i="1"/>
  <c r="X353" i="1" s="1"/>
  <c r="W354" i="1"/>
  <c r="X354" i="1" s="1"/>
  <c r="W355" i="1"/>
  <c r="X355" i="1" s="1"/>
  <c r="W356" i="1"/>
  <c r="X356" i="1" s="1"/>
  <c r="W357" i="1"/>
  <c r="X357" i="1" s="1"/>
  <c r="W358" i="1"/>
  <c r="X358" i="1" s="1"/>
  <c r="W359" i="1"/>
  <c r="X359" i="1" s="1"/>
  <c r="W360" i="1"/>
  <c r="X360" i="1" s="1"/>
  <c r="W361" i="1"/>
  <c r="X361" i="1" s="1"/>
  <c r="W362" i="1"/>
  <c r="X362" i="1" s="1"/>
  <c r="W364" i="1"/>
  <c r="X364" i="1" s="1"/>
  <c r="W365" i="1"/>
  <c r="X365" i="1" s="1"/>
  <c r="W366" i="1"/>
  <c r="X366" i="1" s="1"/>
  <c r="W367" i="1"/>
  <c r="X367" i="1" s="1"/>
  <c r="W368" i="1"/>
  <c r="X368" i="1" s="1"/>
  <c r="W369" i="1"/>
  <c r="X369" i="1" s="1"/>
  <c r="W370" i="1"/>
  <c r="X370" i="1" s="1"/>
  <c r="W371" i="1"/>
  <c r="X371" i="1" s="1"/>
  <c r="W372" i="1"/>
  <c r="X372" i="1" s="1"/>
  <c r="W373" i="1"/>
  <c r="X373" i="1" s="1"/>
  <c r="W374" i="1"/>
  <c r="X374" i="1" s="1"/>
  <c r="W375" i="1"/>
  <c r="X375" i="1" s="1"/>
  <c r="W376" i="1"/>
  <c r="X376" i="1" s="1"/>
  <c r="W377" i="1"/>
  <c r="X377" i="1" s="1"/>
  <c r="W378" i="1"/>
  <c r="X378" i="1" s="1"/>
  <c r="W379" i="1"/>
  <c r="X379" i="1" s="1"/>
  <c r="W380" i="1"/>
  <c r="X380" i="1" s="1"/>
  <c r="W381" i="1"/>
  <c r="X381" i="1" s="1"/>
  <c r="W382" i="1"/>
  <c r="X382" i="1" s="1"/>
  <c r="W383" i="1"/>
  <c r="X383" i="1" s="1"/>
  <c r="W384" i="1"/>
  <c r="X384" i="1" s="1"/>
  <c r="W385" i="1"/>
  <c r="X385" i="1" s="1"/>
  <c r="W386" i="1"/>
  <c r="X386" i="1" s="1"/>
  <c r="W387" i="1"/>
  <c r="X387" i="1" s="1"/>
  <c r="W388" i="1"/>
  <c r="X388" i="1" s="1"/>
  <c r="W389" i="1"/>
  <c r="X389" i="1" s="1"/>
  <c r="W390" i="1"/>
  <c r="X390" i="1" s="1"/>
  <c r="W391" i="1"/>
  <c r="X391" i="1" s="1"/>
  <c r="W392" i="1"/>
  <c r="X392" i="1" s="1"/>
  <c r="W393" i="1"/>
  <c r="X393" i="1" s="1"/>
  <c r="W394" i="1"/>
  <c r="X394" i="1" s="1"/>
  <c r="W395" i="1"/>
  <c r="X395" i="1" s="1"/>
  <c r="W396" i="1"/>
  <c r="X396" i="1" s="1"/>
  <c r="W397" i="1"/>
  <c r="X397" i="1" s="1"/>
  <c r="W398" i="1"/>
  <c r="X398" i="1" s="1"/>
  <c r="W399" i="1"/>
  <c r="X399" i="1" s="1"/>
  <c r="W400" i="1"/>
  <c r="X400" i="1" s="1"/>
  <c r="W401" i="1"/>
  <c r="X401" i="1" s="1"/>
  <c r="W402" i="1"/>
  <c r="X402" i="1" s="1"/>
  <c r="W403" i="1"/>
  <c r="X403" i="1" s="1"/>
  <c r="W404" i="1"/>
  <c r="X404" i="1" s="1"/>
  <c r="W405" i="1"/>
  <c r="X405" i="1" s="1"/>
  <c r="W406" i="1"/>
  <c r="X406" i="1" s="1"/>
  <c r="W407" i="1"/>
  <c r="X407" i="1" s="1"/>
  <c r="W408" i="1"/>
  <c r="X408" i="1" s="1"/>
  <c r="W410" i="1"/>
  <c r="X410" i="1" s="1"/>
  <c r="W411" i="1"/>
  <c r="X411" i="1" s="1"/>
  <c r="W412" i="1"/>
  <c r="X412" i="1" s="1"/>
  <c r="W413" i="1"/>
  <c r="X413" i="1" s="1"/>
  <c r="W414" i="1"/>
  <c r="X414" i="1" s="1"/>
  <c r="W415" i="1"/>
  <c r="X415" i="1" s="1"/>
  <c r="W416" i="1"/>
  <c r="X416" i="1" s="1"/>
  <c r="W417" i="1"/>
  <c r="X417" i="1" s="1"/>
  <c r="W418" i="1"/>
  <c r="X418" i="1" s="1"/>
  <c r="W419" i="1"/>
  <c r="X419" i="1" s="1"/>
  <c r="W420" i="1"/>
  <c r="X420" i="1" s="1"/>
  <c r="W421" i="1"/>
  <c r="X421" i="1" s="1"/>
  <c r="W422" i="1"/>
  <c r="X422" i="1" s="1"/>
  <c r="W423" i="1"/>
  <c r="X423" i="1" s="1"/>
  <c r="W424" i="1"/>
  <c r="X424" i="1" s="1"/>
  <c r="W425" i="1"/>
  <c r="X425" i="1" s="1"/>
  <c r="W426" i="1"/>
  <c r="X426" i="1" s="1"/>
  <c r="W427" i="1"/>
  <c r="X427" i="1" s="1"/>
  <c r="W428" i="1"/>
  <c r="X428" i="1" s="1"/>
  <c r="W429" i="1"/>
  <c r="X429" i="1" s="1"/>
  <c r="W430" i="1"/>
  <c r="X430" i="1" s="1"/>
  <c r="W431" i="1"/>
  <c r="X431" i="1" s="1"/>
  <c r="W432" i="1"/>
  <c r="X432" i="1" s="1"/>
  <c r="W433" i="1"/>
  <c r="X433" i="1" s="1"/>
  <c r="W434" i="1"/>
  <c r="X434" i="1" s="1"/>
  <c r="W435" i="1"/>
  <c r="X435" i="1" s="1"/>
  <c r="W436" i="1"/>
  <c r="X436" i="1" s="1"/>
  <c r="W437" i="1"/>
  <c r="X437" i="1" s="1"/>
  <c r="W438" i="1"/>
  <c r="X438" i="1" s="1"/>
  <c r="W439" i="1"/>
  <c r="X439" i="1" s="1"/>
  <c r="W440" i="1"/>
  <c r="X440" i="1" s="1"/>
  <c r="W441" i="1"/>
  <c r="X441" i="1" s="1"/>
  <c r="W442" i="1"/>
  <c r="X442" i="1" s="1"/>
  <c r="W443" i="1"/>
  <c r="X443" i="1" s="1"/>
  <c r="W444" i="1"/>
  <c r="X444" i="1" s="1"/>
  <c r="W445" i="1"/>
  <c r="X445" i="1" s="1"/>
  <c r="W446" i="1"/>
  <c r="X446" i="1" s="1"/>
  <c r="W447" i="1"/>
  <c r="X447" i="1" s="1"/>
  <c r="W448" i="1"/>
  <c r="X448" i="1" s="1"/>
  <c r="W449" i="1"/>
  <c r="X449" i="1" s="1"/>
  <c r="W450" i="1"/>
  <c r="X450" i="1" s="1"/>
  <c r="W451" i="1"/>
  <c r="X451" i="1" s="1"/>
  <c r="W452" i="1"/>
  <c r="X452" i="1" s="1"/>
  <c r="W453" i="1"/>
  <c r="X453" i="1" s="1"/>
  <c r="W454" i="1"/>
  <c r="X454" i="1" s="1"/>
  <c r="W455" i="1"/>
  <c r="X455" i="1" s="1"/>
  <c r="W456" i="1"/>
  <c r="X456" i="1" s="1"/>
  <c r="W457" i="1"/>
  <c r="X457" i="1" s="1"/>
  <c r="W458" i="1"/>
  <c r="X458" i="1" s="1"/>
  <c r="W459" i="1"/>
  <c r="X459" i="1" s="1"/>
  <c r="W460" i="1"/>
  <c r="X460" i="1" s="1"/>
  <c r="W461" i="1"/>
  <c r="X461" i="1" s="1"/>
  <c r="W462" i="1"/>
  <c r="X462" i="1" s="1"/>
  <c r="W463" i="1"/>
  <c r="X463" i="1" s="1"/>
  <c r="W464" i="1"/>
  <c r="X464" i="1" s="1"/>
  <c r="W465" i="1"/>
  <c r="X465" i="1" s="1"/>
  <c r="W466" i="1"/>
  <c r="X466" i="1" s="1"/>
  <c r="W467" i="1"/>
  <c r="X467" i="1" s="1"/>
  <c r="W468" i="1"/>
  <c r="X468" i="1" s="1"/>
  <c r="W469" i="1"/>
  <c r="X469" i="1" s="1"/>
  <c r="W470" i="1"/>
  <c r="X470" i="1" s="1"/>
  <c r="W471" i="1"/>
  <c r="X471" i="1" s="1"/>
  <c r="W472" i="1"/>
  <c r="X472" i="1" s="1"/>
  <c r="W473" i="1"/>
  <c r="X473" i="1" s="1"/>
  <c r="W474" i="1"/>
  <c r="X474" i="1" s="1"/>
  <c r="W475" i="1"/>
  <c r="X475" i="1" s="1"/>
  <c r="W494" i="1"/>
  <c r="X494" i="1" s="1"/>
  <c r="W495" i="1"/>
  <c r="X495" i="1" s="1"/>
  <c r="W496" i="1"/>
  <c r="X496" i="1" s="1"/>
  <c r="W497" i="1"/>
  <c r="X497" i="1" s="1"/>
  <c r="W498" i="1"/>
  <c r="X498" i="1" s="1"/>
  <c r="W499" i="1"/>
  <c r="X499" i="1" s="1"/>
  <c r="W500" i="1"/>
  <c r="X500" i="1" s="1"/>
  <c r="W501" i="1"/>
  <c r="X501" i="1" s="1"/>
  <c r="W502" i="1"/>
  <c r="X502" i="1" s="1"/>
  <c r="W503" i="1"/>
  <c r="X503" i="1" s="1"/>
  <c r="W504" i="1"/>
  <c r="X504" i="1" s="1"/>
  <c r="W505" i="1"/>
  <c r="X505" i="1" s="1"/>
  <c r="W506" i="1"/>
  <c r="X506" i="1" s="1"/>
  <c r="W507" i="1"/>
  <c r="X507" i="1" s="1"/>
  <c r="W508" i="1"/>
  <c r="X508" i="1" s="1"/>
  <c r="W509" i="1"/>
  <c r="X509" i="1" s="1"/>
  <c r="W510" i="1"/>
  <c r="X510" i="1" s="1"/>
  <c r="W511" i="1"/>
  <c r="X511" i="1" s="1"/>
  <c r="W512" i="1"/>
  <c r="X512" i="1" s="1"/>
  <c r="W513" i="1"/>
  <c r="X513" i="1" s="1"/>
  <c r="W514" i="1"/>
  <c r="X514" i="1" s="1"/>
  <c r="W515" i="1"/>
  <c r="X515" i="1" s="1"/>
  <c r="W516" i="1"/>
  <c r="X516" i="1" s="1"/>
  <c r="W517" i="1"/>
  <c r="X517" i="1" s="1"/>
  <c r="W518" i="1"/>
  <c r="X518" i="1" s="1"/>
  <c r="W519" i="1"/>
  <c r="X519" i="1" s="1"/>
  <c r="W520" i="1"/>
  <c r="X520" i="1" s="1"/>
  <c r="W521" i="1"/>
  <c r="X521" i="1" s="1"/>
  <c r="W522" i="1"/>
  <c r="X522" i="1" s="1"/>
  <c r="W523" i="1"/>
  <c r="X523" i="1" s="1"/>
  <c r="W524" i="1"/>
  <c r="X524" i="1" s="1"/>
  <c r="W525" i="1"/>
  <c r="X525" i="1" s="1"/>
  <c r="W526" i="1"/>
  <c r="X526" i="1" s="1"/>
  <c r="W527" i="1"/>
  <c r="X527" i="1" s="1"/>
  <c r="W528" i="1"/>
  <c r="X528" i="1" s="1"/>
  <c r="W529" i="1"/>
  <c r="X529" i="1" s="1"/>
  <c r="W530" i="1"/>
  <c r="X530" i="1" s="1"/>
  <c r="W531" i="1"/>
  <c r="X531" i="1" s="1"/>
  <c r="W532" i="1"/>
  <c r="X532" i="1" s="1"/>
  <c r="W533" i="1"/>
  <c r="X533" i="1" s="1"/>
  <c r="X534" i="1"/>
  <c r="W535" i="1"/>
  <c r="X535" i="1" s="1"/>
  <c r="W536" i="1"/>
  <c r="X536" i="1" s="1"/>
  <c r="W537" i="1"/>
  <c r="X537" i="1" s="1"/>
  <c r="W538" i="1"/>
  <c r="X538" i="1" s="1"/>
  <c r="W539" i="1"/>
  <c r="X539" i="1" s="1"/>
  <c r="W540" i="1"/>
  <c r="X540" i="1" s="1"/>
  <c r="W541" i="1"/>
  <c r="X541" i="1" s="1"/>
  <c r="W542" i="1"/>
  <c r="X542" i="1" s="1"/>
  <c r="W543" i="1"/>
  <c r="X543" i="1" s="1"/>
  <c r="W544" i="1"/>
  <c r="X544" i="1" s="1"/>
  <c r="W546" i="1"/>
  <c r="X546" i="1" s="1"/>
  <c r="W547" i="1"/>
  <c r="X547" i="1" s="1"/>
  <c r="W548" i="1"/>
  <c r="X548" i="1" s="1"/>
  <c r="W549" i="1"/>
  <c r="X549" i="1" s="1"/>
  <c r="W550" i="1"/>
  <c r="X550" i="1" s="1"/>
  <c r="W551" i="1"/>
  <c r="X551" i="1" s="1"/>
  <c r="W552" i="1"/>
  <c r="X552" i="1" s="1"/>
  <c r="W890" i="1"/>
  <c r="X890" i="1" s="1"/>
  <c r="W554" i="1"/>
  <c r="X554" i="1" s="1"/>
  <c r="W555" i="1"/>
  <c r="X555" i="1" s="1"/>
  <c r="W556" i="1"/>
  <c r="X556" i="1" s="1"/>
  <c r="W557" i="1"/>
  <c r="X557" i="1" s="1"/>
  <c r="W558" i="1"/>
  <c r="X558" i="1" s="1"/>
  <c r="W559" i="1"/>
  <c r="X559" i="1" s="1"/>
  <c r="W560" i="1"/>
  <c r="X560" i="1" s="1"/>
  <c r="W561" i="1"/>
  <c r="X561" i="1" s="1"/>
  <c r="W562" i="1"/>
  <c r="X562" i="1" s="1"/>
  <c r="W563" i="1"/>
  <c r="X563" i="1" s="1"/>
  <c r="W564" i="1"/>
  <c r="X564" i="1" s="1"/>
  <c r="W565" i="1"/>
  <c r="X565" i="1" s="1"/>
  <c r="W566" i="1"/>
  <c r="X566" i="1" s="1"/>
  <c r="W567" i="1"/>
  <c r="X567" i="1" s="1"/>
  <c r="W568" i="1"/>
  <c r="X568" i="1" s="1"/>
  <c r="W569" i="1"/>
  <c r="X569" i="1" s="1"/>
  <c r="W570" i="1"/>
  <c r="X570" i="1" s="1"/>
  <c r="W571" i="1"/>
  <c r="X571" i="1" s="1"/>
  <c r="W572" i="1"/>
  <c r="X572" i="1" s="1"/>
  <c r="W573" i="1"/>
  <c r="X573" i="1" s="1"/>
  <c r="W574" i="1"/>
  <c r="X574" i="1" s="1"/>
  <c r="W575" i="1"/>
  <c r="X575" i="1" s="1"/>
  <c r="W576" i="1"/>
  <c r="X576" i="1" s="1"/>
  <c r="W577" i="1"/>
  <c r="X577" i="1" s="1"/>
  <c r="W579" i="1"/>
  <c r="X579" i="1" s="1"/>
  <c r="W580" i="1"/>
  <c r="X580" i="1" s="1"/>
  <c r="W581" i="1"/>
  <c r="X581" i="1" s="1"/>
  <c r="W582" i="1"/>
  <c r="X582" i="1" s="1"/>
  <c r="W583" i="1"/>
  <c r="X583" i="1" s="1"/>
  <c r="W584" i="1"/>
  <c r="X584" i="1" s="1"/>
  <c r="W585" i="1"/>
  <c r="X585" i="1" s="1"/>
  <c r="W586" i="1"/>
  <c r="X586" i="1" s="1"/>
  <c r="W587" i="1"/>
  <c r="X587" i="1" s="1"/>
  <c r="W588" i="1"/>
  <c r="X588" i="1" s="1"/>
  <c r="W589" i="1"/>
  <c r="X589" i="1" s="1"/>
  <c r="W590" i="1"/>
  <c r="X590" i="1" s="1"/>
  <c r="W591" i="1"/>
  <c r="X591" i="1" s="1"/>
  <c r="W592" i="1"/>
  <c r="X592" i="1" s="1"/>
  <c r="W593" i="1"/>
  <c r="X593" i="1" s="1"/>
  <c r="W594" i="1"/>
  <c r="X594" i="1" s="1"/>
  <c r="W595" i="1"/>
  <c r="X595" i="1" s="1"/>
  <c r="W596" i="1"/>
  <c r="X596" i="1" s="1"/>
  <c r="W597" i="1"/>
  <c r="X597" i="1" s="1"/>
  <c r="W598" i="1"/>
  <c r="X598" i="1" s="1"/>
  <c r="W599" i="1"/>
  <c r="X599" i="1" s="1"/>
  <c r="W600" i="1"/>
  <c r="X600" i="1" s="1"/>
  <c r="W601" i="1"/>
  <c r="X601" i="1" s="1"/>
  <c r="W602" i="1"/>
  <c r="X602" i="1" s="1"/>
  <c r="W603" i="1"/>
  <c r="X603" i="1" s="1"/>
  <c r="W604" i="1"/>
  <c r="X604" i="1" s="1"/>
  <c r="W605" i="1"/>
  <c r="X605" i="1" s="1"/>
  <c r="W606" i="1"/>
  <c r="X606" i="1" s="1"/>
  <c r="W607" i="1"/>
  <c r="X607" i="1" s="1"/>
  <c r="W608" i="1"/>
  <c r="X608" i="1" s="1"/>
  <c r="W609" i="1"/>
  <c r="X609" i="1" s="1"/>
  <c r="W17" i="1"/>
  <c r="X17" i="1" s="1"/>
  <c r="W610" i="1"/>
  <c r="X610" i="1" s="1"/>
  <c r="W611" i="1"/>
  <c r="X611" i="1" s="1"/>
  <c r="W612" i="1"/>
  <c r="X612" i="1" s="1"/>
  <c r="W613" i="1"/>
  <c r="X613" i="1" s="1"/>
  <c r="W614" i="1"/>
  <c r="X614" i="1" s="1"/>
  <c r="W615" i="1"/>
  <c r="X615" i="1" s="1"/>
  <c r="W616" i="1"/>
  <c r="X616" i="1" s="1"/>
  <c r="W617" i="1"/>
  <c r="X617" i="1" s="1"/>
  <c r="W618" i="1"/>
  <c r="X618" i="1" s="1"/>
  <c r="W619" i="1"/>
  <c r="X619" i="1" s="1"/>
  <c r="W620" i="1"/>
  <c r="X620" i="1" s="1"/>
  <c r="W621" i="1"/>
  <c r="X621" i="1" s="1"/>
  <c r="W622" i="1"/>
  <c r="X622" i="1" s="1"/>
  <c r="W623" i="1"/>
  <c r="X623" i="1" s="1"/>
  <c r="W18" i="1"/>
  <c r="X18" i="1" s="1"/>
  <c r="Q624" i="1"/>
  <c r="Q625" i="1"/>
  <c r="Q626" i="1"/>
  <c r="Q627" i="1"/>
  <c r="Q628" i="1"/>
  <c r="Q19" i="1"/>
  <c r="Q629" i="1"/>
  <c r="Q630" i="1"/>
  <c r="Q631" i="1"/>
  <c r="Q632" i="1"/>
  <c r="Q633" i="1"/>
  <c r="Q634" i="1"/>
  <c r="Q635" i="1"/>
  <c r="Q636" i="1"/>
  <c r="Q637" i="1"/>
  <c r="Q638" i="1"/>
  <c r="Q639" i="1"/>
  <c r="Q640" i="1"/>
  <c r="Q641" i="1"/>
  <c r="Q642" i="1"/>
  <c r="Q643" i="1"/>
  <c r="Q644" i="1"/>
  <c r="Q20" i="1"/>
  <c r="Q645" i="1"/>
  <c r="Q646" i="1"/>
  <c r="Q647" i="1"/>
  <c r="Q648" i="1"/>
  <c r="Q649" i="1"/>
  <c r="Q650" i="1"/>
  <c r="Q651" i="1"/>
  <c r="Q652" i="1"/>
  <c r="Q653" i="1"/>
  <c r="Q654" i="1"/>
  <c r="Q21" i="1"/>
  <c r="Q655" i="1"/>
  <c r="Q656" i="1"/>
  <c r="Q657" i="1"/>
  <c r="Q658" i="1"/>
  <c r="Q659" i="1"/>
  <c r="Q660" i="1"/>
  <c r="Q661" i="1"/>
  <c r="Q662" i="1"/>
  <c r="Q22" i="1"/>
  <c r="Q663" i="1"/>
  <c r="Q664" i="1"/>
  <c r="Q665" i="1"/>
  <c r="Q666" i="1"/>
  <c r="Q667" i="1"/>
  <c r="Q668" i="1"/>
  <c r="Q669" i="1"/>
  <c r="Q670" i="1"/>
  <c r="Q671" i="1"/>
  <c r="Q672" i="1"/>
  <c r="Q673" i="1"/>
  <c r="Q674" i="1"/>
  <c r="Q675" i="1"/>
  <c r="Q676" i="1"/>
  <c r="Q677" i="1"/>
  <c r="Q678" i="1"/>
  <c r="Q679" i="1"/>
  <c r="Q680" i="1"/>
  <c r="Q681" i="1"/>
  <c r="Q682" i="1"/>
  <c r="Q683" i="1"/>
  <c r="Q684" i="1"/>
  <c r="Q685" i="1"/>
  <c r="Q686" i="1"/>
  <c r="R624" i="1"/>
  <c r="R625" i="1"/>
  <c r="R626" i="1"/>
  <c r="R627" i="1"/>
  <c r="R628" i="1"/>
  <c r="R19" i="1"/>
  <c r="R629" i="1"/>
  <c r="R630" i="1"/>
  <c r="R631" i="1"/>
  <c r="R632" i="1"/>
  <c r="R633" i="1"/>
  <c r="R634" i="1"/>
  <c r="R635" i="1"/>
  <c r="R636" i="1"/>
  <c r="R637" i="1"/>
  <c r="R638" i="1"/>
  <c r="R639" i="1"/>
  <c r="R640" i="1"/>
  <c r="R641" i="1"/>
  <c r="R642" i="1"/>
  <c r="R643" i="1"/>
  <c r="R644" i="1"/>
  <c r="R20" i="1"/>
  <c r="R645" i="1"/>
  <c r="R646" i="1"/>
  <c r="R647" i="1"/>
  <c r="R648" i="1"/>
  <c r="R649" i="1"/>
  <c r="R650" i="1"/>
  <c r="R651" i="1"/>
  <c r="R652" i="1"/>
  <c r="R653" i="1"/>
  <c r="R654" i="1"/>
  <c r="R21" i="1"/>
  <c r="R655" i="1"/>
  <c r="R656" i="1"/>
  <c r="R657" i="1"/>
  <c r="R658" i="1"/>
  <c r="R659" i="1"/>
  <c r="R660" i="1"/>
  <c r="R661" i="1"/>
  <c r="R662" i="1"/>
  <c r="R22" i="1"/>
  <c r="R663" i="1"/>
  <c r="R664" i="1"/>
  <c r="R665" i="1"/>
  <c r="R666" i="1"/>
  <c r="R667" i="1"/>
  <c r="R668" i="1"/>
  <c r="R669" i="1"/>
  <c r="R670" i="1"/>
  <c r="R671" i="1"/>
  <c r="R672" i="1"/>
  <c r="R673" i="1"/>
  <c r="R674" i="1"/>
  <c r="R675" i="1"/>
  <c r="R676" i="1"/>
  <c r="R677" i="1"/>
  <c r="R678" i="1"/>
  <c r="R679" i="1"/>
  <c r="R680" i="1"/>
  <c r="R681" i="1"/>
  <c r="R682" i="1"/>
  <c r="R683" i="1"/>
  <c r="R684" i="1"/>
  <c r="R685" i="1"/>
  <c r="R686" i="1"/>
  <c r="P624" i="1"/>
  <c r="P625" i="1"/>
  <c r="P626" i="1"/>
  <c r="P627" i="1"/>
  <c r="P628" i="1"/>
  <c r="P19" i="1"/>
  <c r="P629" i="1"/>
  <c r="P630" i="1"/>
  <c r="P631" i="1"/>
  <c r="P632" i="1"/>
  <c r="P633" i="1"/>
  <c r="P634" i="1"/>
  <c r="P635" i="1"/>
  <c r="P636" i="1"/>
  <c r="P637" i="1"/>
  <c r="P638" i="1"/>
  <c r="P639" i="1"/>
  <c r="P640" i="1"/>
  <c r="P641" i="1"/>
  <c r="P642" i="1"/>
  <c r="P643" i="1"/>
  <c r="P644" i="1"/>
  <c r="P20" i="1"/>
  <c r="P645" i="1"/>
  <c r="P646" i="1"/>
  <c r="P647" i="1"/>
  <c r="P648" i="1"/>
  <c r="P649" i="1"/>
  <c r="P650" i="1"/>
  <c r="P651" i="1"/>
  <c r="P652" i="1"/>
  <c r="P653" i="1"/>
  <c r="P654" i="1"/>
  <c r="P21" i="1"/>
  <c r="P655" i="1"/>
  <c r="P656" i="1"/>
  <c r="P657" i="1"/>
  <c r="P658" i="1"/>
  <c r="P659" i="1"/>
  <c r="P660" i="1"/>
  <c r="P661" i="1"/>
  <c r="P662" i="1"/>
  <c r="P22" i="1"/>
  <c r="P663" i="1"/>
  <c r="P664" i="1"/>
  <c r="P665" i="1"/>
  <c r="P666" i="1"/>
  <c r="P667" i="1"/>
  <c r="P668" i="1"/>
  <c r="P669" i="1"/>
  <c r="P670" i="1"/>
  <c r="P671" i="1"/>
  <c r="P672" i="1"/>
  <c r="P673" i="1"/>
  <c r="P674" i="1"/>
  <c r="P675" i="1"/>
  <c r="P676" i="1"/>
  <c r="P677" i="1"/>
  <c r="P678" i="1"/>
  <c r="P679" i="1"/>
  <c r="P680" i="1"/>
  <c r="P681" i="1"/>
  <c r="P682" i="1"/>
  <c r="P683" i="1"/>
  <c r="P684" i="1"/>
  <c r="P685" i="1"/>
  <c r="P686" i="1"/>
  <c r="T624" i="1"/>
  <c r="U624" i="1" s="1"/>
  <c r="T625" i="1"/>
  <c r="U625" i="1" s="1"/>
  <c r="T626" i="1"/>
  <c r="U626" i="1" s="1"/>
  <c r="T627" i="1"/>
  <c r="U627" i="1" s="1"/>
  <c r="T628" i="1"/>
  <c r="U628" i="1" s="1"/>
  <c r="T19" i="1"/>
  <c r="U19" i="1" s="1"/>
  <c r="T629" i="1"/>
  <c r="U629" i="1" s="1"/>
  <c r="T630" i="1"/>
  <c r="U630" i="1" s="1"/>
  <c r="T631" i="1"/>
  <c r="U631" i="1" s="1"/>
  <c r="T632" i="1"/>
  <c r="U632" i="1" s="1"/>
  <c r="T633" i="1"/>
  <c r="U633" i="1" s="1"/>
  <c r="T634" i="1"/>
  <c r="U634" i="1" s="1"/>
  <c r="T635" i="1"/>
  <c r="U635" i="1" s="1"/>
  <c r="T636" i="1"/>
  <c r="U636" i="1" s="1"/>
  <c r="T637" i="1"/>
  <c r="U637" i="1" s="1"/>
  <c r="T638" i="1"/>
  <c r="U638" i="1" s="1"/>
  <c r="T639" i="1"/>
  <c r="U639" i="1" s="1"/>
  <c r="T640" i="1"/>
  <c r="U640" i="1" s="1"/>
  <c r="T641" i="1"/>
  <c r="U641" i="1" s="1"/>
  <c r="T642" i="1"/>
  <c r="U642" i="1" s="1"/>
  <c r="T643" i="1"/>
  <c r="U643" i="1" s="1"/>
  <c r="T644" i="1"/>
  <c r="U644" i="1" s="1"/>
  <c r="T20" i="1"/>
  <c r="U20" i="1" s="1"/>
  <c r="T645" i="1"/>
  <c r="U645" i="1" s="1"/>
  <c r="T646" i="1"/>
  <c r="U646" i="1" s="1"/>
  <c r="T647" i="1"/>
  <c r="U647" i="1" s="1"/>
  <c r="T648" i="1"/>
  <c r="U648" i="1" s="1"/>
  <c r="T649" i="1"/>
  <c r="U649" i="1" s="1"/>
  <c r="T650" i="1"/>
  <c r="U650" i="1" s="1"/>
  <c r="T651" i="1"/>
  <c r="U651" i="1" s="1"/>
  <c r="T652" i="1"/>
  <c r="U652" i="1" s="1"/>
  <c r="T653" i="1"/>
  <c r="U653" i="1" s="1"/>
  <c r="T654" i="1"/>
  <c r="U654" i="1" s="1"/>
  <c r="T21" i="1"/>
  <c r="U21" i="1" s="1"/>
  <c r="T655" i="1"/>
  <c r="U655" i="1" s="1"/>
  <c r="T656" i="1"/>
  <c r="U656" i="1" s="1"/>
  <c r="T657" i="1"/>
  <c r="U657" i="1" s="1"/>
  <c r="T658" i="1"/>
  <c r="U658" i="1" s="1"/>
  <c r="T659" i="1"/>
  <c r="U659" i="1" s="1"/>
  <c r="T660" i="1"/>
  <c r="U660" i="1" s="1"/>
  <c r="T661" i="1"/>
  <c r="U661" i="1" s="1"/>
  <c r="T662" i="1"/>
  <c r="U662" i="1" s="1"/>
  <c r="T22" i="1"/>
  <c r="U22" i="1" s="1"/>
  <c r="T663" i="1"/>
  <c r="U663" i="1" s="1"/>
  <c r="T664" i="1"/>
  <c r="U664" i="1" s="1"/>
  <c r="T665" i="1"/>
  <c r="U665" i="1" s="1"/>
  <c r="T666" i="1"/>
  <c r="U666" i="1" s="1"/>
  <c r="T667" i="1"/>
  <c r="U667" i="1" s="1"/>
  <c r="T668" i="1"/>
  <c r="U668" i="1" s="1"/>
  <c r="T669" i="1"/>
  <c r="U669" i="1" s="1"/>
  <c r="T670" i="1"/>
  <c r="U670" i="1" s="1"/>
  <c r="T671" i="1"/>
  <c r="U671" i="1" s="1"/>
  <c r="T672" i="1"/>
  <c r="U672" i="1" s="1"/>
  <c r="T673" i="1"/>
  <c r="U673" i="1" s="1"/>
  <c r="T674" i="1"/>
  <c r="U674" i="1" s="1"/>
  <c r="T675" i="1"/>
  <c r="U675" i="1" s="1"/>
  <c r="T676" i="1"/>
  <c r="U676" i="1" s="1"/>
  <c r="T677" i="1"/>
  <c r="U677" i="1" s="1"/>
  <c r="T678" i="1"/>
  <c r="U678" i="1" s="1"/>
  <c r="T679" i="1"/>
  <c r="U679" i="1" s="1"/>
  <c r="T680" i="1"/>
  <c r="U680" i="1" s="1"/>
  <c r="T681" i="1"/>
  <c r="U681" i="1" s="1"/>
  <c r="T682" i="1"/>
  <c r="U682" i="1" s="1"/>
  <c r="T683" i="1"/>
  <c r="U683" i="1" s="1"/>
  <c r="T684" i="1"/>
  <c r="U684" i="1" s="1"/>
  <c r="T685" i="1"/>
  <c r="U685" i="1" s="1"/>
  <c r="T686" i="1"/>
  <c r="U686" i="1" s="1"/>
  <c r="M37" i="9"/>
  <c r="M36" i="9"/>
  <c r="M35" i="9"/>
  <c r="M34" i="9"/>
  <c r="M33" i="9"/>
  <c r="M32" i="9"/>
  <c r="M31" i="9"/>
  <c r="M30" i="9"/>
  <c r="M29" i="9"/>
  <c r="M28" i="9"/>
  <c r="M27" i="9"/>
  <c r="M26" i="9"/>
  <c r="M7" i="9"/>
  <c r="M8" i="9"/>
  <c r="M9" i="9"/>
  <c r="M10" i="9"/>
  <c r="M11" i="9"/>
  <c r="M12" i="9"/>
  <c r="M13" i="9"/>
  <c r="M14" i="9"/>
  <c r="M15" i="9"/>
  <c r="M16" i="9"/>
  <c r="M17" i="9"/>
  <c r="M18" i="9"/>
  <c r="M19" i="9"/>
  <c r="M6" i="9"/>
  <c r="L20" i="9"/>
  <c r="F20" i="9"/>
  <c r="W624" i="1"/>
  <c r="X624" i="1" s="1"/>
  <c r="W625" i="1"/>
  <c r="X625" i="1" s="1"/>
  <c r="W626" i="1"/>
  <c r="X626" i="1" s="1"/>
  <c r="W627" i="1"/>
  <c r="X627" i="1" s="1"/>
  <c r="W628" i="1"/>
  <c r="X628" i="1" s="1"/>
  <c r="W19" i="1"/>
  <c r="X19" i="1" s="1"/>
  <c r="W629" i="1"/>
  <c r="X629" i="1" s="1"/>
  <c r="W630" i="1"/>
  <c r="X630" i="1" s="1"/>
  <c r="W631" i="1"/>
  <c r="X631" i="1" s="1"/>
  <c r="W632" i="1"/>
  <c r="X632" i="1" s="1"/>
  <c r="W633" i="1"/>
  <c r="X633" i="1" s="1"/>
  <c r="W634" i="1"/>
  <c r="X634" i="1" s="1"/>
  <c r="W635" i="1"/>
  <c r="X635" i="1" s="1"/>
  <c r="W636" i="1"/>
  <c r="X636" i="1" s="1"/>
  <c r="W637" i="1"/>
  <c r="X637" i="1" s="1"/>
  <c r="W638" i="1"/>
  <c r="X638" i="1" s="1"/>
  <c r="W639" i="1"/>
  <c r="X639" i="1" s="1"/>
  <c r="W640" i="1"/>
  <c r="X640" i="1" s="1"/>
  <c r="W641" i="1"/>
  <c r="X641" i="1" s="1"/>
  <c r="W642" i="1"/>
  <c r="X642" i="1" s="1"/>
  <c r="W643" i="1"/>
  <c r="X643" i="1" s="1"/>
  <c r="W644" i="1"/>
  <c r="X644" i="1" s="1"/>
  <c r="W20" i="1"/>
  <c r="X20" i="1" s="1"/>
  <c r="W645" i="1"/>
  <c r="X645" i="1" s="1"/>
  <c r="W646" i="1"/>
  <c r="X646" i="1" s="1"/>
  <c r="W647" i="1"/>
  <c r="X647" i="1" s="1"/>
  <c r="W648" i="1"/>
  <c r="X648" i="1" s="1"/>
  <c r="W649" i="1"/>
  <c r="X649" i="1" s="1"/>
  <c r="W650" i="1"/>
  <c r="X650" i="1" s="1"/>
  <c r="W651" i="1"/>
  <c r="X651" i="1" s="1"/>
  <c r="W652" i="1"/>
  <c r="X652" i="1" s="1"/>
  <c r="W653" i="1"/>
  <c r="X653" i="1" s="1"/>
  <c r="W654" i="1"/>
  <c r="X654" i="1" s="1"/>
  <c r="W21" i="1"/>
  <c r="X21" i="1" s="1"/>
  <c r="W655" i="1"/>
  <c r="X655" i="1" s="1"/>
  <c r="W656" i="1"/>
  <c r="X656" i="1" s="1"/>
  <c r="W657" i="1"/>
  <c r="X657" i="1" s="1"/>
  <c r="W658" i="1"/>
  <c r="X658" i="1" s="1"/>
  <c r="W659" i="1"/>
  <c r="X659" i="1" s="1"/>
  <c r="W660" i="1"/>
  <c r="X660" i="1" s="1"/>
  <c r="W661" i="1"/>
  <c r="X661" i="1" s="1"/>
  <c r="W662" i="1"/>
  <c r="X662" i="1" s="1"/>
  <c r="W22" i="1"/>
  <c r="X22" i="1" s="1"/>
  <c r="W663" i="1"/>
  <c r="X663" i="1" s="1"/>
  <c r="W664" i="1"/>
  <c r="X664" i="1" s="1"/>
  <c r="W665" i="1"/>
  <c r="X665" i="1" s="1"/>
  <c r="W666" i="1"/>
  <c r="X666" i="1" s="1"/>
  <c r="W667" i="1"/>
  <c r="X667" i="1" s="1"/>
  <c r="W668" i="1"/>
  <c r="X668" i="1" s="1"/>
  <c r="W669" i="1"/>
  <c r="X669" i="1" s="1"/>
  <c r="W670" i="1"/>
  <c r="X670" i="1" s="1"/>
  <c r="W671" i="1"/>
  <c r="X671" i="1" s="1"/>
  <c r="W672" i="1"/>
  <c r="X672" i="1" s="1"/>
  <c r="W673" i="1"/>
  <c r="X673" i="1" s="1"/>
  <c r="W674" i="1"/>
  <c r="X674" i="1" s="1"/>
  <c r="W675" i="1"/>
  <c r="X675" i="1" s="1"/>
  <c r="W676" i="1"/>
  <c r="X676" i="1" s="1"/>
  <c r="W677" i="1"/>
  <c r="X677" i="1" s="1"/>
  <c r="W678" i="1"/>
  <c r="X678" i="1" s="1"/>
  <c r="W679" i="1"/>
  <c r="X679" i="1" s="1"/>
  <c r="W680" i="1"/>
  <c r="X680" i="1" s="1"/>
  <c r="W681" i="1"/>
  <c r="X681" i="1" s="1"/>
  <c r="W682" i="1"/>
  <c r="X682" i="1" s="1"/>
  <c r="W683" i="1"/>
  <c r="X683" i="1" s="1"/>
  <c r="W684" i="1"/>
  <c r="X684" i="1" s="1"/>
  <c r="W685" i="1"/>
  <c r="X685" i="1" s="1"/>
  <c r="W686" i="1"/>
  <c r="X686" i="1" s="1"/>
  <c r="D37" i="6"/>
  <c r="G86" i="2"/>
  <c r="G76" i="2"/>
  <c r="G70" i="2"/>
  <c r="G51" i="2"/>
  <c r="G45" i="2"/>
  <c r="G32" i="2"/>
  <c r="S4" i="1" l="1"/>
  <c r="P5" i="1"/>
  <c r="V5" i="1" s="1"/>
  <c r="P4" i="1"/>
  <c r="M20" i="9"/>
  <c r="Y334" i="1"/>
  <c r="AA334" i="1" s="1"/>
  <c r="Y268" i="1"/>
  <c r="AA268" i="1" s="1"/>
  <c r="Y486" i="1"/>
  <c r="AA486" i="1" s="1"/>
  <c r="Y490" i="1"/>
  <c r="AA490" i="1" s="1"/>
  <c r="Z56" i="1"/>
  <c r="Y137" i="1"/>
  <c r="AA137" i="1" s="1"/>
  <c r="Y114" i="1"/>
  <c r="AA114" i="1" s="1"/>
  <c r="Y133" i="1"/>
  <c r="AA133" i="1" s="1"/>
  <c r="Y129" i="1"/>
  <c r="AA129" i="1" s="1"/>
  <c r="Y102" i="1"/>
  <c r="AA102" i="1" s="1"/>
  <c r="Y141" i="1"/>
  <c r="AA141" i="1" s="1"/>
  <c r="Z434" i="1"/>
  <c r="Z286" i="1"/>
  <c r="Z215" i="1"/>
  <c r="Z69" i="1"/>
  <c r="Y187" i="1"/>
  <c r="AA187" i="1" s="1"/>
  <c r="Y184" i="1"/>
  <c r="AA184" i="1" s="1"/>
  <c r="Y181" i="1"/>
  <c r="AA181" i="1" s="1"/>
  <c r="Y177" i="1"/>
  <c r="AA177" i="1" s="1"/>
  <c r="Y693" i="1"/>
  <c r="AA693" i="1" s="1"/>
  <c r="Z431" i="1"/>
  <c r="Z413" i="1"/>
  <c r="Z400" i="1"/>
  <c r="Z365" i="1"/>
  <c r="Z364" i="1"/>
  <c r="Z360" i="1"/>
  <c r="Z354" i="1"/>
  <c r="Z347" i="1"/>
  <c r="Z219" i="1"/>
  <c r="Z207" i="1"/>
  <c r="Z202" i="1"/>
  <c r="Z197" i="1"/>
  <c r="Z151" i="1"/>
  <c r="Y259" i="1"/>
  <c r="AA259" i="1" s="1"/>
  <c r="Y501" i="1"/>
  <c r="AA501" i="1" s="1"/>
  <c r="Y533" i="1"/>
  <c r="AA533" i="1" s="1"/>
  <c r="Y509" i="1"/>
  <c r="AA509" i="1" s="1"/>
  <c r="Z171" i="1"/>
  <c r="Z126" i="1"/>
  <c r="Z124" i="1"/>
  <c r="Z121" i="1"/>
  <c r="Z102" i="1"/>
  <c r="Z81" i="1"/>
  <c r="Z58" i="1"/>
  <c r="Y154" i="1"/>
  <c r="AA154" i="1" s="1"/>
  <c r="Y255" i="1"/>
  <c r="AA255" i="1" s="1"/>
  <c r="Z192" i="1"/>
  <c r="Z165" i="1"/>
  <c r="Z159" i="1"/>
  <c r="Z158" i="1"/>
  <c r="Z139" i="1"/>
  <c r="Z135" i="1"/>
  <c r="Z123" i="1"/>
  <c r="Z104" i="1"/>
  <c r="Z99" i="1"/>
  <c r="Z83" i="1"/>
  <c r="Z82" i="1"/>
  <c r="Z61" i="1"/>
  <c r="Z57" i="1"/>
  <c r="Z481" i="1"/>
  <c r="Y568" i="1"/>
  <c r="AA568" i="1" s="1"/>
  <c r="Y461" i="1"/>
  <c r="AA461" i="1" s="1"/>
  <c r="Y391" i="1"/>
  <c r="AA391" i="1" s="1"/>
  <c r="Y359" i="1"/>
  <c r="AA359" i="1" s="1"/>
  <c r="Y344" i="1"/>
  <c r="AA344" i="1" s="1"/>
  <c r="Y340" i="1"/>
  <c r="AA340" i="1" s="1"/>
  <c r="Y329" i="1"/>
  <c r="AA329" i="1" s="1"/>
  <c r="Y299" i="1"/>
  <c r="AA299" i="1" s="1"/>
  <c r="Y247" i="1"/>
  <c r="AA247" i="1" s="1"/>
  <c r="Y195" i="1"/>
  <c r="AA195" i="1" s="1"/>
  <c r="Y161" i="1"/>
  <c r="AA161" i="1" s="1"/>
  <c r="Y149" i="1"/>
  <c r="AA149" i="1" s="1"/>
  <c r="Y94" i="1"/>
  <c r="AA94" i="1" s="1"/>
  <c r="Y482" i="1"/>
  <c r="AA482" i="1" s="1"/>
  <c r="Y478" i="1"/>
  <c r="AA478" i="1" s="1"/>
  <c r="Y280" i="1"/>
  <c r="AA280" i="1" s="1"/>
  <c r="Y271" i="1"/>
  <c r="AA271" i="1" s="1"/>
  <c r="Y407" i="1"/>
  <c r="AA407" i="1" s="1"/>
  <c r="Y403" i="1"/>
  <c r="AA403" i="1" s="1"/>
  <c r="Y118" i="1"/>
  <c r="AA118" i="1" s="1"/>
  <c r="Y385" i="1"/>
  <c r="AA385" i="1" s="1"/>
  <c r="Y354" i="1"/>
  <c r="AA354" i="1" s="1"/>
  <c r="Y346" i="1"/>
  <c r="AA346" i="1" s="1"/>
  <c r="Y327" i="1"/>
  <c r="AA327" i="1" s="1"/>
  <c r="Y293" i="1"/>
  <c r="AA293" i="1" s="1"/>
  <c r="Y277" i="1"/>
  <c r="AA277" i="1" s="1"/>
  <c r="Y261" i="1"/>
  <c r="AA261" i="1" s="1"/>
  <c r="Z494" i="1"/>
  <c r="Y345" i="1"/>
  <c r="AA345" i="1" s="1"/>
  <c r="Y673" i="1"/>
  <c r="AA673" i="1" s="1"/>
  <c r="Y22" i="1"/>
  <c r="AA22" i="1" s="1"/>
  <c r="Y652" i="1"/>
  <c r="AA652" i="1" s="1"/>
  <c r="Y644" i="1"/>
  <c r="AA644" i="1" s="1"/>
  <c r="Y637" i="1"/>
  <c r="AA637" i="1" s="1"/>
  <c r="Z533" i="1"/>
  <c r="Z524" i="1"/>
  <c r="Z523" i="1"/>
  <c r="Z520" i="1"/>
  <c r="Z516" i="1"/>
  <c r="Z511" i="1"/>
  <c r="Z509" i="1"/>
  <c r="Z504" i="1"/>
  <c r="Z502" i="1"/>
  <c r="Y669" i="1"/>
  <c r="AA669" i="1" s="1"/>
  <c r="Y677" i="1"/>
  <c r="AA677" i="1" s="1"/>
  <c r="Y665" i="1"/>
  <c r="AA665" i="1" s="1"/>
  <c r="Y659" i="1"/>
  <c r="AA659" i="1" s="1"/>
  <c r="Y646" i="1"/>
  <c r="AA646" i="1" s="1"/>
  <c r="Y633" i="1"/>
  <c r="AA633" i="1" s="1"/>
  <c r="Y219" i="1"/>
  <c r="AA219" i="1" s="1"/>
  <c r="Y685" i="1"/>
  <c r="AA685" i="1" s="1"/>
  <c r="Y235" i="1"/>
  <c r="AA235" i="1" s="1"/>
  <c r="Y172" i="1"/>
  <c r="AA172" i="1" s="1"/>
  <c r="Y53" i="1"/>
  <c r="AA53" i="1" s="1"/>
  <c r="Z473" i="1"/>
  <c r="Z471" i="1"/>
  <c r="Z468" i="1"/>
  <c r="Z467" i="1"/>
  <c r="Z463" i="1"/>
  <c r="Z459" i="1"/>
  <c r="Z456" i="1"/>
  <c r="Z450" i="1"/>
  <c r="Z448" i="1"/>
  <c r="Z443" i="1"/>
  <c r="Z440" i="1"/>
  <c r="Z439" i="1"/>
  <c r="Z432" i="1"/>
  <c r="Z429" i="1"/>
  <c r="Z425" i="1"/>
  <c r="Z424" i="1"/>
  <c r="Z423" i="1"/>
  <c r="Z422" i="1"/>
  <c r="Z419" i="1"/>
  <c r="Z418" i="1"/>
  <c r="Z417" i="1"/>
  <c r="Z416" i="1"/>
  <c r="Z415" i="1"/>
  <c r="Z414" i="1"/>
  <c r="Z411" i="1"/>
  <c r="Z410" i="1"/>
  <c r="Z406" i="1"/>
  <c r="Z405" i="1"/>
  <c r="Z404" i="1"/>
  <c r="Z403" i="1"/>
  <c r="Z402" i="1"/>
  <c r="Z401" i="1"/>
  <c r="Z399" i="1"/>
  <c r="Z398" i="1"/>
  <c r="Z397" i="1"/>
  <c r="Z396" i="1"/>
  <c r="Z395" i="1"/>
  <c r="Z390" i="1"/>
  <c r="Z389" i="1"/>
  <c r="Z388" i="1"/>
  <c r="Z387" i="1"/>
  <c r="Z366" i="1"/>
  <c r="Z362" i="1"/>
  <c r="Z361" i="1"/>
  <c r="Z359" i="1"/>
  <c r="Z358" i="1"/>
  <c r="Z357" i="1"/>
  <c r="Z356" i="1"/>
  <c r="Z355" i="1"/>
  <c r="Z353" i="1"/>
  <c r="Z352" i="1"/>
  <c r="Z351" i="1"/>
  <c r="Z350" i="1"/>
  <c r="Z349" i="1"/>
  <c r="Z348" i="1"/>
  <c r="Z346" i="1"/>
  <c r="Z345" i="1"/>
  <c r="Z344" i="1"/>
  <c r="Z343" i="1"/>
  <c r="Z341" i="1"/>
  <c r="Z339" i="1"/>
  <c r="Z338" i="1"/>
  <c r="Z337" i="1"/>
  <c r="Z336" i="1"/>
  <c r="Z335" i="1"/>
  <c r="Z334" i="1"/>
  <c r="Z332" i="1"/>
  <c r="Z331" i="1"/>
  <c r="Z330" i="1"/>
  <c r="Z329" i="1"/>
  <c r="Z328" i="1"/>
  <c r="Z327" i="1"/>
  <c r="Z326" i="1"/>
  <c r="Z325" i="1"/>
  <c r="Z321" i="1"/>
  <c r="Z313" i="1"/>
  <c r="Z303" i="1"/>
  <c r="Z296" i="1"/>
  <c r="Z295" i="1"/>
  <c r="Z284" i="1"/>
  <c r="Z279" i="1"/>
  <c r="Z272" i="1"/>
  <c r="Y104" i="1"/>
  <c r="AA104" i="1" s="1"/>
  <c r="Y339" i="1"/>
  <c r="AA339" i="1" s="1"/>
  <c r="Y418" i="1"/>
  <c r="AA418" i="1" s="1"/>
  <c r="Z267" i="1"/>
  <c r="Z265" i="1"/>
  <c r="Z264" i="1"/>
  <c r="Z263" i="1"/>
  <c r="Z262" i="1"/>
  <c r="Z261" i="1"/>
  <c r="Z260" i="1"/>
  <c r="Z259" i="1"/>
  <c r="Z258" i="1"/>
  <c r="Z257" i="1"/>
  <c r="Z256" i="1"/>
  <c r="Z254" i="1"/>
  <c r="Z252" i="1"/>
  <c r="Z251" i="1"/>
  <c r="Z250" i="1"/>
  <c r="Z249" i="1"/>
  <c r="Z248" i="1"/>
  <c r="Z247" i="1"/>
  <c r="Z246" i="1"/>
  <c r="Z245" i="1"/>
  <c r="Z244" i="1"/>
  <c r="Z16" i="1"/>
  <c r="Z243" i="1"/>
  <c r="Z242" i="1"/>
  <c r="Z241" i="1"/>
  <c r="Z240" i="1"/>
  <c r="Z239" i="1"/>
  <c r="Z238" i="1"/>
  <c r="Z237" i="1"/>
  <c r="Z236" i="1"/>
  <c r="Z234" i="1"/>
  <c r="Z233" i="1"/>
  <c r="Z232" i="1"/>
  <c r="Z231" i="1"/>
  <c r="Z230" i="1"/>
  <c r="Z229" i="1"/>
  <c r="Z15" i="1"/>
  <c r="Z228" i="1"/>
  <c r="Z227" i="1"/>
  <c r="Z225" i="1"/>
  <c r="Z224" i="1"/>
  <c r="Z223" i="1"/>
  <c r="Z221" i="1"/>
  <c r="Z220" i="1"/>
  <c r="Z218" i="1"/>
  <c r="Z217" i="1"/>
  <c r="Z216" i="1"/>
  <c r="Z214" i="1"/>
  <c r="Z213" i="1"/>
  <c r="Z210" i="1"/>
  <c r="Z209" i="1"/>
  <c r="Z208" i="1"/>
  <c r="Z206" i="1"/>
  <c r="Z205" i="1"/>
  <c r="Z204" i="1"/>
  <c r="Z203" i="1"/>
  <c r="Z201" i="1"/>
  <c r="Z200" i="1"/>
  <c r="Z199" i="1"/>
  <c r="Z198" i="1"/>
  <c r="Z196" i="1"/>
  <c r="Z195" i="1"/>
  <c r="Z194" i="1"/>
  <c r="Z193" i="1"/>
  <c r="Z191" i="1"/>
  <c r="Z190" i="1"/>
  <c r="Z13" i="1"/>
  <c r="Z189" i="1"/>
  <c r="Z188" i="1"/>
  <c r="Z187" i="1"/>
  <c r="Z184" i="1"/>
  <c r="Z12" i="1"/>
  <c r="Z183" i="1"/>
  <c r="Z182" i="1"/>
  <c r="Z181" i="1"/>
  <c r="Z180" i="1"/>
  <c r="Z179" i="1"/>
  <c r="Z178" i="1"/>
  <c r="Z177" i="1"/>
  <c r="Z176" i="1"/>
  <c r="Z175" i="1"/>
  <c r="Z174" i="1"/>
  <c r="Z173" i="1"/>
  <c r="Z172" i="1"/>
  <c r="Z170" i="1"/>
  <c r="Z168" i="1"/>
  <c r="Z167" i="1"/>
  <c r="Z163" i="1"/>
  <c r="Z162" i="1"/>
  <c r="Z161" i="1"/>
  <c r="Z160" i="1"/>
  <c r="Z157" i="1"/>
  <c r="Z156" i="1"/>
  <c r="Z155" i="1"/>
  <c r="Z154" i="1"/>
  <c r="Z153" i="1"/>
  <c r="Z150" i="1"/>
  <c r="Z149" i="1"/>
  <c r="Z148" i="1"/>
  <c r="Z147" i="1"/>
  <c r="Z146" i="1"/>
  <c r="Z144" i="1"/>
  <c r="Z143" i="1"/>
  <c r="Z142" i="1"/>
  <c r="Z140" i="1"/>
  <c r="Z138" i="1"/>
  <c r="Z137" i="1"/>
  <c r="Z134" i="1"/>
  <c r="Z133" i="1"/>
  <c r="Z132" i="1"/>
  <c r="Z130" i="1"/>
  <c r="Z128" i="1"/>
  <c r="Z127" i="1"/>
  <c r="Z125" i="1"/>
  <c r="Z122" i="1"/>
  <c r="Z120" i="1"/>
  <c r="Z119" i="1"/>
  <c r="Z118" i="1"/>
  <c r="Z117" i="1"/>
  <c r="Z116" i="1"/>
  <c r="Z115" i="1"/>
  <c r="Z114" i="1"/>
  <c r="Z113" i="1"/>
  <c r="Z111" i="1"/>
  <c r="Z109" i="1"/>
  <c r="Z107" i="1"/>
  <c r="Z106" i="1"/>
  <c r="Z105" i="1"/>
  <c r="Z103" i="1"/>
  <c r="Z101" i="1"/>
  <c r="Z100" i="1"/>
  <c r="Z98" i="1"/>
  <c r="Z97" i="1"/>
  <c r="Z96" i="1"/>
  <c r="Z95" i="1"/>
  <c r="Z94" i="1"/>
  <c r="Z93" i="1"/>
  <c r="Z91" i="1"/>
  <c r="Z89" i="1"/>
  <c r="Z88" i="1"/>
  <c r="Z87" i="1"/>
  <c r="Z86" i="1"/>
  <c r="Z85" i="1"/>
  <c r="Z84" i="1"/>
  <c r="Z80" i="1"/>
  <c r="Z79" i="1"/>
  <c r="Z78" i="1"/>
  <c r="Z77" i="1"/>
  <c r="Z76" i="1"/>
  <c r="Z75" i="1"/>
  <c r="Z74" i="1"/>
  <c r="Z73" i="1"/>
  <c r="Z72" i="1"/>
  <c r="Z71" i="1"/>
  <c r="Z70" i="1"/>
  <c r="Z67" i="1"/>
  <c r="Z66" i="1"/>
  <c r="Z65" i="1"/>
  <c r="Z64" i="1"/>
  <c r="Z63" i="1"/>
  <c r="Z62" i="1"/>
  <c r="Z59" i="1"/>
  <c r="Z55" i="1"/>
  <c r="Z54" i="1"/>
  <c r="Z53" i="1"/>
  <c r="Y192" i="1"/>
  <c r="AA192" i="1" s="1"/>
  <c r="Y626" i="1"/>
  <c r="AA626" i="1" s="1"/>
  <c r="Y545" i="1"/>
  <c r="AA545" i="1" s="1"/>
  <c r="Y348" i="1"/>
  <c r="AA348" i="1" s="1"/>
  <c r="Y321" i="1"/>
  <c r="AA321" i="1" s="1"/>
  <c r="Y125" i="1"/>
  <c r="AA125" i="1" s="1"/>
  <c r="Y78" i="1"/>
  <c r="AA78" i="1" s="1"/>
  <c r="Y70" i="1"/>
  <c r="AA70" i="1" s="1"/>
  <c r="Y66" i="1"/>
  <c r="AA66" i="1" s="1"/>
  <c r="Y666" i="1"/>
  <c r="AA666" i="1" s="1"/>
  <c r="Y647" i="1"/>
  <c r="AA647" i="1" s="1"/>
  <c r="Z20" i="1"/>
  <c r="Y397" i="1"/>
  <c r="AA397" i="1" s="1"/>
  <c r="Y245" i="1"/>
  <c r="AA245" i="1" s="1"/>
  <c r="Y234" i="1"/>
  <c r="AA234" i="1" s="1"/>
  <c r="Y228" i="1"/>
  <c r="AA228" i="1" s="1"/>
  <c r="Y224" i="1"/>
  <c r="AA224" i="1" s="1"/>
  <c r="Y216" i="1"/>
  <c r="AA216" i="1" s="1"/>
  <c r="Y143" i="1"/>
  <c r="AA143" i="1" s="1"/>
  <c r="Y96" i="1"/>
  <c r="AA96" i="1" s="1"/>
  <c r="Y543" i="1"/>
  <c r="AA543" i="1" s="1"/>
  <c r="Y499" i="1"/>
  <c r="AA499" i="1" s="1"/>
  <c r="Z493" i="1"/>
  <c r="Z489" i="1"/>
  <c r="Z485" i="1"/>
  <c r="Z477" i="1"/>
  <c r="Y445" i="1"/>
  <c r="AA445" i="1" s="1"/>
  <c r="Y207" i="1"/>
  <c r="AA207" i="1" s="1"/>
  <c r="Y62" i="1"/>
  <c r="AA62" i="1" s="1"/>
  <c r="Y621" i="1"/>
  <c r="AA621" i="1" s="1"/>
  <c r="Y751" i="1"/>
  <c r="AA751" i="1" s="1"/>
  <c r="Y343" i="1"/>
  <c r="AA343" i="1" s="1"/>
  <c r="Y242" i="1"/>
  <c r="AA242" i="1" s="1"/>
  <c r="Y201" i="1"/>
  <c r="AA201" i="1" s="1"/>
  <c r="Y197" i="1"/>
  <c r="AA197" i="1" s="1"/>
  <c r="Y189" i="1"/>
  <c r="AA189" i="1" s="1"/>
  <c r="Y179" i="1"/>
  <c r="AA179" i="1" s="1"/>
  <c r="Y175" i="1"/>
  <c r="AA175" i="1" s="1"/>
  <c r="Y159" i="1"/>
  <c r="AA159" i="1" s="1"/>
  <c r="Y108" i="1"/>
  <c r="AA108" i="1" s="1"/>
  <c r="Y88" i="1"/>
  <c r="AA88" i="1" s="1"/>
  <c r="Z620" i="1"/>
  <c r="Z614" i="1"/>
  <c r="Z17" i="1"/>
  <c r="Z601" i="1"/>
  <c r="Z599" i="1"/>
  <c r="Y278" i="1"/>
  <c r="AA278" i="1" s="1"/>
  <c r="Y316" i="1"/>
  <c r="AA316" i="1" s="1"/>
  <c r="Y305" i="1"/>
  <c r="AA305" i="1" s="1"/>
  <c r="Y428" i="1"/>
  <c r="AA428" i="1" s="1"/>
  <c r="Y577" i="1"/>
  <c r="AA577" i="1" s="1"/>
  <c r="Y483" i="1"/>
  <c r="AA483" i="1" s="1"/>
  <c r="Y191" i="1"/>
  <c r="AA191" i="1" s="1"/>
  <c r="Y170" i="1"/>
  <c r="AA170" i="1" s="1"/>
  <c r="Y126" i="1"/>
  <c r="AA126" i="1" s="1"/>
  <c r="Y91" i="1"/>
  <c r="AA91" i="1" s="1"/>
  <c r="Z591" i="1"/>
  <c r="Z590" i="1"/>
  <c r="Z588" i="1"/>
  <c r="Z587" i="1"/>
  <c r="Z581" i="1"/>
  <c r="Z566" i="1"/>
  <c r="Z564" i="1"/>
  <c r="Z561" i="1"/>
  <c r="Z559" i="1"/>
  <c r="Z550" i="1"/>
  <c r="Z549" i="1"/>
  <c r="Z546" i="1"/>
  <c r="Z491" i="1"/>
  <c r="Z483" i="1"/>
  <c r="Z480" i="1"/>
  <c r="Z479" i="1"/>
  <c r="Z476" i="1"/>
  <c r="Z474" i="1"/>
  <c r="Z472" i="1"/>
  <c r="Z466" i="1"/>
  <c r="Z464" i="1"/>
  <c r="Z461" i="1"/>
  <c r="Z460" i="1"/>
  <c r="Z458" i="1"/>
  <c r="Z457" i="1"/>
  <c r="Z455" i="1"/>
  <c r="Z454" i="1"/>
  <c r="Z453" i="1"/>
  <c r="Z452" i="1"/>
  <c r="Z445" i="1"/>
  <c r="Z441" i="1"/>
  <c r="Z438" i="1"/>
  <c r="Z437" i="1"/>
  <c r="Z436" i="1"/>
  <c r="Z435" i="1"/>
  <c r="Z433" i="1"/>
  <c r="Z430" i="1"/>
  <c r="Z428" i="1"/>
  <c r="Z427" i="1"/>
  <c r="Z393" i="1"/>
  <c r="Z382" i="1"/>
  <c r="Z376" i="1"/>
  <c r="Z318" i="1"/>
  <c r="Z302" i="1"/>
  <c r="Z293" i="1"/>
  <c r="Z290" i="1"/>
  <c r="Z287" i="1"/>
  <c r="Z273" i="1"/>
  <c r="Z270" i="1"/>
  <c r="Z669" i="1"/>
  <c r="Y233" i="1"/>
  <c r="AA233" i="1" s="1"/>
  <c r="Y196" i="1"/>
  <c r="AA196" i="1" s="1"/>
  <c r="Y185" i="1"/>
  <c r="AA185" i="1" s="1"/>
  <c r="Y182" i="1"/>
  <c r="AA182" i="1" s="1"/>
  <c r="Y150" i="1"/>
  <c r="AA150" i="1" s="1"/>
  <c r="Y138" i="1"/>
  <c r="AA138" i="1" s="1"/>
  <c r="Y75" i="1"/>
  <c r="AA75" i="1" s="1"/>
  <c r="Y610" i="1"/>
  <c r="AA610" i="1" s="1"/>
  <c r="Y552" i="1"/>
  <c r="AA552" i="1" s="1"/>
  <c r="Y548" i="1"/>
  <c r="AA548" i="1" s="1"/>
  <c r="Z543" i="1"/>
  <c r="Z486" i="1"/>
  <c r="Y473" i="1"/>
  <c r="AA473" i="1" s="1"/>
  <c r="Y465" i="1"/>
  <c r="AA465" i="1" s="1"/>
  <c r="Y393" i="1"/>
  <c r="AA393" i="1" s="1"/>
  <c r="Y387" i="1"/>
  <c r="AA387" i="1" s="1"/>
  <c r="Z750" i="1"/>
  <c r="Y57" i="1"/>
  <c r="AA57" i="1" s="1"/>
  <c r="Y69" i="1"/>
  <c r="AA69" i="1" s="1"/>
  <c r="Y681" i="1"/>
  <c r="AA681" i="1" s="1"/>
  <c r="Y629" i="1"/>
  <c r="AA629" i="1" s="1"/>
  <c r="Z721" i="1"/>
  <c r="Y396" i="1"/>
  <c r="AA396" i="1" s="1"/>
  <c r="Y227" i="1"/>
  <c r="AA227" i="1" s="1"/>
  <c r="Y619" i="1"/>
  <c r="AA619" i="1" s="1"/>
  <c r="Y605" i="1"/>
  <c r="AA605" i="1" s="1"/>
  <c r="Y241" i="1"/>
  <c r="AA241" i="1" s="1"/>
  <c r="Y389" i="1"/>
  <c r="AA389" i="1" s="1"/>
  <c r="Y237" i="1"/>
  <c r="AA237" i="1" s="1"/>
  <c r="Y211" i="1"/>
  <c r="AA211" i="1" s="1"/>
  <c r="Y205" i="1"/>
  <c r="AA205" i="1" s="1"/>
  <c r="Y115" i="1"/>
  <c r="AA115" i="1" s="1"/>
  <c r="Y684" i="1"/>
  <c r="AA684" i="1" s="1"/>
  <c r="Y341" i="1"/>
  <c r="AA341" i="1" s="1"/>
  <c r="Y283" i="1"/>
  <c r="AA283" i="1" s="1"/>
  <c r="Y58" i="1"/>
  <c r="AA58" i="1" s="1"/>
  <c r="Y214" i="1"/>
  <c r="AA214" i="1" s="1"/>
  <c r="Y165" i="1"/>
  <c r="AA165" i="1" s="1"/>
  <c r="Y55" i="1"/>
  <c r="AA55" i="1" s="1"/>
  <c r="Y79" i="1"/>
  <c r="AA79" i="1" s="1"/>
  <c r="Y583" i="1"/>
  <c r="AA583" i="1" s="1"/>
  <c r="Y257" i="1"/>
  <c r="AA257" i="1" s="1"/>
  <c r="Y544" i="1"/>
  <c r="AA544" i="1" s="1"/>
  <c r="Y528" i="1"/>
  <c r="AA528" i="1" s="1"/>
  <c r="Y521" i="1"/>
  <c r="AA521" i="1" s="1"/>
  <c r="Y516" i="1"/>
  <c r="AA516" i="1" s="1"/>
  <c r="Y512" i="1"/>
  <c r="AA512" i="1" s="1"/>
  <c r="Y500" i="1"/>
  <c r="AA500" i="1" s="1"/>
  <c r="Y381" i="1"/>
  <c r="AA381" i="1" s="1"/>
  <c r="Y369" i="1"/>
  <c r="AA369" i="1" s="1"/>
  <c r="Y609" i="1"/>
  <c r="AA609" i="1" s="1"/>
  <c r="Y591" i="1"/>
  <c r="AA591" i="1" s="1"/>
  <c r="Y574" i="1"/>
  <c r="AA574" i="1" s="1"/>
  <c r="Y565" i="1"/>
  <c r="AA565" i="1" s="1"/>
  <c r="Y174" i="1"/>
  <c r="AA174" i="1" s="1"/>
  <c r="Y167" i="1"/>
  <c r="AA167" i="1" s="1"/>
  <c r="Y634" i="1"/>
  <c r="AA634" i="1" s="1"/>
  <c r="Y467" i="1"/>
  <c r="AA467" i="1" s="1"/>
  <c r="Y455" i="1"/>
  <c r="AA455" i="1" s="1"/>
  <c r="Y426" i="1"/>
  <c r="AA426" i="1" s="1"/>
  <c r="Y383" i="1"/>
  <c r="AA383" i="1" s="1"/>
  <c r="Y322" i="1"/>
  <c r="AA322" i="1" s="1"/>
  <c r="Y314" i="1"/>
  <c r="AA314" i="1" s="1"/>
  <c r="Y307" i="1"/>
  <c r="AA307" i="1" s="1"/>
  <c r="Y623" i="1"/>
  <c r="AA623" i="1" s="1"/>
  <c r="Y597" i="1"/>
  <c r="AA597" i="1" s="1"/>
  <c r="Y566" i="1"/>
  <c r="AA566" i="1" s="1"/>
  <c r="Y361" i="1"/>
  <c r="AA361" i="1" s="1"/>
  <c r="Y360" i="1"/>
  <c r="AA360" i="1" s="1"/>
  <c r="Y491" i="1"/>
  <c r="AA491" i="1" s="1"/>
  <c r="Y256" i="1"/>
  <c r="AA256" i="1" s="1"/>
  <c r="Y238" i="1"/>
  <c r="AA238" i="1" s="1"/>
  <c r="Y222" i="1"/>
  <c r="AA222" i="1" s="1"/>
  <c r="Y193" i="1"/>
  <c r="AA193" i="1" s="1"/>
  <c r="Y14" i="1"/>
  <c r="AA14" i="1" s="1"/>
  <c r="Y183" i="1"/>
  <c r="AA183" i="1" s="1"/>
  <c r="Y166" i="1"/>
  <c r="AA166" i="1" s="1"/>
  <c r="Y54" i="1"/>
  <c r="AA54" i="1" s="1"/>
  <c r="Y147" i="1"/>
  <c r="AA147" i="1" s="1"/>
  <c r="Y121" i="1"/>
  <c r="AA121" i="1" s="1"/>
  <c r="Y112" i="1"/>
  <c r="AA112" i="1" s="1"/>
  <c r="Y99" i="1"/>
  <c r="AA99" i="1" s="1"/>
  <c r="Y315" i="1"/>
  <c r="AA315" i="1" s="1"/>
  <c r="Y59" i="1"/>
  <c r="AA59" i="1" s="1"/>
  <c r="Y210" i="1"/>
  <c r="AA210" i="1" s="1"/>
  <c r="Y74" i="1"/>
  <c r="AA74" i="1" s="1"/>
  <c r="Y71" i="1"/>
  <c r="AA71" i="1" s="1"/>
  <c r="Y640" i="1"/>
  <c r="AA640" i="1" s="1"/>
  <c r="Z752" i="1"/>
  <c r="Y760" i="1"/>
  <c r="AA760" i="1" s="1"/>
  <c r="Y774" i="1"/>
  <c r="AA774" i="1" s="1"/>
  <c r="Y312" i="1"/>
  <c r="AA312" i="1" s="1"/>
  <c r="Y119" i="1"/>
  <c r="AA119" i="1" s="1"/>
  <c r="Y663" i="1"/>
  <c r="AA663" i="1" s="1"/>
  <c r="Y653" i="1"/>
  <c r="AA653" i="1" s="1"/>
  <c r="Y80" i="1"/>
  <c r="AA80" i="1" s="1"/>
  <c r="Y64" i="1"/>
  <c r="AA64" i="1" s="1"/>
  <c r="Y664" i="1"/>
  <c r="AA664" i="1" s="1"/>
  <c r="Y21" i="1"/>
  <c r="AA21" i="1" s="1"/>
  <c r="Y632" i="1"/>
  <c r="AA632" i="1" s="1"/>
  <c r="Y627" i="1"/>
  <c r="AA627" i="1" s="1"/>
  <c r="Y357" i="1"/>
  <c r="AA357" i="1" s="1"/>
  <c r="Y342" i="1"/>
  <c r="AA342" i="1" s="1"/>
  <c r="Y323" i="1"/>
  <c r="AA323" i="1" s="1"/>
  <c r="Y135" i="1"/>
  <c r="AA135" i="1" s="1"/>
  <c r="Y100" i="1"/>
  <c r="AA100" i="1" s="1"/>
  <c r="Y595" i="1"/>
  <c r="AA595" i="1" s="1"/>
  <c r="Y586" i="1"/>
  <c r="AA586" i="1" s="1"/>
  <c r="Y579" i="1"/>
  <c r="AA579" i="1" s="1"/>
  <c r="Y546" i="1"/>
  <c r="AA546" i="1" s="1"/>
  <c r="Y484" i="1"/>
  <c r="AA484" i="1" s="1"/>
  <c r="Y470" i="1"/>
  <c r="AA470" i="1" s="1"/>
  <c r="Y463" i="1"/>
  <c r="AA463" i="1" s="1"/>
  <c r="Y451" i="1"/>
  <c r="AA451" i="1" s="1"/>
  <c r="Y442" i="1"/>
  <c r="AA442" i="1" s="1"/>
  <c r="Y438" i="1"/>
  <c r="AA438" i="1" s="1"/>
  <c r="Y436" i="1"/>
  <c r="AA436" i="1" s="1"/>
  <c r="Y380" i="1"/>
  <c r="AA380" i="1" s="1"/>
  <c r="Y377" i="1"/>
  <c r="AA377" i="1" s="1"/>
  <c r="Y368" i="1"/>
  <c r="AA368" i="1" s="1"/>
  <c r="Y364" i="1"/>
  <c r="AA364" i="1" s="1"/>
  <c r="Y331" i="1"/>
  <c r="AA331" i="1" s="1"/>
  <c r="Y301" i="1"/>
  <c r="AA301" i="1" s="1"/>
  <c r="Y60" i="1"/>
  <c r="AA60" i="1" s="1"/>
  <c r="Y123" i="1"/>
  <c r="AA123" i="1" s="1"/>
  <c r="Y117" i="1"/>
  <c r="AA117" i="1" s="1"/>
  <c r="Y107" i="1"/>
  <c r="AA107" i="1" s="1"/>
  <c r="Y642" i="1"/>
  <c r="AA642" i="1" s="1"/>
  <c r="Z684" i="1"/>
  <c r="Z681" i="1"/>
  <c r="Z677" i="1"/>
  <c r="Z673" i="1"/>
  <c r="Z665" i="1"/>
  <c r="Z22" i="1"/>
  <c r="Z659" i="1"/>
  <c r="Z655" i="1"/>
  <c r="Z652" i="1"/>
  <c r="Z646" i="1"/>
  <c r="Z637" i="1"/>
  <c r="Z629" i="1"/>
  <c r="Z626" i="1"/>
  <c r="Z676" i="1"/>
  <c r="Z643" i="1"/>
  <c r="Z640" i="1"/>
  <c r="Z636" i="1"/>
  <c r="Z625" i="1"/>
  <c r="Z679" i="1"/>
  <c r="Z675" i="1"/>
  <c r="Z667" i="1"/>
  <c r="Z661" i="1"/>
  <c r="Z657" i="1"/>
  <c r="Z654" i="1"/>
  <c r="Z642" i="1"/>
  <c r="Z628" i="1"/>
  <c r="Z624" i="1"/>
  <c r="Y596" i="1"/>
  <c r="AA596" i="1" s="1"/>
  <c r="Y588" i="1"/>
  <c r="AA588" i="1" s="1"/>
  <c r="Y584" i="1"/>
  <c r="AA584" i="1" s="1"/>
  <c r="Y580" i="1"/>
  <c r="AA580" i="1" s="1"/>
  <c r="Y571" i="1"/>
  <c r="AA571" i="1" s="1"/>
  <c r="Y563" i="1"/>
  <c r="AA563" i="1" s="1"/>
  <c r="Y551" i="1"/>
  <c r="AA551" i="1" s="1"/>
  <c r="Y547" i="1"/>
  <c r="AA547" i="1" s="1"/>
  <c r="Y538" i="1"/>
  <c r="AA538" i="1" s="1"/>
  <c r="Y526" i="1"/>
  <c r="AA526" i="1" s="1"/>
  <c r="Y518" i="1"/>
  <c r="AA518" i="1" s="1"/>
  <c r="Y514" i="1"/>
  <c r="AA514" i="1" s="1"/>
  <c r="Y447" i="1"/>
  <c r="AA447" i="1" s="1"/>
  <c r="Y405" i="1"/>
  <c r="AA405" i="1" s="1"/>
  <c r="Y265" i="1"/>
  <c r="AA265" i="1" s="1"/>
  <c r="Y537" i="1"/>
  <c r="AA537" i="1" s="1"/>
  <c r="Y505" i="1"/>
  <c r="AA505" i="1" s="1"/>
  <c r="Y557" i="1"/>
  <c r="AA557" i="1" s="1"/>
  <c r="Y504" i="1"/>
  <c r="AA504" i="1" s="1"/>
  <c r="Y458" i="1"/>
  <c r="AA458" i="1" s="1"/>
  <c r="Y450" i="1"/>
  <c r="AA450" i="1" s="1"/>
  <c r="Y443" i="1"/>
  <c r="AA443" i="1" s="1"/>
  <c r="Y435" i="1"/>
  <c r="AA435" i="1" s="1"/>
  <c r="Y204" i="1"/>
  <c r="AA204" i="1" s="1"/>
  <c r="Y106" i="1"/>
  <c r="AA106" i="1" s="1"/>
  <c r="Y103" i="1"/>
  <c r="AA103" i="1" s="1"/>
  <c r="Y510" i="1"/>
  <c r="AA510" i="1" s="1"/>
  <c r="Y506" i="1"/>
  <c r="AA506" i="1" s="1"/>
  <c r="Y468" i="1"/>
  <c r="AA468" i="1" s="1"/>
  <c r="Y464" i="1"/>
  <c r="AA464" i="1" s="1"/>
  <c r="Y456" i="1"/>
  <c r="AA456" i="1" s="1"/>
  <c r="Y452" i="1"/>
  <c r="AA452" i="1" s="1"/>
  <c r="Y444" i="1"/>
  <c r="AA444" i="1" s="1"/>
  <c r="Y437" i="1"/>
  <c r="AA437" i="1" s="1"/>
  <c r="Y425" i="1"/>
  <c r="AA425" i="1" s="1"/>
  <c r="Y421" i="1"/>
  <c r="AA421" i="1" s="1"/>
  <c r="Y417" i="1"/>
  <c r="AA417" i="1" s="1"/>
  <c r="Y408" i="1"/>
  <c r="AA408" i="1" s="1"/>
  <c r="Y402" i="1"/>
  <c r="AA402" i="1" s="1"/>
  <c r="Y398" i="1"/>
  <c r="AA398" i="1" s="1"/>
  <c r="Y394" i="1"/>
  <c r="AA394" i="1" s="1"/>
  <c r="Y386" i="1"/>
  <c r="AA386" i="1" s="1"/>
  <c r="Y382" i="1"/>
  <c r="AA382" i="1" s="1"/>
  <c r="Y370" i="1"/>
  <c r="AA370" i="1" s="1"/>
  <c r="Y366" i="1"/>
  <c r="AA366" i="1" s="1"/>
  <c r="Y362" i="1"/>
  <c r="AA362" i="1" s="1"/>
  <c r="Y355" i="1"/>
  <c r="AA355" i="1" s="1"/>
  <c r="Y351" i="1"/>
  <c r="AA351" i="1" s="1"/>
  <c r="Y336" i="1"/>
  <c r="AA336" i="1" s="1"/>
  <c r="Y332" i="1"/>
  <c r="AA332" i="1" s="1"/>
  <c r="Y320" i="1"/>
  <c r="AA320" i="1" s="1"/>
  <c r="Y306" i="1"/>
  <c r="AA306" i="1" s="1"/>
  <c r="Y294" i="1"/>
  <c r="AA294" i="1" s="1"/>
  <c r="Y290" i="1"/>
  <c r="AA290" i="1" s="1"/>
  <c r="Y286" i="1"/>
  <c r="AA286" i="1" s="1"/>
  <c r="Y274" i="1"/>
  <c r="AA274" i="1" s="1"/>
  <c r="Y262" i="1"/>
  <c r="AA262" i="1" s="1"/>
  <c r="Y258" i="1"/>
  <c r="AA258" i="1" s="1"/>
  <c r="Y254" i="1"/>
  <c r="AA254" i="1" s="1"/>
  <c r="Y243" i="1"/>
  <c r="AA243" i="1" s="1"/>
  <c r="Y239" i="1"/>
  <c r="AA239" i="1" s="1"/>
  <c r="Y231" i="1"/>
  <c r="AA231" i="1" s="1"/>
  <c r="Y225" i="1"/>
  <c r="AA225" i="1" s="1"/>
  <c r="Y221" i="1"/>
  <c r="AA221" i="1" s="1"/>
  <c r="Y213" i="1"/>
  <c r="AA213" i="1" s="1"/>
  <c r="Y206" i="1"/>
  <c r="AA206" i="1" s="1"/>
  <c r="Y194" i="1"/>
  <c r="AA194" i="1" s="1"/>
  <c r="Y13" i="1"/>
  <c r="AA13" i="1" s="1"/>
  <c r="Y186" i="1"/>
  <c r="AA186" i="1" s="1"/>
  <c r="Y180" i="1"/>
  <c r="AA180" i="1" s="1"/>
  <c r="Y176" i="1"/>
  <c r="AA176" i="1" s="1"/>
  <c r="Y160" i="1"/>
  <c r="AA160" i="1" s="1"/>
  <c r="Y152" i="1"/>
  <c r="AA152" i="1" s="1"/>
  <c r="Y140" i="1"/>
  <c r="AA140" i="1" s="1"/>
  <c r="Y132" i="1"/>
  <c r="AA132" i="1" s="1"/>
  <c r="Y116" i="1"/>
  <c r="AA116" i="1" s="1"/>
  <c r="Y113" i="1"/>
  <c r="AA113" i="1" s="1"/>
  <c r="Y93" i="1"/>
  <c r="AA93" i="1" s="1"/>
  <c r="Y85" i="1"/>
  <c r="AA85" i="1" s="1"/>
  <c r="Y81" i="1"/>
  <c r="AA81" i="1" s="1"/>
  <c r="Y65" i="1"/>
  <c r="AA65" i="1" s="1"/>
  <c r="Y61" i="1"/>
  <c r="AA61" i="1" s="1"/>
  <c r="Z18" i="1"/>
  <c r="Z623" i="1"/>
  <c r="Z619" i="1"/>
  <c r="Z618" i="1"/>
  <c r="Z616" i="1"/>
  <c r="Z615" i="1"/>
  <c r="Z613" i="1"/>
  <c r="Z612" i="1"/>
  <c r="Z611" i="1"/>
  <c r="Z610" i="1"/>
  <c r="Z609" i="1"/>
  <c r="Z608" i="1"/>
  <c r="Z605" i="1"/>
  <c r="Z604" i="1"/>
  <c r="Z603" i="1"/>
  <c r="Z600" i="1"/>
  <c r="Z598" i="1"/>
  <c r="Z597" i="1"/>
  <c r="Z596" i="1"/>
  <c r="Z589" i="1"/>
  <c r="Z586" i="1"/>
  <c r="Z585" i="1"/>
  <c r="Z584" i="1"/>
  <c r="Z583" i="1"/>
  <c r="Z582" i="1"/>
  <c r="Y697" i="1"/>
  <c r="AA697" i="1" s="1"/>
  <c r="Y700" i="1"/>
  <c r="AA700" i="1" s="1"/>
  <c r="Z715" i="1"/>
  <c r="Z718" i="1"/>
  <c r="Y717" i="1"/>
  <c r="AA717" i="1" s="1"/>
  <c r="Y720" i="1"/>
  <c r="AA720" i="1" s="1"/>
  <c r="Y721" i="1"/>
  <c r="AA721" i="1" s="1"/>
  <c r="Y730" i="1"/>
  <c r="AA730" i="1" s="1"/>
  <c r="Y742" i="1"/>
  <c r="AA742" i="1" s="1"/>
  <c r="Y755" i="1"/>
  <c r="AA755" i="1" s="1"/>
  <c r="Z580" i="1"/>
  <c r="Z579" i="1"/>
  <c r="Z576" i="1"/>
  <c r="Z574" i="1"/>
  <c r="Z573" i="1"/>
  <c r="Z572" i="1"/>
  <c r="Z571" i="1"/>
  <c r="Z570" i="1"/>
  <c r="Z565" i="1"/>
  <c r="Z563" i="1"/>
  <c r="Z560" i="1"/>
  <c r="Z557" i="1"/>
  <c r="Z555" i="1"/>
  <c r="Z554" i="1"/>
  <c r="Z890" i="1"/>
  <c r="Z552" i="1"/>
  <c r="Z551" i="1"/>
  <c r="Z548" i="1"/>
  <c r="Z547" i="1"/>
  <c r="Z545" i="1"/>
  <c r="Z544" i="1"/>
  <c r="Z542" i="1"/>
  <c r="Z541" i="1"/>
  <c r="Z540" i="1"/>
  <c r="Z539" i="1"/>
  <c r="Z538" i="1"/>
  <c r="Z537" i="1"/>
  <c r="Z536" i="1"/>
  <c r="Z535" i="1"/>
  <c r="Z534" i="1"/>
  <c r="Z532" i="1"/>
  <c r="Z531" i="1"/>
  <c r="Z530" i="1"/>
  <c r="Z529" i="1"/>
  <c r="Z528" i="1"/>
  <c r="Z527" i="1"/>
  <c r="Z526" i="1"/>
  <c r="Z525" i="1"/>
  <c r="Z522" i="1"/>
  <c r="Z521" i="1"/>
  <c r="Z519" i="1"/>
  <c r="Z518" i="1"/>
  <c r="Z517" i="1"/>
  <c r="Z515" i="1"/>
  <c r="Z514" i="1"/>
  <c r="Z513" i="1"/>
  <c r="Z512" i="1"/>
  <c r="Z510" i="1"/>
  <c r="Z508" i="1"/>
  <c r="Z507" i="1"/>
  <c r="Z506" i="1"/>
  <c r="Z505" i="1"/>
  <c r="Z503" i="1"/>
  <c r="Z501" i="1"/>
  <c r="Z500" i="1"/>
  <c r="Z499" i="1"/>
  <c r="Z498" i="1"/>
  <c r="Z497" i="1"/>
  <c r="Z496" i="1"/>
  <c r="Z495" i="1"/>
  <c r="Z490" i="1"/>
  <c r="Z484" i="1"/>
  <c r="Z482" i="1"/>
  <c r="Z478" i="1"/>
  <c r="Z470" i="1"/>
  <c r="Z465" i="1"/>
  <c r="Z462" i="1"/>
  <c r="Z451" i="1"/>
  <c r="Z449" i="1"/>
  <c r="Z444" i="1"/>
  <c r="Z442" i="1"/>
  <c r="Z426" i="1"/>
  <c r="Z421" i="1"/>
  <c r="Z420" i="1"/>
  <c r="Z412" i="1"/>
  <c r="Z408" i="1"/>
  <c r="Z407" i="1"/>
  <c r="Z391" i="1"/>
  <c r="Z700" i="1"/>
  <c r="Y769" i="1"/>
  <c r="AA769" i="1" s="1"/>
  <c r="Y413" i="1"/>
  <c r="AA413" i="1" s="1"/>
  <c r="Y324" i="1"/>
  <c r="AA324" i="1" s="1"/>
  <c r="Y77" i="1"/>
  <c r="AA77" i="1" s="1"/>
  <c r="Y217" i="1"/>
  <c r="AA217" i="1" s="1"/>
  <c r="Y525" i="1"/>
  <c r="AA525" i="1" s="1"/>
  <c r="Y416" i="1"/>
  <c r="AA416" i="1" s="1"/>
  <c r="Y139" i="1"/>
  <c r="AA139" i="1" s="1"/>
  <c r="Z617" i="1"/>
  <c r="Z567" i="1"/>
  <c r="Z558" i="1"/>
  <c r="Y517" i="1"/>
  <c r="AA517" i="1" s="1"/>
  <c r="Z488" i="1"/>
  <c r="Z475" i="1"/>
  <c r="Z469" i="1"/>
  <c r="Z447" i="1"/>
  <c r="Z446" i="1"/>
  <c r="Z394" i="1"/>
  <c r="Z383" i="1"/>
  <c r="Z381" i="1"/>
  <c r="Z374" i="1"/>
  <c r="Z369" i="1"/>
  <c r="Y534" i="1"/>
  <c r="AA534" i="1" s="1"/>
  <c r="Y374" i="1"/>
  <c r="AA374" i="1" s="1"/>
  <c r="Y109" i="1"/>
  <c r="AA109" i="1" s="1"/>
  <c r="Z568" i="1"/>
  <c r="Y641" i="1"/>
  <c r="AA641" i="1" s="1"/>
  <c r="Y601" i="1"/>
  <c r="AA601" i="1" s="1"/>
  <c r="Y594" i="1"/>
  <c r="AA594" i="1" s="1"/>
  <c r="Y554" i="1"/>
  <c r="AA554" i="1" s="1"/>
  <c r="Y520" i="1"/>
  <c r="AA520" i="1" s="1"/>
  <c r="Y508" i="1"/>
  <c r="AA508" i="1" s="1"/>
  <c r="Y424" i="1"/>
  <c r="AA424" i="1" s="1"/>
  <c r="Y199" i="1"/>
  <c r="AA199" i="1" s="1"/>
  <c r="Y131" i="1"/>
  <c r="AA131" i="1" s="1"/>
  <c r="Y72" i="1"/>
  <c r="AA72" i="1" s="1"/>
  <c r="Y660" i="1"/>
  <c r="AA660" i="1" s="1"/>
  <c r="Y606" i="1"/>
  <c r="AA606" i="1" s="1"/>
  <c r="Y575" i="1"/>
  <c r="AA575" i="1" s="1"/>
  <c r="Y433" i="1"/>
  <c r="AA433" i="1" s="1"/>
  <c r="Y358" i="1"/>
  <c r="AA358" i="1" s="1"/>
  <c r="Y549" i="1"/>
  <c r="AA549" i="1" s="1"/>
  <c r="Y558" i="1"/>
  <c r="AA558" i="1" s="1"/>
  <c r="Y529" i="1"/>
  <c r="AA529" i="1" s="1"/>
  <c r="Z602" i="1"/>
  <c r="Z595" i="1"/>
  <c r="Z575" i="1"/>
  <c r="Y350" i="1"/>
  <c r="AA350" i="1" s="1"/>
  <c r="Y338" i="1"/>
  <c r="AA338" i="1" s="1"/>
  <c r="Y56" i="1"/>
  <c r="AA56" i="1" s="1"/>
  <c r="Y308" i="1"/>
  <c r="AA308" i="1" s="1"/>
  <c r="Y17" i="1"/>
  <c r="AA17" i="1" s="1"/>
  <c r="Y522" i="1"/>
  <c r="AA522" i="1" s="1"/>
  <c r="Y406" i="1"/>
  <c r="AA406" i="1" s="1"/>
  <c r="Z367" i="1"/>
  <c r="Z340" i="1"/>
  <c r="Z317" i="1"/>
  <c r="Z310" i="1"/>
  <c r="Y678" i="1"/>
  <c r="AA678" i="1" s="1"/>
  <c r="Y674" i="1"/>
  <c r="AA674" i="1" s="1"/>
  <c r="Y404" i="1"/>
  <c r="AA404" i="1" s="1"/>
  <c r="Y52" i="1"/>
  <c r="AA52" i="1" s="1"/>
  <c r="Y319" i="1"/>
  <c r="AA319" i="1" s="1"/>
  <c r="Y309" i="1"/>
  <c r="AA309" i="1" s="1"/>
  <c r="Y296" i="1"/>
  <c r="AA296" i="1" s="1"/>
  <c r="Y188" i="1"/>
  <c r="AA188" i="1" s="1"/>
  <c r="Y178" i="1"/>
  <c r="AA178" i="1" s="1"/>
  <c r="Y168" i="1"/>
  <c r="AA168" i="1" s="1"/>
  <c r="Y162" i="1"/>
  <c r="AA162" i="1" s="1"/>
  <c r="Y151" i="1"/>
  <c r="AA151" i="1" s="1"/>
  <c r="Y148" i="1"/>
  <c r="AA148" i="1" s="1"/>
  <c r="Y146" i="1"/>
  <c r="AA146" i="1" s="1"/>
  <c r="Y124" i="1"/>
  <c r="AA124" i="1" s="1"/>
  <c r="Y97" i="1"/>
  <c r="AA97" i="1" s="1"/>
  <c r="Y95" i="1"/>
  <c r="AA95" i="1" s="1"/>
  <c r="Y92" i="1"/>
  <c r="AA92" i="1" s="1"/>
  <c r="Y86" i="1"/>
  <c r="AA86" i="1" s="1"/>
  <c r="Y83" i="1"/>
  <c r="AA83" i="1" s="1"/>
  <c r="Y76" i="1"/>
  <c r="AA76" i="1" s="1"/>
  <c r="Y73" i="1"/>
  <c r="AA73" i="1" s="1"/>
  <c r="Y67" i="1"/>
  <c r="AA67" i="1" s="1"/>
  <c r="Y683" i="1"/>
  <c r="AA683" i="1" s="1"/>
  <c r="Y679" i="1"/>
  <c r="AA679" i="1" s="1"/>
  <c r="Y675" i="1"/>
  <c r="AA675" i="1" s="1"/>
  <c r="Y661" i="1"/>
  <c r="AA661" i="1" s="1"/>
  <c r="Y657" i="1"/>
  <c r="AA657" i="1" s="1"/>
  <c r="Y654" i="1"/>
  <c r="AA654" i="1" s="1"/>
  <c r="Y645" i="1"/>
  <c r="AA645" i="1" s="1"/>
  <c r="Y639" i="1"/>
  <c r="AA639" i="1" s="1"/>
  <c r="Y631" i="1"/>
  <c r="AA631" i="1" s="1"/>
  <c r="Y628" i="1"/>
  <c r="AA628" i="1" s="1"/>
  <c r="Y624" i="1"/>
  <c r="AA624" i="1" s="1"/>
  <c r="Z678" i="1"/>
  <c r="Z674" i="1"/>
  <c r="Z666" i="1"/>
  <c r="Z663" i="1"/>
  <c r="Z653" i="1"/>
  <c r="Z649" i="1"/>
  <c r="Z638" i="1"/>
  <c r="Y603" i="1"/>
  <c r="AA603" i="1" s="1"/>
  <c r="Y581" i="1"/>
  <c r="AA581" i="1" s="1"/>
  <c r="Y556" i="1"/>
  <c r="AA556" i="1" s="1"/>
  <c r="Y495" i="1"/>
  <c r="AA495" i="1" s="1"/>
  <c r="Y399" i="1"/>
  <c r="AA399" i="1" s="1"/>
  <c r="Y395" i="1"/>
  <c r="AA395" i="1" s="1"/>
  <c r="Y723" i="1"/>
  <c r="AA723" i="1" s="1"/>
  <c r="Y689" i="1"/>
  <c r="AA689" i="1" s="1"/>
  <c r="Z709" i="1"/>
  <c r="Z713" i="1"/>
  <c r="Z716" i="1"/>
  <c r="Z717" i="1"/>
  <c r="Z719" i="1"/>
  <c r="Z720" i="1"/>
  <c r="Z723" i="1"/>
  <c r="Y708" i="1"/>
  <c r="AA708" i="1" s="1"/>
  <c r="Z765" i="1"/>
  <c r="Y670" i="1"/>
  <c r="AA670" i="1" s="1"/>
  <c r="Y617" i="1"/>
  <c r="AA617" i="1" s="1"/>
  <c r="Y614" i="1"/>
  <c r="AA614" i="1" s="1"/>
  <c r="Y612" i="1"/>
  <c r="AA612" i="1" s="1"/>
  <c r="Y573" i="1"/>
  <c r="AA573" i="1" s="1"/>
  <c r="Y890" i="1"/>
  <c r="AA890" i="1" s="1"/>
  <c r="Y540" i="1"/>
  <c r="AA540" i="1" s="1"/>
  <c r="Y524" i="1"/>
  <c r="AA524" i="1" s="1"/>
  <c r="Y492" i="1"/>
  <c r="AA492" i="1" s="1"/>
  <c r="Y488" i="1"/>
  <c r="AA488" i="1" s="1"/>
  <c r="Y485" i="1"/>
  <c r="AA485" i="1" s="1"/>
  <c r="Y481" i="1"/>
  <c r="AA481" i="1" s="1"/>
  <c r="Y479" i="1"/>
  <c r="AA479" i="1" s="1"/>
  <c r="Y476" i="1"/>
  <c r="AA476" i="1" s="1"/>
  <c r="Y475" i="1"/>
  <c r="AA475" i="1" s="1"/>
  <c r="Y472" i="1"/>
  <c r="AA472" i="1" s="1"/>
  <c r="Y469" i="1"/>
  <c r="AA469" i="1" s="1"/>
  <c r="Y466" i="1"/>
  <c r="AA466" i="1" s="1"/>
  <c r="Y419" i="1"/>
  <c r="AA419" i="1" s="1"/>
  <c r="Y412" i="1"/>
  <c r="AA412" i="1" s="1"/>
  <c r="Y392" i="1"/>
  <c r="AA392" i="1" s="1"/>
  <c r="Y379" i="1"/>
  <c r="AA379" i="1" s="1"/>
  <c r="Y376" i="1"/>
  <c r="AA376" i="1" s="1"/>
  <c r="Y330" i="1"/>
  <c r="AA330" i="1" s="1"/>
  <c r="Y304" i="1"/>
  <c r="AA304" i="1" s="1"/>
  <c r="Y300" i="1"/>
  <c r="AA300" i="1" s="1"/>
  <c r="Y297" i="1"/>
  <c r="AA297" i="1" s="1"/>
  <c r="Y292" i="1"/>
  <c r="AA292" i="1" s="1"/>
  <c r="Y288" i="1"/>
  <c r="AA288" i="1" s="1"/>
  <c r="Y285" i="1"/>
  <c r="AA285" i="1" s="1"/>
  <c r="Y272" i="1"/>
  <c r="AA272" i="1" s="1"/>
  <c r="Y269" i="1"/>
  <c r="AA269" i="1" s="1"/>
  <c r="Y232" i="1"/>
  <c r="AA232" i="1" s="1"/>
  <c r="Y229" i="1"/>
  <c r="AA229" i="1" s="1"/>
  <c r="Y215" i="1"/>
  <c r="AA215" i="1" s="1"/>
  <c r="Y212" i="1"/>
  <c r="AA212" i="1" s="1"/>
  <c r="Z694" i="1"/>
  <c r="Z695" i="1"/>
  <c r="Y691" i="1"/>
  <c r="AA691" i="1" s="1"/>
  <c r="Y703" i="1"/>
  <c r="AA703" i="1" s="1"/>
  <c r="Z710" i="1"/>
  <c r="Z730" i="1"/>
  <c r="Y745" i="1"/>
  <c r="AA745" i="1" s="1"/>
  <c r="Y531" i="1"/>
  <c r="AA531" i="1" s="1"/>
  <c r="Y523" i="1"/>
  <c r="AA523" i="1" s="1"/>
  <c r="Y515" i="1"/>
  <c r="AA515" i="1" s="1"/>
  <c r="Y511" i="1"/>
  <c r="AA511" i="1" s="1"/>
  <c r="Y453" i="1"/>
  <c r="AA453" i="1" s="1"/>
  <c r="Y449" i="1"/>
  <c r="AA449" i="1" s="1"/>
  <c r="Y375" i="1"/>
  <c r="AA375" i="1" s="1"/>
  <c r="Y333" i="1"/>
  <c r="AA333" i="1" s="1"/>
  <c r="Y318" i="1"/>
  <c r="AA318" i="1" s="1"/>
  <c r="Y311" i="1"/>
  <c r="AA311" i="1" s="1"/>
  <c r="Y275" i="1"/>
  <c r="AA275" i="1" s="1"/>
  <c r="Y240" i="1"/>
  <c r="AA240" i="1" s="1"/>
  <c r="Y218" i="1"/>
  <c r="AA218" i="1" s="1"/>
  <c r="Y169" i="1"/>
  <c r="AA169" i="1" s="1"/>
  <c r="Y687" i="1"/>
  <c r="AA687" i="1" s="1"/>
  <c r="Z691" i="1"/>
  <c r="Y702" i="1"/>
  <c r="AA702" i="1" s="1"/>
  <c r="Y737" i="1"/>
  <c r="AA737" i="1" s="1"/>
  <c r="Y739" i="1"/>
  <c r="AA739" i="1" s="1"/>
  <c r="Y749" i="1"/>
  <c r="AA749" i="1" s="1"/>
  <c r="Z751" i="1"/>
  <c r="Y671" i="1"/>
  <c r="AA671" i="1" s="1"/>
  <c r="Y650" i="1"/>
  <c r="AA650" i="1" s="1"/>
  <c r="Y202" i="1"/>
  <c r="AA202" i="1" s="1"/>
  <c r="Y12" i="1"/>
  <c r="AA12" i="1" s="1"/>
  <c r="Y89" i="1"/>
  <c r="AA89" i="1" s="1"/>
  <c r="Y667" i="1"/>
  <c r="AA667" i="1" s="1"/>
  <c r="Y635" i="1"/>
  <c r="AA635" i="1" s="1"/>
  <c r="Y282" i="1"/>
  <c r="AA282" i="1" s="1"/>
  <c r="Y638" i="1"/>
  <c r="AA638" i="1" s="1"/>
  <c r="Y541" i="1"/>
  <c r="AA541" i="1" s="1"/>
  <c r="Y620" i="1"/>
  <c r="AA620" i="1" s="1"/>
  <c r="Y598" i="1"/>
  <c r="AA598" i="1" s="1"/>
  <c r="Y555" i="1"/>
  <c r="AA555" i="1" s="1"/>
  <c r="Y310" i="1"/>
  <c r="AA310" i="1" s="1"/>
  <c r="Y502" i="1"/>
  <c r="AA502" i="1" s="1"/>
  <c r="Y208" i="1"/>
  <c r="AA208" i="1" s="1"/>
  <c r="Y164" i="1"/>
  <c r="AA164" i="1" s="1"/>
  <c r="Y120" i="1"/>
  <c r="AA120" i="1" s="1"/>
  <c r="Y111" i="1"/>
  <c r="AA111" i="1" s="1"/>
  <c r="Y615" i="1"/>
  <c r="AA615" i="1" s="1"/>
  <c r="Y602" i="1"/>
  <c r="AA602" i="1" s="1"/>
  <c r="Y589" i="1"/>
  <c r="AA589" i="1" s="1"/>
  <c r="Y572" i="1"/>
  <c r="AA572" i="1" s="1"/>
  <c r="Y562" i="1"/>
  <c r="AA562" i="1" s="1"/>
  <c r="Y559" i="1"/>
  <c r="AA559" i="1" s="1"/>
  <c r="Y550" i="1"/>
  <c r="AA550" i="1" s="1"/>
  <c r="Y446" i="1"/>
  <c r="AA446" i="1" s="1"/>
  <c r="Y431" i="1"/>
  <c r="AA431" i="1" s="1"/>
  <c r="Y415" i="1"/>
  <c r="AA415" i="1" s="1"/>
  <c r="Y325" i="1"/>
  <c r="AA325" i="1" s="1"/>
  <c r="Y251" i="1"/>
  <c r="AA251" i="1" s="1"/>
  <c r="Y682" i="1"/>
  <c r="AA682" i="1" s="1"/>
  <c r="Y607" i="1"/>
  <c r="AA607" i="1" s="1"/>
  <c r="Y599" i="1"/>
  <c r="AA599" i="1" s="1"/>
  <c r="Y134" i="1"/>
  <c r="AA134" i="1" s="1"/>
  <c r="Y128" i="1"/>
  <c r="AA128" i="1" s="1"/>
  <c r="Y19" i="1"/>
  <c r="AA19" i="1" s="1"/>
  <c r="Y625" i="1"/>
  <c r="AA625" i="1" s="1"/>
  <c r="Y507" i="1"/>
  <c r="AA507" i="1" s="1"/>
  <c r="Y414" i="1"/>
  <c r="AA414" i="1" s="1"/>
  <c r="Y226" i="1"/>
  <c r="AA226" i="1" s="1"/>
  <c r="Y157" i="1"/>
  <c r="AA157" i="1" s="1"/>
  <c r="Y171" i="1"/>
  <c r="AA171" i="1" s="1"/>
  <c r="Y127" i="1"/>
  <c r="AA127" i="1" s="1"/>
  <c r="Y648" i="1"/>
  <c r="AA648" i="1" s="1"/>
  <c r="Y576" i="1"/>
  <c r="AA576" i="1" s="1"/>
  <c r="Y536" i="1"/>
  <c r="AA536" i="1" s="1"/>
  <c r="Y471" i="1"/>
  <c r="AA471" i="1" s="1"/>
  <c r="Y459" i="1"/>
  <c r="AA459" i="1" s="1"/>
  <c r="Y457" i="1"/>
  <c r="AA457" i="1" s="1"/>
  <c r="Y430" i="1"/>
  <c r="AA430" i="1" s="1"/>
  <c r="Y427" i="1"/>
  <c r="AA427" i="1" s="1"/>
  <c r="Y388" i="1"/>
  <c r="AA388" i="1" s="1"/>
  <c r="Y367" i="1"/>
  <c r="AA367" i="1" s="1"/>
  <c r="Y163" i="1"/>
  <c r="AA163" i="1" s="1"/>
  <c r="Y356" i="1"/>
  <c r="AA356" i="1" s="1"/>
  <c r="Y250" i="1"/>
  <c r="AA250" i="1" s="1"/>
  <c r="Y98" i="1"/>
  <c r="AA98" i="1" s="1"/>
  <c r="Z699" i="1"/>
  <c r="Z701" i="1"/>
  <c r="Y705" i="1"/>
  <c r="AA705" i="1" s="1"/>
  <c r="Y704" i="1"/>
  <c r="AA704" i="1" s="1"/>
  <c r="Z703" i="1"/>
  <c r="Y714" i="1"/>
  <c r="AA714" i="1" s="1"/>
  <c r="Y724" i="1"/>
  <c r="AA724" i="1" s="1"/>
  <c r="Z725" i="1"/>
  <c r="Z728" i="1"/>
  <c r="Y728" i="1"/>
  <c r="AA728" i="1" s="1"/>
  <c r="Y770" i="1"/>
  <c r="AA770" i="1" s="1"/>
  <c r="Y658" i="1"/>
  <c r="AA658" i="1" s="1"/>
  <c r="Y590" i="1"/>
  <c r="AA590" i="1" s="1"/>
  <c r="Y587" i="1"/>
  <c r="AA587" i="1" s="1"/>
  <c r="Y570" i="1"/>
  <c r="AA570" i="1" s="1"/>
  <c r="Y567" i="1"/>
  <c r="AA567" i="1" s="1"/>
  <c r="Y513" i="1"/>
  <c r="AA513" i="1" s="1"/>
  <c r="Y493" i="1"/>
  <c r="AA493" i="1" s="1"/>
  <c r="Y489" i="1"/>
  <c r="AA489" i="1" s="1"/>
  <c r="Y487" i="1"/>
  <c r="AA487" i="1" s="1"/>
  <c r="Y480" i="1"/>
  <c r="AA480" i="1" s="1"/>
  <c r="Y477" i="1"/>
  <c r="AA477" i="1" s="1"/>
  <c r="Y474" i="1"/>
  <c r="AA474" i="1" s="1"/>
  <c r="Y432" i="1"/>
  <c r="AA432" i="1" s="1"/>
  <c r="Y429" i="1"/>
  <c r="AA429" i="1" s="1"/>
  <c r="Y423" i="1"/>
  <c r="AA423" i="1" s="1"/>
  <c r="Y411" i="1"/>
  <c r="AA411" i="1" s="1"/>
  <c r="Y409" i="1"/>
  <c r="AA409" i="1" s="1"/>
  <c r="Y401" i="1"/>
  <c r="AA401" i="1" s="1"/>
  <c r="Y378" i="1"/>
  <c r="AA378" i="1" s="1"/>
  <c r="Y372" i="1"/>
  <c r="AA372" i="1" s="1"/>
  <c r="Y326" i="1"/>
  <c r="AA326" i="1" s="1"/>
  <c r="Y352" i="1"/>
  <c r="AA352" i="1" s="1"/>
  <c r="Y270" i="1"/>
  <c r="AA270" i="1" s="1"/>
  <c r="Y263" i="1"/>
  <c r="AA263" i="1" s="1"/>
  <c r="Y260" i="1"/>
  <c r="AA260" i="1" s="1"/>
  <c r="Y252" i="1"/>
  <c r="AA252" i="1" s="1"/>
  <c r="Y249" i="1"/>
  <c r="AA249" i="1" s="1"/>
  <c r="Y248" i="1"/>
  <c r="AA248" i="1" s="1"/>
  <c r="Y230" i="1"/>
  <c r="AA230" i="1" s="1"/>
  <c r="Y223" i="1"/>
  <c r="AA223" i="1" s="1"/>
  <c r="Y203" i="1"/>
  <c r="AA203" i="1" s="1"/>
  <c r="Y190" i="1"/>
  <c r="AA190" i="1" s="1"/>
  <c r="Y155" i="1"/>
  <c r="AA155" i="1" s="1"/>
  <c r="Y142" i="1"/>
  <c r="AA142" i="1" s="1"/>
  <c r="Y122" i="1"/>
  <c r="AA122" i="1" s="1"/>
  <c r="Y87" i="1"/>
  <c r="AA87" i="1" s="1"/>
  <c r="Y84" i="1"/>
  <c r="AA84" i="1" s="1"/>
  <c r="Y68" i="1"/>
  <c r="AA68" i="1" s="1"/>
  <c r="Y696" i="1"/>
  <c r="AA696" i="1" s="1"/>
  <c r="Z714" i="1"/>
  <c r="Z722" i="1"/>
  <c r="Y719" i="1"/>
  <c r="AA719" i="1" s="1"/>
  <c r="Z724" i="1"/>
  <c r="Z727" i="1"/>
  <c r="Y747" i="1"/>
  <c r="AA747" i="1" s="1"/>
  <c r="Y253" i="1"/>
  <c r="AA253" i="1" s="1"/>
  <c r="Z753" i="1"/>
  <c r="Z760" i="1"/>
  <c r="Y764" i="1"/>
  <c r="AA764" i="1" s="1"/>
  <c r="Z767" i="1"/>
  <c r="Z768" i="1"/>
  <c r="Z363" i="1"/>
  <c r="Y363" i="1"/>
  <c r="AA363" i="1" s="1"/>
  <c r="Z689" i="1"/>
  <c r="Z690" i="1"/>
  <c r="Z692" i="1"/>
  <c r="Z693" i="1"/>
  <c r="Y698" i="1"/>
  <c r="AA698" i="1" s="1"/>
  <c r="Z705" i="1"/>
  <c r="Y726" i="1"/>
  <c r="AA726" i="1" s="1"/>
  <c r="Y727" i="1"/>
  <c r="AA727" i="1" s="1"/>
  <c r="Y734" i="1"/>
  <c r="AA734" i="1" s="1"/>
  <c r="Z736" i="1"/>
  <c r="Z745" i="1"/>
  <c r="Y530" i="1"/>
  <c r="AA530" i="1" s="1"/>
  <c r="Y153" i="1"/>
  <c r="AA153" i="1" s="1"/>
  <c r="Y136" i="1"/>
  <c r="AA136" i="1" s="1"/>
  <c r="Y63" i="1"/>
  <c r="AA63" i="1" s="1"/>
  <c r="Y498" i="1"/>
  <c r="AA498" i="1" s="1"/>
  <c r="Y460" i="1"/>
  <c r="AA460" i="1" s="1"/>
  <c r="Y454" i="1"/>
  <c r="AA454" i="1" s="1"/>
  <c r="Y390" i="1"/>
  <c r="AA390" i="1" s="1"/>
  <c r="Y328" i="1"/>
  <c r="AA328" i="1" s="1"/>
  <c r="Y313" i="1"/>
  <c r="AA313" i="1" s="1"/>
  <c r="Y144" i="1"/>
  <c r="AA144" i="1" s="1"/>
  <c r="Y676" i="1"/>
  <c r="AA676" i="1" s="1"/>
  <c r="Y668" i="1"/>
  <c r="AA668" i="1" s="1"/>
  <c r="Y662" i="1"/>
  <c r="AA662" i="1" s="1"/>
  <c r="Z664" i="1"/>
  <c r="Z19" i="1"/>
  <c r="Y145" i="1"/>
  <c r="AA145" i="1" s="1"/>
  <c r="Y156" i="1"/>
  <c r="AA156" i="1" s="1"/>
  <c r="Y656" i="1"/>
  <c r="AA656" i="1" s="1"/>
  <c r="Y649" i="1"/>
  <c r="AA649" i="1" s="1"/>
  <c r="Y20" i="1"/>
  <c r="AA20" i="1" s="1"/>
  <c r="Y630" i="1"/>
  <c r="AA630" i="1" s="1"/>
  <c r="Y616" i="1"/>
  <c r="AA616" i="1" s="1"/>
  <c r="Y585" i="1"/>
  <c r="AA585" i="1" s="1"/>
  <c r="Y564" i="1"/>
  <c r="AA564" i="1" s="1"/>
  <c r="Y539" i="1"/>
  <c r="AA539" i="1" s="1"/>
  <c r="Y422" i="1"/>
  <c r="AA422" i="1" s="1"/>
  <c r="Y371" i="1"/>
  <c r="AA371" i="1" s="1"/>
  <c r="Y267" i="1"/>
  <c r="AA267" i="1" s="1"/>
  <c r="Y209" i="1"/>
  <c r="AA209" i="1" s="1"/>
  <c r="Z686" i="1"/>
  <c r="Z662" i="1"/>
  <c r="Y613" i="1"/>
  <c r="AA613" i="1" s="1"/>
  <c r="Y592" i="1"/>
  <c r="AA592" i="1" s="1"/>
  <c r="Y569" i="1"/>
  <c r="AA569" i="1" s="1"/>
  <c r="Y527" i="1"/>
  <c r="AA527" i="1" s="1"/>
  <c r="Y519" i="1"/>
  <c r="AA519" i="1" s="1"/>
  <c r="Y503" i="1"/>
  <c r="AA503" i="1" s="1"/>
  <c r="Y410" i="1"/>
  <c r="AA410" i="1" s="1"/>
  <c r="Y16" i="1"/>
  <c r="AA16" i="1" s="1"/>
  <c r="Y337" i="1"/>
  <c r="AA337" i="1" s="1"/>
  <c r="Y236" i="1"/>
  <c r="AA236" i="1" s="1"/>
  <c r="Y15" i="1"/>
  <c r="AA15" i="1" s="1"/>
  <c r="Y198" i="1"/>
  <c r="AA198" i="1" s="1"/>
  <c r="Y173" i="1"/>
  <c r="AA173" i="1" s="1"/>
  <c r="Y158" i="1"/>
  <c r="AA158" i="1" s="1"/>
  <c r="Y101" i="1"/>
  <c r="AA101" i="1" s="1"/>
  <c r="Y82" i="1"/>
  <c r="AA82" i="1" s="1"/>
  <c r="Y303" i="1"/>
  <c r="AA303" i="1" s="1"/>
  <c r="Y279" i="1"/>
  <c r="AA279" i="1" s="1"/>
  <c r="Y90" i="1"/>
  <c r="AA90" i="1" s="1"/>
  <c r="Z680" i="1"/>
  <c r="Z672" i="1"/>
  <c r="Z668" i="1"/>
  <c r="Z658" i="1"/>
  <c r="Z21" i="1"/>
  <c r="Z651" i="1"/>
  <c r="Z648" i="1"/>
  <c r="Z632" i="1"/>
  <c r="Z685" i="1"/>
  <c r="Z650" i="1"/>
  <c r="Z639" i="1"/>
  <c r="Z635" i="1"/>
  <c r="Z682" i="1"/>
  <c r="Z670" i="1"/>
  <c r="Z660" i="1"/>
  <c r="Z656" i="1"/>
  <c r="Z647" i="1"/>
  <c r="Z641" i="1"/>
  <c r="Z634" i="1"/>
  <c r="Z630" i="1"/>
  <c r="Z627" i="1"/>
  <c r="Y420" i="1"/>
  <c r="AA420" i="1" s="1"/>
  <c r="Y373" i="1"/>
  <c r="AA373" i="1" s="1"/>
  <c r="Y335" i="1"/>
  <c r="AA335" i="1" s="1"/>
  <c r="Y273" i="1"/>
  <c r="AA273" i="1" s="1"/>
  <c r="Y618" i="1"/>
  <c r="AA618" i="1" s="1"/>
  <c r="Y600" i="1"/>
  <c r="AA600" i="1" s="1"/>
  <c r="Y560" i="1"/>
  <c r="AA560" i="1" s="1"/>
  <c r="Y535" i="1"/>
  <c r="AA535" i="1" s="1"/>
  <c r="Y532" i="1"/>
  <c r="AA532" i="1" s="1"/>
  <c r="Y496" i="1"/>
  <c r="AA496" i="1" s="1"/>
  <c r="Y462" i="1"/>
  <c r="AA462" i="1" s="1"/>
  <c r="Y448" i="1"/>
  <c r="AA448" i="1" s="1"/>
  <c r="Y440" i="1"/>
  <c r="AA440" i="1" s="1"/>
  <c r="Y295" i="1"/>
  <c r="AA295" i="1" s="1"/>
  <c r="Y347" i="1"/>
  <c r="AA347" i="1" s="1"/>
  <c r="Y302" i="1"/>
  <c r="AA302" i="1" s="1"/>
  <c r="Y289" i="1"/>
  <c r="AA289" i="1" s="1"/>
  <c r="Y287" i="1"/>
  <c r="AA287" i="1" s="1"/>
  <c r="Y284" i="1"/>
  <c r="AA284" i="1" s="1"/>
  <c r="Y281" i="1"/>
  <c r="AA281" i="1" s="1"/>
  <c r="Y200" i="1"/>
  <c r="AA200" i="1" s="1"/>
  <c r="Y130" i="1"/>
  <c r="AA130" i="1" s="1"/>
  <c r="Y110" i="1"/>
  <c r="AA110" i="1" s="1"/>
  <c r="Y105" i="1"/>
  <c r="AA105" i="1" s="1"/>
  <c r="Y18" i="1"/>
  <c r="AA18" i="1" s="1"/>
  <c r="Y622" i="1"/>
  <c r="AA622" i="1" s="1"/>
  <c r="Y611" i="1"/>
  <c r="AA611" i="1" s="1"/>
  <c r="Y604" i="1"/>
  <c r="AA604" i="1" s="1"/>
  <c r="Y593" i="1"/>
  <c r="AA593" i="1" s="1"/>
  <c r="Y582" i="1"/>
  <c r="AA582" i="1" s="1"/>
  <c r="Y561" i="1"/>
  <c r="AA561" i="1" s="1"/>
  <c r="Y497" i="1"/>
  <c r="AA497" i="1" s="1"/>
  <c r="Y441" i="1"/>
  <c r="AA441" i="1" s="1"/>
  <c r="Y434" i="1"/>
  <c r="AA434" i="1" s="1"/>
  <c r="Y400" i="1"/>
  <c r="AA400" i="1" s="1"/>
  <c r="Y384" i="1"/>
  <c r="AA384" i="1" s="1"/>
  <c r="Y353" i="1"/>
  <c r="AA353" i="1" s="1"/>
  <c r="Y349" i="1"/>
  <c r="AA349" i="1" s="1"/>
  <c r="Y317" i="1"/>
  <c r="AA317" i="1" s="1"/>
  <c r="Y298" i="1"/>
  <c r="AA298" i="1" s="1"/>
  <c r="Y276" i="1"/>
  <c r="AA276" i="1" s="1"/>
  <c r="Y266" i="1"/>
  <c r="AA266" i="1" s="1"/>
  <c r="Y264" i="1"/>
  <c r="AA264" i="1" s="1"/>
  <c r="Y244" i="1"/>
  <c r="AA244" i="1" s="1"/>
  <c r="Y220" i="1"/>
  <c r="AA220" i="1" s="1"/>
  <c r="Z644" i="1"/>
  <c r="Z633" i="1"/>
  <c r="Z253" i="1"/>
  <c r="Z687" i="1"/>
  <c r="Y688" i="1"/>
  <c r="AA688" i="1" s="1"/>
  <c r="Z696" i="1"/>
  <c r="Y707" i="1"/>
  <c r="AA707" i="1" s="1"/>
  <c r="Y711" i="1"/>
  <c r="AA711" i="1" s="1"/>
  <c r="Y715" i="1"/>
  <c r="AA715" i="1" s="1"/>
  <c r="Y718" i="1"/>
  <c r="AA718" i="1" s="1"/>
  <c r="Z726" i="1"/>
  <c r="Z732" i="1"/>
  <c r="Z735" i="1"/>
  <c r="Y738" i="1"/>
  <c r="AA738" i="1" s="1"/>
  <c r="Z741" i="1"/>
  <c r="Z742" i="1"/>
  <c r="Z747" i="1"/>
  <c r="Z748" i="1"/>
  <c r="Y756" i="1"/>
  <c r="AA756" i="1" s="1"/>
  <c r="Z757" i="1"/>
  <c r="Y759" i="1"/>
  <c r="AA759" i="1" s="1"/>
  <c r="Z759" i="1"/>
  <c r="Y762" i="1"/>
  <c r="AA762" i="1" s="1"/>
  <c r="Y768" i="1"/>
  <c r="AA768" i="1" s="1"/>
  <c r="Y771" i="1"/>
  <c r="AA771" i="1" s="1"/>
  <c r="Y731" i="1"/>
  <c r="AA731" i="1" s="1"/>
  <c r="Z733" i="1"/>
  <c r="Y735" i="1"/>
  <c r="AA735" i="1" s="1"/>
  <c r="Z738" i="1"/>
  <c r="Y746" i="1"/>
  <c r="AA746" i="1" s="1"/>
  <c r="Y750" i="1"/>
  <c r="AA750" i="1" s="1"/>
  <c r="Z755" i="1"/>
  <c r="Z756" i="1"/>
  <c r="Y761" i="1"/>
  <c r="AA761" i="1" s="1"/>
  <c r="Z762" i="1"/>
  <c r="Y763" i="1"/>
  <c r="AA763" i="1" s="1"/>
  <c r="Z764" i="1"/>
  <c r="Y765" i="1"/>
  <c r="AA765" i="1" s="1"/>
  <c r="Z772" i="1"/>
  <c r="Z766" i="1"/>
  <c r="Y773" i="1"/>
  <c r="AA773" i="1" s="1"/>
  <c r="Y775" i="1"/>
  <c r="AA775" i="1" s="1"/>
  <c r="Z385" i="1"/>
  <c r="Z384" i="1"/>
  <c r="Z373" i="1"/>
  <c r="Z372" i="1"/>
  <c r="Z368" i="1"/>
  <c r="Z342" i="1"/>
  <c r="Z333" i="1"/>
  <c r="Z324" i="1"/>
  <c r="Z322" i="1"/>
  <c r="Z319" i="1"/>
  <c r="Z311" i="1"/>
  <c r="Z308" i="1"/>
  <c r="Z307" i="1"/>
  <c r="Z306" i="1"/>
  <c r="Z305" i="1"/>
  <c r="Z301" i="1"/>
  <c r="Z289" i="1"/>
  <c r="Z288" i="1"/>
  <c r="Z285" i="1"/>
  <c r="Z280" i="1"/>
  <c r="Z278" i="1"/>
  <c r="Z275" i="1"/>
  <c r="Z268" i="1"/>
  <c r="Z266" i="1"/>
  <c r="Z255" i="1"/>
  <c r="Z235" i="1"/>
  <c r="Z226" i="1"/>
  <c r="Z222" i="1"/>
  <c r="Z212" i="1"/>
  <c r="Z211" i="1"/>
  <c r="Z14" i="1"/>
  <c r="Z186" i="1"/>
  <c r="Z185" i="1"/>
  <c r="Z169" i="1"/>
  <c r="Z166" i="1"/>
  <c r="Z164" i="1"/>
  <c r="Z152" i="1"/>
  <c r="Z145" i="1"/>
  <c r="Z141" i="1"/>
  <c r="Z136" i="1"/>
  <c r="Z131" i="1"/>
  <c r="Z129" i="1"/>
  <c r="Z112" i="1"/>
  <c r="Z110" i="1"/>
  <c r="Z108" i="1"/>
  <c r="Z92" i="1"/>
  <c r="Z90" i="1"/>
  <c r="Z68" i="1"/>
  <c r="Y694" i="1"/>
  <c r="AA694" i="1" s="1"/>
  <c r="Z729" i="1"/>
  <c r="Z731" i="1"/>
  <c r="Z737" i="1"/>
  <c r="Z743" i="1"/>
  <c r="Y754" i="1"/>
  <c r="AA754" i="1" s="1"/>
  <c r="Z763" i="1"/>
  <c r="Y767" i="1"/>
  <c r="AA767" i="1" s="1"/>
  <c r="Y772" i="1"/>
  <c r="AA772" i="1" s="1"/>
  <c r="Y690" i="1"/>
  <c r="AA690" i="1" s="1"/>
  <c r="Y692" i="1"/>
  <c r="AA692" i="1" s="1"/>
  <c r="Y748" i="1"/>
  <c r="AA748" i="1" s="1"/>
  <c r="Y752" i="1"/>
  <c r="AA752" i="1" s="1"/>
  <c r="Y757" i="1"/>
  <c r="AA757" i="1" s="1"/>
  <c r="Y766" i="1"/>
  <c r="AA766" i="1" s="1"/>
  <c r="Z769" i="1"/>
  <c r="Z771" i="1"/>
  <c r="Z775" i="1"/>
  <c r="Z773" i="1"/>
  <c r="Z770" i="1"/>
  <c r="Z774" i="1"/>
  <c r="Y643" i="1"/>
  <c r="AA643" i="1" s="1"/>
  <c r="Y636" i="1"/>
  <c r="AA636" i="1" s="1"/>
  <c r="Y686" i="1"/>
  <c r="AA686" i="1" s="1"/>
  <c r="Y680" i="1"/>
  <c r="AA680" i="1" s="1"/>
  <c r="Y672" i="1"/>
  <c r="AA672" i="1" s="1"/>
  <c r="Y651" i="1"/>
  <c r="AA651" i="1" s="1"/>
  <c r="Y608" i="1"/>
  <c r="AA608" i="1" s="1"/>
  <c r="Y246" i="1"/>
  <c r="AA246" i="1" s="1"/>
  <c r="Z683" i="1"/>
  <c r="Z671" i="1"/>
  <c r="Z645" i="1"/>
  <c r="Z631" i="1"/>
  <c r="Z622" i="1"/>
  <c r="Z621" i="1"/>
  <c r="Z607" i="1"/>
  <c r="Z606" i="1"/>
  <c r="Z594" i="1"/>
  <c r="Z593" i="1"/>
  <c r="Z592" i="1"/>
  <c r="Z577" i="1"/>
  <c r="Z569" i="1"/>
  <c r="Z562" i="1"/>
  <c r="Z556" i="1"/>
  <c r="Y542" i="1"/>
  <c r="AA542" i="1" s="1"/>
  <c r="Y494" i="1"/>
  <c r="AA494" i="1" s="1"/>
  <c r="Z492" i="1"/>
  <c r="Z487" i="1"/>
  <c r="Y439" i="1"/>
  <c r="AA439" i="1" s="1"/>
  <c r="Y365" i="1"/>
  <c r="AA365" i="1" s="1"/>
  <c r="Y291" i="1"/>
  <c r="AA291" i="1" s="1"/>
  <c r="Y655" i="1"/>
  <c r="AA655" i="1" s="1"/>
  <c r="Z702" i="1"/>
  <c r="Z409" i="1"/>
  <c r="Z392" i="1"/>
  <c r="Z386" i="1"/>
  <c r="Z380" i="1"/>
  <c r="Z379" i="1"/>
  <c r="Z378" i="1"/>
  <c r="Z377" i="1"/>
  <c r="Z375" i="1"/>
  <c r="Z371" i="1"/>
  <c r="Z370" i="1"/>
  <c r="Z323" i="1"/>
  <c r="Z320" i="1"/>
  <c r="Z316" i="1"/>
  <c r="Z315" i="1"/>
  <c r="Z314" i="1"/>
  <c r="Z312" i="1"/>
  <c r="Z309" i="1"/>
  <c r="Z304" i="1"/>
  <c r="Z300" i="1"/>
  <c r="Z299" i="1"/>
  <c r="Z298" i="1"/>
  <c r="Z297" i="1"/>
  <c r="Z294" i="1"/>
  <c r="Z292" i="1"/>
  <c r="Z291" i="1"/>
  <c r="Z283" i="1"/>
  <c r="Z282" i="1"/>
  <c r="Z281" i="1"/>
  <c r="Z277" i="1"/>
  <c r="Z276" i="1"/>
  <c r="Z274" i="1"/>
  <c r="Z271" i="1"/>
  <c r="Z269" i="1"/>
  <c r="Y695" i="1"/>
  <c r="AA695" i="1" s="1"/>
  <c r="Y733" i="1"/>
  <c r="AA733" i="1" s="1"/>
  <c r="Z734" i="1"/>
  <c r="Y740" i="1"/>
  <c r="AA740" i="1" s="1"/>
  <c r="Y744" i="1"/>
  <c r="AA744" i="1" s="1"/>
  <c r="Z746" i="1"/>
  <c r="Z60" i="1"/>
  <c r="Z52" i="1"/>
  <c r="Z688" i="1"/>
  <c r="Z697" i="1"/>
  <c r="Z698" i="1"/>
  <c r="Y706" i="1"/>
  <c r="AA706" i="1" s="1"/>
  <c r="Z706" i="1"/>
  <c r="Z704" i="1"/>
  <c r="Y712" i="1"/>
  <c r="AA712" i="1" s="1"/>
  <c r="Y716" i="1"/>
  <c r="AA716" i="1" s="1"/>
  <c r="Y753" i="1"/>
  <c r="AA753" i="1" s="1"/>
  <c r="Z754" i="1"/>
  <c r="Y699" i="1"/>
  <c r="AA699" i="1" s="1"/>
  <c r="Y701" i="1"/>
  <c r="AA701" i="1" s="1"/>
  <c r="Z707" i="1"/>
  <c r="Z708" i="1"/>
  <c r="Z711" i="1"/>
  <c r="Z712" i="1"/>
  <c r="Y725" i="1"/>
  <c r="AA725" i="1" s="1"/>
  <c r="Y732" i="1"/>
  <c r="AA732" i="1" s="1"/>
  <c r="Y710" i="1"/>
  <c r="AA710" i="1" s="1"/>
  <c r="Y722" i="1"/>
  <c r="AA722" i="1" s="1"/>
  <c r="Y729" i="1"/>
  <c r="AA729" i="1" s="1"/>
  <c r="Z740" i="1"/>
  <c r="Y741" i="1"/>
  <c r="AA741" i="1" s="1"/>
  <c r="Y743" i="1"/>
  <c r="AA743" i="1" s="1"/>
  <c r="Z744" i="1"/>
  <c r="Y758" i="1"/>
  <c r="AA758" i="1" s="1"/>
  <c r="Y709" i="1"/>
  <c r="AA709" i="1" s="1"/>
  <c r="Y713" i="1"/>
  <c r="AA713" i="1" s="1"/>
  <c r="Y736" i="1"/>
  <c r="AA736" i="1" s="1"/>
  <c r="Z739" i="1"/>
  <c r="Z749" i="1"/>
  <c r="Z758" i="1"/>
  <c r="Z761" i="1"/>
  <c r="P7" i="1" l="1"/>
  <c r="S7" i="1" s="1"/>
  <c r="V4" i="1"/>
</calcChain>
</file>

<file path=xl/sharedStrings.xml><?xml version="1.0" encoding="utf-8"?>
<sst xmlns="http://schemas.openxmlformats.org/spreadsheetml/2006/main" count="14367" uniqueCount="1374">
  <si>
    <t>Dependencia</t>
  </si>
  <si>
    <t>Código UNSPSC (cada código separado por ;)</t>
  </si>
  <si>
    <t>Meta Proyecto de Inversión</t>
  </si>
  <si>
    <t>Subdirección de Gestión Corporativa</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</si>
  <si>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</si>
  <si>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</si>
  <si>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</si>
  <si>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O232020200882199_Otros servicios jurídicos n.c.p.</t>
  </si>
  <si>
    <t>O23202020088715999_Servicio de mantenimiento y reparación de otros equipos n.c.p.</t>
  </si>
  <si>
    <t>5-Implementar 100% de un programa de mantenimiento a las estaciones de bomberos de Bogotá</t>
  </si>
  <si>
    <t>O23201010030208_Otra maquinaria para usos especiales y sus partes y piezas</t>
  </si>
  <si>
    <t>O2320202005040554590_Otros servicios especializados de la construcción</t>
  </si>
  <si>
    <t>O232020200885330_Servicios de limpieza general</t>
  </si>
  <si>
    <t>O232020200885250_Servicios de protección (guardas de
seguridad)</t>
  </si>
  <si>
    <t>4-Adecuar seis (6) estaciones de Bomberos</t>
  </si>
  <si>
    <t>226-Reforzar, Adecuar y Ampliar  6 estaciones de Bomberos</t>
  </si>
  <si>
    <t>516-Gestionar el 100% de un (1) plan de adecuación y sostenibilidad de los sistemas de gestión de la Unidad Administrativa Especial Cuerpo Oficial de Bomberos</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</si>
  <si>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</si>
  <si>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</si>
  <si>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</si>
  <si>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</si>
  <si>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</si>
  <si>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</si>
  <si>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</si>
  <si>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O232020200663393_Otros servicios de comidas contratadas</t>
  </si>
  <si>
    <t>O232020200883590_Otros servicios veterinarios</t>
  </si>
  <si>
    <t>O2320201003083899997_Artículos n.c.p. para protección</t>
  </si>
  <si>
    <t>TOTAL</t>
  </si>
  <si>
    <t>Oficina Jurídica</t>
  </si>
  <si>
    <t>Subdirección de Gestión del Riesgo</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</si>
  <si>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</si>
  <si>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</si>
  <si>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 xml:space="preserve">Oficina de Control Interno </t>
  </si>
  <si>
    <t>Subdirección de Gestión Humana</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</si>
  <si>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</si>
  <si>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</si>
  <si>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Oficina Asesora de Planeación</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</si>
  <si>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</si>
  <si>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</si>
  <si>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</si>
  <si>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O232020200883132_Servicios de soporte en tecnologías de la información (TI)</t>
  </si>
  <si>
    <t>1-Implementar 100 %  del modelo de seguridad y privacidad de la información en la UAECOB alineado a la Política de Gobierno Digital.</t>
  </si>
  <si>
    <t>O232020200668014_Servicios de gestión documental</t>
  </si>
  <si>
    <t>O21202020080282199_Otros servicios jurídicos n.c.p.</t>
  </si>
  <si>
    <t>Dirección-Comunicaciones y Prensa</t>
  </si>
  <si>
    <t>Dirección</t>
  </si>
  <si>
    <t>Oficina de Control Disciplinario Interno</t>
  </si>
  <si>
    <t>Subdirección Operativa</t>
  </si>
  <si>
    <t>6-Implementar 100% de un programa de renovación de equipo menor, herramientas, accesorios y elementos de protección personal en la UAECOB</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</si>
  <si>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</si>
  <si>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</si>
  <si>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</si>
  <si>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</si>
  <si>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</si>
  <si>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</si>
  <si>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</si>
  <si>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</si>
  <si>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</si>
  <si>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</si>
  <si>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</si>
  <si>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</si>
  <si>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</si>
  <si>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</si>
  <si>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</si>
  <si>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</si>
  <si>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</si>
  <si>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UNIDAD ADMINISTRATIVA ESPECIAL CUERPO OFICIAL DE BOMBEROS DE BOGOTÁ D.C.</t>
  </si>
  <si>
    <t>VIGENCIA:</t>
  </si>
  <si>
    <t>Id</t>
  </si>
  <si>
    <t>Objeto</t>
  </si>
  <si>
    <t>Valor Programado</t>
  </si>
  <si>
    <t>Fuente de Recursos</t>
  </si>
  <si>
    <t>Mes inicio de ejecución</t>
  </si>
  <si>
    <t>plazo ejec Meses</t>
  </si>
  <si>
    <t xml:space="preserve">Dependencia </t>
  </si>
  <si>
    <t>Responsable</t>
  </si>
  <si>
    <t>Modalidad de Selección</t>
  </si>
  <si>
    <t>Si Secop / No Secop</t>
  </si>
  <si>
    <t xml:space="preserve">fecha: </t>
  </si>
  <si>
    <t>Producto PMR</t>
  </si>
  <si>
    <t>Descripción Producto PMR</t>
  </si>
  <si>
    <t>Producto MGA</t>
  </si>
  <si>
    <t>Tipo de Contratación</t>
  </si>
  <si>
    <t>modalidad de selección</t>
  </si>
  <si>
    <t>POSPRE</t>
  </si>
  <si>
    <t>01 - licitación pública</t>
  </si>
  <si>
    <t>01 - orden de compra</t>
  </si>
  <si>
    <t>O23201010030208 Otra maquinaria para usos especiales y sus partes y piezas</t>
  </si>
  <si>
    <t>METAS PROYECTO FORTALECIMIENTO</t>
  </si>
  <si>
    <t>METAS PROYECTO MISIONAL</t>
  </si>
  <si>
    <t>02 - selec. abrev. menor cuantía</t>
  </si>
  <si>
    <t>02 - contratos interadministrativos</t>
  </si>
  <si>
    <t>O2320201003053543003 Aditivos para gasolina, aceites minerales y combustible en general</t>
  </si>
  <si>
    <t>1-Implementar el 100% de las actividades de seguimiento y control de los requisitos y directrices de las políticas del Modelo integrado de Planeación y Gestión - MIPG</t>
  </si>
  <si>
    <t>1-Implementación 6 estrategias de reducción del riesgo de incendios,  incidentes con materiales peligrosos y rescate en todas sus modalidades en la ciudad de Bogotá</t>
  </si>
  <si>
    <t>03 - selec. abrev. subasta inversa</t>
  </si>
  <si>
    <t>03 - contrato de prestacion de servicios</t>
  </si>
  <si>
    <t>O2320201003083899997 Artículos n.c.p. para protección</t>
  </si>
  <si>
    <t>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</si>
  <si>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2-Desarrollar un programa de renovación de equipos, herramientas, accesorios y elementos de protección personal en la UAECOB.</t>
  </si>
  <si>
    <t>04 - contratación mínima cuantía</t>
  </si>
  <si>
    <t>04 - contrato de consultoria</t>
  </si>
  <si>
    <t>O2320202005040554590 Otros servicios especializados de la construcción</t>
  </si>
  <si>
    <t>3-Implementar el 100% de los sistemas y modelos de gestión que defina la UAECOB en el marco del MIPG</t>
  </si>
  <si>
    <t>3-Desarrollar un programa de renovación de vehículos de la Unidad Administrativa Cuerpo Oficial de Bomberos de Bogotá.</t>
  </si>
  <si>
    <t>05 - contrato de obra</t>
  </si>
  <si>
    <t>4-Administrar, soportar y mantener el 100% del servicio de Herramientas de Colaboración y sistemas de información.</t>
  </si>
  <si>
    <t xml:space="preserve">4-Desarrollar 3 estrategias para el fortalecimiento de la logistica en la atención de emergencias. </t>
  </si>
  <si>
    <t>06 - concurso de méritos abierto</t>
  </si>
  <si>
    <t>06 - contrato de compraventa</t>
  </si>
  <si>
    <t>O232020200663393 Otros servicios de comidas contratadas</t>
  </si>
  <si>
    <t>5-Desarrollar el 100% de las acciones asociadas al fortalecimiento de la infraestructura tecnológica y de comunicaciones de la UAECOB</t>
  </si>
  <si>
    <t>5-Realizar 3 Estrategias de Investigación, desarrollo e innovación en gestión del riesgo</t>
  </si>
  <si>
    <t>09 - contratación directa</t>
  </si>
  <si>
    <t>07 - contrato de arrendamiento</t>
  </si>
  <si>
    <t>O232020200668014 Servicios de gestión documental</t>
  </si>
  <si>
    <t>6-Formular e Implementar 1 Plan Estratégico de Tecnologías de la Información y Transformación Digital de la UAECOB.</t>
  </si>
  <si>
    <t>6-Implementar un sistema de monitoreo y seguimiento a incidentes y emergencias para Bogotá, incluyendo cerros orientales</t>
  </si>
  <si>
    <t>10 - contratación directa menor cuantía</t>
  </si>
  <si>
    <t>08 - contrato de suministro</t>
  </si>
  <si>
    <t>O232020200882199 Otros servicios jurídicos n.c.p.</t>
  </si>
  <si>
    <t>7-Actualizar e implementar el 100% del Plan Anual de Seguridad y Privacidad de la Información.</t>
  </si>
  <si>
    <t>7-Adecuar 4 Sedes de la UAECOB</t>
  </si>
  <si>
    <t>17 - acuerdo marco de precios</t>
  </si>
  <si>
    <t>09 - convenio interadministrativo</t>
  </si>
  <si>
    <t>O232020200883132 Servicios de soporte en tecnologías de la información (TI)</t>
  </si>
  <si>
    <t>8-Implementar el 100% del programa de mantenimiento a las sedes de Bomberos de Bogotá</t>
  </si>
  <si>
    <t>8-Construir 1 sede de bomberos de la UAECOB</t>
  </si>
  <si>
    <t>91 - n/a acto administrativo (resolución, decreto, acuerdo, etc.)</t>
  </si>
  <si>
    <t>10 - licitacion publica</t>
  </si>
  <si>
    <t>O232020200883159 Otros servicios de alojamiento y suministro de infraestructura en tecnología de la información (TI)</t>
  </si>
  <si>
    <t>9-Fortalecer el 100% de la gestión administrativa de las áreas de apoyo al cumplimiento de la misionalidad de la UAECOB</t>
  </si>
  <si>
    <t>9-Implementar el 100% del programa de capacitación, formación y entrenamiento al personal uniformado de la Unidad Administrativa Cuerpo Oficial de Bomberos de Bogotá.</t>
  </si>
  <si>
    <t>11 - orden de prestacion de servicios</t>
  </si>
  <si>
    <t>O232020200883590 Otros servicios veterinarios</t>
  </si>
  <si>
    <t>10-Formular e Implementar una estrategia de comunicaciones en lo relacionado con la divulgación de estrategias, programas, proyectos y servicios a los grupos de interés, de la UAECOB</t>
  </si>
  <si>
    <t>10-Realizar 2 documentos de lineamientos técnicos para la construcción de estaciones de bomberos</t>
  </si>
  <si>
    <t>12 - resolucion</t>
  </si>
  <si>
    <t>O232020200883990 Otros servicios profesionales, técnicos y empresariales n.c.p.</t>
  </si>
  <si>
    <t>13 - orden de servicio</t>
  </si>
  <si>
    <t>14 - contrato de interventoria</t>
  </si>
  <si>
    <t>O232020200885250 Servicios de protección (guardas de seguridad)</t>
  </si>
  <si>
    <t>15 - contrato de seguros</t>
  </si>
  <si>
    <t>O232020200885330 Servicios de limpieza general</t>
  </si>
  <si>
    <t>16 - contrato de suministro de servicios</t>
  </si>
  <si>
    <t>O23202020088714199 Servicio de mantenimiento y reparación de vehículos automotores n.c.p.</t>
  </si>
  <si>
    <t>17 - contrato de mantenimiento</t>
  </si>
  <si>
    <t>O23202020088715999 Servicio de mantenimiento y reparación de otros equipos n.c.p.</t>
  </si>
  <si>
    <t>18 - contrato de obra publica</t>
  </si>
  <si>
    <t>19 - contrato de renovacion de licencias</t>
  </si>
  <si>
    <t>20 -contrato de servicios de consultoria</t>
  </si>
  <si>
    <t>21 - contrato de consultoria y obra</t>
  </si>
  <si>
    <t>22 - contrato de adquisicion de bienes</t>
  </si>
  <si>
    <t>23 - contrato de alquiler</t>
  </si>
  <si>
    <t>24 - contrato de servicio</t>
  </si>
  <si>
    <t>25 - contrato de prestacion de servicios profesionales</t>
  </si>
  <si>
    <t>26 - contrato de prestacion de servicios de apoyo a la gestion</t>
  </si>
  <si>
    <t>27 - contrato de prestacion de servicios de mantenimiento</t>
  </si>
  <si>
    <t>28 - contrato de ciencia y tecnologia</t>
  </si>
  <si>
    <t>Fortalecimiento institucional de la UAECOB para un gobierno confiable Bogotá D.C.</t>
  </si>
  <si>
    <t>Modernización de las capacidades del Cuerpo Oficial de Bomberos Bogotá D.C.</t>
  </si>
  <si>
    <t>Dirección comunicaciones y Prensa</t>
  </si>
  <si>
    <t>Dirección Tic</t>
  </si>
  <si>
    <t>Oficina de Control Interno</t>
  </si>
  <si>
    <t>Oficina Juridica</t>
  </si>
  <si>
    <t>Sub. Gestión Humana</t>
  </si>
  <si>
    <t>Sub. Gestión Corporativa</t>
  </si>
  <si>
    <t>Sub. Gestión Riesgos</t>
  </si>
  <si>
    <t>Sub. Logística</t>
  </si>
  <si>
    <t>Sub. Operativa</t>
  </si>
  <si>
    <t>O2320201003023262003 Catálogos, folletos y otras impresiones publicitarias</t>
  </si>
  <si>
    <t>fuente</t>
  </si>
  <si>
    <t>1-100-F001 VA-Recursos distrito</t>
  </si>
  <si>
    <t>1-601-F001 PAS-Otros distrito</t>
  </si>
  <si>
    <t>BPIN (AÑO+COD_PROYECTO)</t>
  </si>
  <si>
    <t>04</t>
  </si>
  <si>
    <t>Servicio de atención a incidentes y emergencias.</t>
  </si>
  <si>
    <t>05</t>
  </si>
  <si>
    <t>Servicio de capacitaciones en gestión del riesgo de incendios  a la ciudadania.</t>
  </si>
  <si>
    <t>11</t>
  </si>
  <si>
    <t>Infraestructura Tecnológica   (Sistemas de Información y Tecnologia)</t>
  </si>
  <si>
    <t>06</t>
  </si>
  <si>
    <t>Servicio de inspecciones técnicas realizadas</t>
  </si>
  <si>
    <t>07</t>
  </si>
  <si>
    <t>Servicio de formación en gestión del riesgo de incendios para el personal UAECOB</t>
  </si>
  <si>
    <t>08</t>
  </si>
  <si>
    <t>Infraestructura física, mantenimiento y dotación (Sedes construidas, mantenidas reforzadas)</t>
  </si>
  <si>
    <t>09</t>
  </si>
  <si>
    <t>Servicio de mantenimiento, dotación (HEA´s y equipo menor) y adquisición de vehiculos   especializados para la atención de emergencias.</t>
  </si>
  <si>
    <t>10</t>
  </si>
  <si>
    <t>Servicio de dotación y equipamento para el personal operativo</t>
  </si>
  <si>
    <t>12</t>
  </si>
  <si>
    <t>Servicio de apoyo   logístico  en eventos operativos y/o emergencias.</t>
  </si>
  <si>
    <t>13</t>
  </si>
  <si>
    <t>Servicios para la planeación y sistemas de gestión y comunicación estratégica</t>
  </si>
  <si>
    <t>Bogotá camina segura</t>
  </si>
  <si>
    <t>Sector_Programa MGA</t>
  </si>
  <si>
    <t>Descripción</t>
  </si>
  <si>
    <t>O230117</t>
  </si>
  <si>
    <t>4503</t>
  </si>
  <si>
    <t>4599</t>
  </si>
  <si>
    <t>Gobierno Territorial_ Gestión del riesgo de desastres y emergencias</t>
  </si>
  <si>
    <t>Gobierno Territorial_ Fortalecimiento a la gestión y dirección de la administración pública territorial</t>
  </si>
  <si>
    <t>Nombre del Proyecto BPIN</t>
  </si>
  <si>
    <t xml:space="preserve">Si Secop </t>
  </si>
  <si>
    <t>No Secop</t>
  </si>
  <si>
    <t>Código de proyecto de inversión, asociado a productos PMR y MGA</t>
  </si>
  <si>
    <t>código PEP</t>
  </si>
  <si>
    <t>8126-Fortalecimiento institucional de la UAECOB para un gobierno confiable Bogotá D.C.</t>
  </si>
  <si>
    <t>8173-Modernización de las capacidades del Cuerpo Oficial de Bomberos Bogotá D.C.</t>
  </si>
  <si>
    <t>Proyecto y nombre</t>
  </si>
  <si>
    <t>8126 1-Implementar el 100% de las actividades de seguimiento y control de los requisitos y directrices de las políticas del Modelo integrado de Planeación y Gestión - MIPG</t>
  </si>
  <si>
    <t>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</si>
  <si>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8126 3-Implementar el 100% de los sistemas y modelos de gestión que defina la UAECOB en el marco del MIPG</t>
  </si>
  <si>
    <t>8126 4-Administrar, soportar y mantener el 100% del servicio de Herramientas de Colaboración y sistemas de información.</t>
  </si>
  <si>
    <t>8126 5-Desarrollar el 100% de las acciones asociadas al fortalecimiento de la infraestructura tecnológica y de comunicaciones de la UAECOB</t>
  </si>
  <si>
    <t>8126 6-Formular e Implementar 1 Plan Estratégico de Tecnologías de la Información y Transformación Digital de la UAECOB.</t>
  </si>
  <si>
    <t>8126 7-Actualizar e implementar el 100% del Plan Anual de Seguridad y Privacidad de la Información.</t>
  </si>
  <si>
    <t>8126 8-Implementar el 100% del programa de mantenimiento a las sedes de Bomberos de Bogotá</t>
  </si>
  <si>
    <t>8126 9-Fortalecer el 100% de la gestión administrativa de las áreas de apoyo al cumplimiento de la misionalidad de la UAECOB</t>
  </si>
  <si>
    <t>8126 10-Formular e Implementar una estrategia de comunicaciones en lo relacionado con la divulgación de estrategias, programas, proyectos y servicios a los grupos de interés, de la UAECOB</t>
  </si>
  <si>
    <t>8173 1-Implementación 6 estrategias de reducción del riesgo de incendios,  incidentes con materiales peligrosos y rescate en todas sus modalidades en la ciudad de Bogotá</t>
  </si>
  <si>
    <t>8173 2-Desarrollar un programa de renovación de equipos, herramientas, accesorios y elementos de protección personal en la UAECOB.</t>
  </si>
  <si>
    <t>8173 3-Desarrollar un programa de renovación de vehículos de la Unidad Administrativa Cuerpo Oficial de Bomberos de Bogotá.</t>
  </si>
  <si>
    <t xml:space="preserve">8173 4-Desarrollar 3 estrategias para el fortalecimiento de la logistica en la atención de emergencias. </t>
  </si>
  <si>
    <t>8173 5-Realizar 3 Estrategias de Investigación, desarrollo e innovación en gestión del riesgo</t>
  </si>
  <si>
    <t>8173 6-Implementar un sistema de monitoreo y seguimiento a incidentes y emergencias para Bogotá, incluyendo cerros orientales</t>
  </si>
  <si>
    <t>8173 7-Adecuar 4 Sedes de la UAECOB</t>
  </si>
  <si>
    <t>8173 8-Construir 1 sede de bomberos de la UAECOB</t>
  </si>
  <si>
    <t>8173 9-Implementar el 100% del programa de capacitación, formación y entrenamiento al personal uniformado de la Unidad Administrativa Cuerpo Oficial de Bomberos de Bogotá.</t>
  </si>
  <si>
    <t>8173 10-Realizar 2 documentos de lineamientos técnicos para la construcción de estaciones de bomberos</t>
  </si>
  <si>
    <t>codigo PEP</t>
  </si>
  <si>
    <t>004</t>
  </si>
  <si>
    <t>002</t>
  </si>
  <si>
    <t>035</t>
  </si>
  <si>
    <t>018</t>
  </si>
  <si>
    <t>014</t>
  </si>
  <si>
    <t>015</t>
  </si>
  <si>
    <t>016</t>
  </si>
  <si>
    <t>007</t>
  </si>
  <si>
    <t>031</t>
  </si>
  <si>
    <t>023</t>
  </si>
  <si>
    <t>019</t>
  </si>
  <si>
    <t>Producto MGA2</t>
  </si>
  <si>
    <t>Descripción Producto MGA</t>
  </si>
  <si>
    <t>Servicio de atención a emergencias y desastres</t>
  </si>
  <si>
    <t>Servicio de educación informal</t>
  </si>
  <si>
    <t>Servicio prevención y control de incendios</t>
  </si>
  <si>
    <t>"Servicio de monitoreo y seguimiento para la gestión del riesgo"</t>
  </si>
  <si>
    <t>Estaciones de bomberos adecuadas</t>
  </si>
  <si>
    <t>Estaciones de bomberos construidas</t>
  </si>
  <si>
    <t>Sedes mantenidas</t>
  </si>
  <si>
    <t>Servicios tecnológicos</t>
  </si>
  <si>
    <t>Servicio de asistencia técnica</t>
  </si>
  <si>
    <t>Servicio de Implementación Sistemas de Gestión</t>
  </si>
  <si>
    <t>Documentos de planeación</t>
  </si>
  <si>
    <t>Documentos de lineamientos técnicos</t>
  </si>
  <si>
    <t>descripcion Producto MGA</t>
  </si>
  <si>
    <t>PM/0131/0104/45030040255</t>
  </si>
  <si>
    <t>PM/0131/0105/45030020255</t>
  </si>
  <si>
    <t>PM/0131/0105/45030350255</t>
  </si>
  <si>
    <t>PM/0131/0111/45030180255</t>
  </si>
  <si>
    <t>PM/0131/0106/45030350255</t>
  </si>
  <si>
    <t>PM/0131/0107/45030020255</t>
  </si>
  <si>
    <t>PM/0131/0108/45030140255</t>
  </si>
  <si>
    <t>PM/0131/0108/45030150255</t>
  </si>
  <si>
    <t>PM/0131/0108/45990160207</t>
  </si>
  <si>
    <t>PM/0131/0109/45030040255</t>
  </si>
  <si>
    <t>PM/0131/0110/45030040255</t>
  </si>
  <si>
    <t>PM/0131/0111/45990070207</t>
  </si>
  <si>
    <t>PM/0131/0112/45030040255</t>
  </si>
  <si>
    <t>PM/0131/0113/45990310207</t>
  </si>
  <si>
    <t>PM/0131/0113/45990230207</t>
  </si>
  <si>
    <t>PM/0131/0113/45990190207</t>
  </si>
  <si>
    <t>PM/0131/0108/45030310255</t>
  </si>
  <si>
    <t>concatenarMGA</t>
  </si>
  <si>
    <t>PMR MGA</t>
  </si>
  <si>
    <t>04-Servicio de atención a incidentes y emergencias. 004_Servicio de atención a emergencias y desastres</t>
  </si>
  <si>
    <t>05-Servicio de capacitaciones en gestión del riesgo de incendios  a la ciudadania. 002_Servicio de educación informal</t>
  </si>
  <si>
    <t>05-Servicio de capacitaciones en gestión del riesgo de incendios  a la ciudadania. 035_Servicio prevención y control de incendios</t>
  </si>
  <si>
    <t>11-Infraestructura Tecnológica   (Sistemas de Información y Tecnologia) 018_"Servicio de monitoreo y seguimiento para la gestión del riesgo"</t>
  </si>
  <si>
    <t>06-Servicio de inspecciones técnicas realizadas 035_Servicio prevención y control de incendios</t>
  </si>
  <si>
    <t>07-Servicio de formación en gestión del riesgo de incendios para el personal UAECOB 002_Servicio de educación informal</t>
  </si>
  <si>
    <t>08-Infraestructura física, mantenimiento y dotación (Sedes construidas, mantenidas reforzadas) 014_Estaciones de bomberos adecuadas</t>
  </si>
  <si>
    <t>08-Infraestructura física, mantenimiento y dotación (Sedes construidas, mantenidas reforzadas) 015_Estaciones de bomberos construidas</t>
  </si>
  <si>
    <t>08-Infraestructura física, mantenimiento y dotación (Sedes construidas, mantenidas reforzadas) 016_Sedes mantenidas</t>
  </si>
  <si>
    <t>09-Servicio de mantenimiento, dotación (HEA´s y equipo menor) y adquisición de vehiculos   especializados para la atención de emergencias. 004_Servicio de atención a emergencias y desastres</t>
  </si>
  <si>
    <t>10-Servicio de dotación y equipamento para el personal operativo 004_Servicio de atención a emergencias y desastres</t>
  </si>
  <si>
    <t>11-Infraestructura Tecnológica   (Sistemas de Información y Tecnologia) 007_Servicios tecnológicos</t>
  </si>
  <si>
    <t>12-Servicio de apoyo   logístico  en eventos operativos y/o emergencias. 004_Servicio de atención a emergencias y desastres</t>
  </si>
  <si>
    <t>13-Servicios para la planeación y sistemas de gestión y comunicación estratégica 031_Servicio de asistencia técnica</t>
  </si>
  <si>
    <t>13-Servicios para la planeación y sistemas de gestión y comunicación estratégica 023_Servicio de Implementación Sistemas de Gestión</t>
  </si>
  <si>
    <t>13-Servicios para la planeación y sistemas de gestión y comunicación estratégica 019_Documentos de planeación</t>
  </si>
  <si>
    <t>PEP</t>
  </si>
  <si>
    <t>031_</t>
  </si>
  <si>
    <t>08-Infraestructura física, mantenimiento y dotación (Sedes construidas, mantenidas reforzadas) 031__Documentos de lineamientos técnicos</t>
  </si>
  <si>
    <t xml:space="preserve">Proyecto y nombre </t>
  </si>
  <si>
    <t>PM MGA conca</t>
  </si>
  <si>
    <t>PMR conca</t>
  </si>
  <si>
    <t>PRESUPUESTO ASIGNADO INVERSION PROY 8126</t>
  </si>
  <si>
    <t>PRESUPUESTO ASIGNADO INVERSION PROY 8173</t>
  </si>
  <si>
    <t>TOTAL PRESUPUESTO ASIGNADO INVERSION</t>
  </si>
  <si>
    <t>PRESUPUESTO FUNCIONAMIENTO PAA</t>
  </si>
  <si>
    <t>TOTAL PRESUPUESTO PAA</t>
  </si>
  <si>
    <t>-</t>
  </si>
  <si>
    <t>DEPENDENCIA</t>
  </si>
  <si>
    <t>TOTAL META</t>
  </si>
  <si>
    <t>pospre</t>
  </si>
  <si>
    <t>OAP</t>
  </si>
  <si>
    <t>O23011745992024020713031</t>
  </si>
  <si>
    <t>O23011745992024020713023</t>
  </si>
  <si>
    <t>Dirección TIC</t>
  </si>
  <si>
    <t>O23011745992024020711007</t>
  </si>
  <si>
    <t>O232020200883132 Servicios de soporte en tecnologías de la información (TI) (273.960.117) ORACLE 
O232020200883990 Otros servicios profesionales, técnicos y empresariales n.c.p. AUTERIDAD (208.000.000)</t>
  </si>
  <si>
    <t>O232020200883132 Servicios de soporte en tecnologías de la información (TI) (200.000.000) VIDEOBIND
O232020200883159_Otros servicios de alojamiento y suministro de infraestructura en tecnología de la información (TI) (726.338.572) ANTIVIRUS</t>
  </si>
  <si>
    <t>SGC</t>
  </si>
  <si>
    <t>O23011745992024020708016</t>
  </si>
  <si>
    <t>O2320202005040554590 Otros servicios especializados de la construcción (1.182.712.750)
O23202020088715999 Servicio de mantenimiento y reparación de otros equipos n.c.p. LAVADORAS (52.000.000)
O232020200883990 Otros servicios profesionales, técnicos y empresariales n.c.p. TRAMPA (5.000.000)</t>
  </si>
  <si>
    <t xml:space="preserve">Dirección </t>
  </si>
  <si>
    <t>OCDI</t>
  </si>
  <si>
    <t>OCI</t>
  </si>
  <si>
    <t>OJ</t>
  </si>
  <si>
    <t>O23011745992024020713019</t>
  </si>
  <si>
    <t/>
  </si>
  <si>
    <t>SGR</t>
  </si>
  <si>
    <t>O23011745032024025505002</t>
  </si>
  <si>
    <t>O23011745032024025505035</t>
  </si>
  <si>
    <t>O232020200883990 Otros servicios profesionales, técnicos y empresariales n.c.p. POLVORA</t>
  </si>
  <si>
    <t>O23011745032024025506035</t>
  </si>
  <si>
    <t>SO</t>
  </si>
  <si>
    <t>O23011745032024025504004</t>
  </si>
  <si>
    <t>O23011745032024025510004</t>
  </si>
  <si>
    <t>O23201010030208 Otra maquinaria para usos especiales y sus partes y piezas ELEMENTOS - ELECTRICO</t>
  </si>
  <si>
    <t>O23011745032024025509004</t>
  </si>
  <si>
    <t>SL</t>
  </si>
  <si>
    <t>O23011745032024025512004</t>
  </si>
  <si>
    <t>O23011745032024025511018</t>
  </si>
  <si>
    <t>O23011745032024025508014</t>
  </si>
  <si>
    <t>O2320202005040554590 Otros servicios especializados de la construcción INTERV KENNEDY</t>
  </si>
  <si>
    <t>O23011745032024025508015</t>
  </si>
  <si>
    <t>SGH</t>
  </si>
  <si>
    <t>O23011745032024025507002</t>
  </si>
  <si>
    <t>O232020200883990 Otros servicios profesionales, técnicos y empresariales n.c.p. BUCEO -  AUSTERIDAD (1.545.072.622)</t>
  </si>
  <si>
    <t>O23011745032024025508031</t>
  </si>
  <si>
    <t>TOTAL PROYECTO</t>
  </si>
  <si>
    <t>TOTAL PROYECTOS INVERSIÓN</t>
  </si>
  <si>
    <t>131- Funcionamiento</t>
  </si>
  <si>
    <t>No aplica</t>
  </si>
  <si>
    <t>No Aplica</t>
  </si>
  <si>
    <t>NA</t>
  </si>
  <si>
    <t>Jaime Hernando Arias Patiño</t>
  </si>
  <si>
    <t>Prestar los servicios profesionales  como abogado en la Oficina de Control Interno para el desarrollo del Plan Anual de Auditorías.</t>
  </si>
  <si>
    <t>Prestar los servicios profesionales como contador publico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</si>
  <si>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</si>
  <si>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</si>
  <si>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Paula Ximena Henao Escobar</t>
  </si>
  <si>
    <t>Prestar servicios profesionales a la Dirección General en actividades de articulación interinstitucional entre las diferentes dependencias, entidades del sector, y demás que estén relacionadas con la misionalidad de la UAECOB.</t>
  </si>
  <si>
    <t>Prestación de servicios profesionales jurídicos en virtud de las funciones asignadas a la Dirección General de la UAECOB, para apoyar los procesos contractuales y actividades administrativas requeridas.</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</si>
  <si>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</si>
  <si>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de apoyo a la gestión en la UAECOB, en asuntos administrativos y asistenciales requeridos, especificamente en el seguimiento de la información.</t>
  </si>
  <si>
    <t>Prestar servicios profesionales especializados en la Dirección General de la UAECOB en la organización y liderazgo de los asuntos relacionados con comunicaciones de conformidad a la misionalidad de la entidad.</t>
  </si>
  <si>
    <t>Prestación de servicios profesionales para apoyar a la Dirección en la elaboración, diseño y diagramación de piezas requeridas para los planes, programas, proyectos y procedimientos</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</si>
  <si>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</si>
  <si>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Prestación de servicios profesionales en asuntos de comunicaciones y prensa para apoyar la divulgación y socialización de la información relacionada con la misionalidad de la UAECOB de manera interna y externa</t>
  </si>
  <si>
    <t>Prestación de servicios profesionales en la Dirección en comunicaciones y prensa, para apoyar la difusión de la información al público interno y externo de la UAECOB.</t>
  </si>
  <si>
    <t>"Prestar servicios profesionales en la Dirección General para  el manejo de redes sociales de la entidad y apoyo periodistico requerido en el marco de la estrategia de comunicaciones y prensa de la UEACOB".</t>
  </si>
  <si>
    <t>Prestar servicios de apoyo para la gestión en asuntos de comunicaciones y prensa en la Dirección General, y demás acciones encaminadas al cumplimiento de las estrategias comunicacionales de la UAECOB</t>
  </si>
  <si>
    <t>Prestar apoyo técnico en la Dirección, en asuntos de comunicaciones y prensa, para la producción, diseño y edición de material audiovisual de la UAECOB.</t>
  </si>
  <si>
    <t>mas plazo ejec Días (si aplica)</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</si>
  <si>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</si>
  <si>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Prestar servicios profesionales en los procesos de formacion y capacitacion de la subdirección de gestión del riesgo._SGR</t>
  </si>
  <si>
    <t>“Adquisición de elementos de apoyo didáctico y pedagógico para actividades, programas y campañas requeridas en la Subdirección de Gestión del Riesgo_SGR”</t>
  </si>
  <si>
    <t>Prestar sus servicios de apoyo tecnico para realizar las inspecciones relacionadas con la emision de conceptos a cargo de la Subdirección de Gestión del Riesgo._SGR</t>
  </si>
  <si>
    <t>Prestar sus servicios profesionales en las actividades relacionadas con la emision de conceptos a cargo de la Subdirección de Gestión del Riesgo._SGR</t>
  </si>
  <si>
    <t>Prestar servicios de apoyo a la gestion en las actividades de monitoreo del riesgo para la Subdirección de Gestión del Riesgo._SGR</t>
  </si>
  <si>
    <t>78121600
78131800
92111600
72141500</t>
  </si>
  <si>
    <t>Prestar servicios profesionales para la gestión de la SGR, en su compomente técnico, administrativo y análisis financiero._SGR.</t>
  </si>
  <si>
    <t>Prestar servicios profesionales para la gestión de la SGR, estructurando el seguimiento de los procesos contractuales y demás aspectos jurídicos._SGR</t>
  </si>
  <si>
    <t>Manuel Eduardo Castillo Guzman</t>
  </si>
  <si>
    <t>Prestación de servicios de apoyo en el desarrollo de las actividades encaminadas al control de la documentación de acuerdo a los lineamientos de las políticas de planeación institucional y gestión documental en el marco del Modelo Integrado de Planeación y Gestión MIPG.</t>
  </si>
  <si>
    <t>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t>
  </si>
  <si>
    <t>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t>
  </si>
  <si>
    <t>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t>
  </si>
  <si>
    <t>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t>
  </si>
  <si>
    <t>Prestación de servicios profesionales en el apoyo jurídico, relacionado a la gestión contractual y administrativa de la Oficina Asesora de Planeación de acuerdo con los lineamientos internos en el marco del Modelo Integrado de Planeación y Gestión  MIPG.</t>
  </si>
  <si>
    <t>Prestación de servicios profesionales dentro del marco de las políticas de gestión, así como la implementación y seguimiento del Modelo Integrado de Gestión - MIPG, fortaleciendo las acciones en la UAECOB para la mejora continua.</t>
  </si>
  <si>
    <t>42141501;42141502;42141503;42142101;42142103;42142105;42142108;42172010;42172013;42172016;42172201;42281502;42291902</t>
  </si>
  <si>
    <t>90101800;90101600;50192700;50112000;50202311;50201709;50161509;50192110;93131602</t>
  </si>
  <si>
    <t>Prestar los servicios profesionales para realizar el acompañamiento administrativo y financiero en temas de liquidación y cierre de expedientes, como demás actuaciones administrativas requeridas de los procesos contractuales</t>
  </si>
  <si>
    <t>Monica Perez Barragan</t>
  </si>
  <si>
    <t>SGH - Garantizar los recursos para viáticos y tiquetes del personal</t>
  </si>
  <si>
    <t>SGH - Garantizar los Recursos para movilización del Personal para emergencias</t>
  </si>
  <si>
    <t>SGH - Prestar servicios profesionales para apoyar el programa de vigilancia epidemiológico al riesgo psicosocial y actividades de seguridad y salud en el trabajo en la Subdirección de Gestión Humana.</t>
  </si>
  <si>
    <t>SGH - Prestar sus servicios profesionales en los procesos de la Subdirección de Gestión Humana de la UAE Cuerpo Oficial de Bomberos.</t>
  </si>
  <si>
    <t>SGH - Prestar servicios profesionales para apoyar el programa de desórdenes musculo esqueléticos de la UAE Cuerpo Oficial de Bomberos de Bogotá.</t>
  </si>
  <si>
    <t>SGH - Prestar servicios de apoyo en el sistema de gestión de seguridad y salud en el trabajo en la Subdirección de Gestión Humana de la UAE Cuerpo Oficial de Bomberos.</t>
  </si>
  <si>
    <t>SGH - Prestar sus servicios profesionales en la Subdirección de Gestión Humana en temas de desarrollo organizacional.</t>
  </si>
  <si>
    <t>SGH - Prestar sus servicios profesionales en la gestión contractual y presupuestal de la Subdirección de Gestión Humana de la UAE Cuerpo Oficial de Bomberos.</t>
  </si>
  <si>
    <t>SGH - Prestar servicios profesionales en la Subdirección de Gestión Humana de la UAE Cuerpo Oficial de Bomberos en temas de liquidación de demandas y conciliaciones.</t>
  </si>
  <si>
    <t>SGH - Prestar servicios profesionales para apoyar el seguimiento del sistema de gestión de seguridad y salud en el trabajo en la Subdirección de Gestión Humana.</t>
  </si>
  <si>
    <t>SGH - Ejecutar actividades de apoyo a la gestión en  la Subdirección de Gestión Humana de la UAE Cuerpo Oficial de Bomberos de Bogotá D.C. en lo relacionado con los procesos de actualización, custodia y manejo del archivo de gestión de la Subdirección.</t>
  </si>
  <si>
    <t xml:space="preserve">SGH - Prestar Servicios de apoyo  a los procesos de archivo en  Subdirección de Gestión Humana de la UAE Cuerpo Oficial de Bomberos de Bogotá D.C. </t>
  </si>
  <si>
    <t>SGH - Prestar sus servicios profesionales en el proceso de liquidación de demandas y conciliaciones administrativas para la Subdirección de Gestión Humana de la UAE Cuerpo Oficial de Bomberos.</t>
  </si>
  <si>
    <t>SGH - Prestar sus servicios profesionales en comunicación interna y externa para la Subdirección de Gestión Humana de la UAE Cuerpo Oficial de Bomberos de Bogotá</t>
  </si>
  <si>
    <t>SGH - Prestar servicios de apoyo a la gestión en cumplimiento de los planes institucionales de la Subdirección de Gestión Humana específicamente para desarrollo organizacional.</t>
  </si>
  <si>
    <t>SGH-  Prestar servicios profesionales en la Subdirección de Gestión Humana de la UAE Cuerpo Oficial de Bomberos de Bogotá en las áreas de calidad de vida y desarrollo organizacional</t>
  </si>
  <si>
    <t>N/A</t>
  </si>
  <si>
    <t>N/A-N/A N/A_N/A</t>
  </si>
  <si>
    <t>Prestar servicios profesionales para administrar, gestionar y mantener las bases de datos de la UAE Cuerpo Oficial de Bomberos Bogotá. -TIC</t>
  </si>
  <si>
    <t>Prestar servicios profesionales  como administrador y gestor de la infraestructura de las comunicaciones y red regulada  de la UAE Cuerpo Oficial de Bomberos Bogotá-TIC</t>
  </si>
  <si>
    <t>Prestar los servicios profesionales jurídicos para apoyar las actividades propias de la gestión contractual que adelanta la UAE Cuerpo Oficial de Bomberos</t>
  </si>
  <si>
    <t>Prestar servicios profesionales para administrar y gestionar los servicios tecnológicos relacionados con la herramienta de mesa de ayuda, directorio activo y herramientas colaborativas de microsoft que le sean asignados por la UAE Cuerpo Oficial de Bomberos de Bogotá - TIC.</t>
  </si>
  <si>
    <t>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t>
  </si>
  <si>
    <t>43233000;81112200</t>
  </si>
  <si>
    <t>72151607;72103302</t>
  </si>
  <si>
    <t>83121700;83111600;43221700</t>
  </si>
  <si>
    <t>Programado</t>
  </si>
  <si>
    <t>DISTRIBUCIÓN PPTAL PROYECTADA PAA VR 0</t>
  </si>
  <si>
    <t xml:space="preserve">proyecto </t>
  </si>
  <si>
    <t>Diferencia</t>
  </si>
  <si>
    <t>85121503;85121603;85121604;85121608;85121610;85121611;85121612;85121702;85122201</t>
  </si>
  <si>
    <t>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t>
  </si>
  <si>
    <t>ARMONIZACION</t>
  </si>
  <si>
    <t>O23202020088714199 Servicio de mantenimiento y reparación de vehículos automotores n.c.p. MTTO VEHICULOS (3.850.000.000)
O23201010030208 Otra maquinaria para usos especiales y sus partes y piezas (600.000.000) FOX - ALINEACIÓN Y BALAN</t>
  </si>
  <si>
    <t xml:space="preserve">10121801;10121802;10121602 </t>
  </si>
  <si>
    <t>23191200; 23153100; 23271800; 26121600; 27131600; 26101700; 31162800; 31163000; 31163100; 31171500; 31171700; 31191500; 31201600; 40141700; 31121700; 26111700</t>
  </si>
  <si>
    <t xml:space="preserve">31261500; 31161500; 31161600; 31162300; 31162800; 31171500; 31171700; 39121600; 27121600 </t>
  </si>
  <si>
    <t>SGH - Prestar servicios profesionales en la Subdirección de Gestión Humana en la estrategia de fortalecimiento institucional, realizando documentos de necesidades de diagnóstico organizacional de la Unidad Administrativa Especial Cuerpo Oficial de Bomberos de Bogotá.</t>
  </si>
  <si>
    <t>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t>
  </si>
  <si>
    <t>SGH - Prestar servicios profesionales en la Subdirección de Gestión Humana de la UAE Cuerpo Oficial de Bomberos en temas de Administración de Personal.</t>
  </si>
  <si>
    <t>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t>
  </si>
  <si>
    <t>Prestar servicios profesionales especializados a la Dirección General de la UAECOB en la construcción ,acompañamiento, seguimiento y fortalecimiento de las estrategias de comunicación que adelante la entidad dentro del Distrito Capital</t>
  </si>
  <si>
    <t>SGH- Prestar servicios profesionales en la Subdirección de Gestión Humana de la UAE Cuerpo Oficial de Bomberos Bogotá D.C. en lo relacionado con la consolidación y análisis de base de datos y constitución del presupuesto</t>
  </si>
  <si>
    <t>SGH - Prestar servicios profesionales para apoyar el programa de vigilancia epidemiológico al riesgo psicosocial y actividades de seguridad y salud en el trabajo en la Subdirección de Gestión Humana</t>
  </si>
  <si>
    <t>SGH - Prestar servicios profesionales para desarrollar actividades jurídicas relacionadas con los procesos de seguridad social y las diferentes situaciones administrativas de la Subdirección de Gestión Humana de la UAE Cuerpo oficial de Bomberos.</t>
  </si>
  <si>
    <t>Prestación de servicios profesionales en asuntos de comunicaciones y prensa para apoyar las labores de reportería, periodismo y de divulgación de información y campañas, de acuerdo con la misionalidad de la UAECOB</t>
  </si>
  <si>
    <t>Prestación de servicios profesionales en asuntos de comunicaciones y prensa para apoyar las labores periodísticas y de divulgación de información, de acuerdo con la misionalidad de la UAECOB.</t>
  </si>
  <si>
    <t>Prestación de servicios profesionales en asuntos de comunicaciones y prensa para apoyar la creación y divulgación audiovisual relacionada con la misionalidad de la UAECOB.</t>
  </si>
  <si>
    <t>Prestación de servicios como conductor en los diferentes recorridos de carácter operativo que se requieran en la Dirección General.</t>
  </si>
  <si>
    <t>Prestación de servicios profesionales en asuntos de comunicaciones y prensa para revisar los procesos de comunicación de entidad con el fin de evaluar su eficacia interna y externa y detectar ineficiencias en los canales de comunicación</t>
  </si>
  <si>
    <t xml:space="preserve">                       </t>
  </si>
  <si>
    <t>90101600;90111600;90141700;90151700</t>
  </si>
  <si>
    <t>O21202020080787130 Servicios de mantenimiento y reparación de computa</t>
  </si>
  <si>
    <t>O21202020080484290 Otros servicios de telecomunicaciones vía Internet</t>
  </si>
  <si>
    <t>O21202020080383141 Servicios de diseño y desarrollo de aplicaciones en tecnologías de la información (TI)</t>
  </si>
  <si>
    <t>Prestar servicios asistenciales en el desarrollo de actividades relacionadas con la gestión administrativa en la Oficina Asesora de Planeación de la Unidad Administrativa Especial Cuerpo Oficial de Bomberos de Bogotá.</t>
  </si>
  <si>
    <t>Etiquetas de fila</t>
  </si>
  <si>
    <t>Total general</t>
  </si>
  <si>
    <t>Suma de Valor Programado</t>
  </si>
  <si>
    <t xml:space="preserve">SGH – Prestar servicios profesionales en las diferentes actividades del  sistema de gestión de seguridad y salud en el trabajo y en vigilancia epidemiológica de la Subdirección de Gestión Humana. </t>
  </si>
  <si>
    <t>1</t>
  </si>
  <si>
    <t>SGH - Prestar servicios profesionales en el desarrollo de actividades relacionadas con la actualizacion de registro laborales del personal de la entidad, asi como apoyar en las actividades a cargo de desarrollo organizacional de la subdireccion de gestion humana.</t>
  </si>
  <si>
    <t>O2120202008078714199 Servicio de mantenimiento y reparación de vehículos automotores n.c.p.</t>
  </si>
  <si>
    <t>O21202020080383990 Otros servicios profesionales, técnicos y empresariales n.c.p.</t>
  </si>
  <si>
    <t>SGH - Prestar servicios profesionales para apoyar el programa de riesgo psicosocial y diferentes  actividades de seguridad y salud en el trabajo en la Subdirección de Gestión Humana</t>
  </si>
  <si>
    <t>PLAN ANUAL DE ADQUISICIONES 2025</t>
  </si>
  <si>
    <t>Prestar servicios profesionales para apoyar en la estructuración de las acciones de mejora, seguimiento  a la gestión contractual de la Entidad y demás procedimientos, en el marco de las funciones de la Oficina Jurídica</t>
  </si>
  <si>
    <t>Prestar servicios profesionales para apoyar en la estructuración de las acciones de mejora, elaboración de informes y soporte de las funciones administrativas y de mejora</t>
  </si>
  <si>
    <t>Prestar los servicios profesionales especializados para la representación judicial  de la Entidad y la prevención del daño antijurídico.</t>
  </si>
  <si>
    <t>Prestar los servicios de apoyo para las gestiones documentales y administrativas requerida por la Oficina  Jurídica.</t>
  </si>
  <si>
    <t>Prestar servicios profesionales jurídicos para apoyar las actividades de defensa Judicial y de procesos penales que adelante la UAE Cuerpo Oficial de Bomberos de Bogotá</t>
  </si>
  <si>
    <t>Prestar servicios profesionales para realizar la gestión de tramites y actividades que se requieran en los diferentes procesos disciplinarios propios de la etapa de juzgamiento de la Oficina Jurídica en la UAECOB</t>
  </si>
  <si>
    <t>Prestar los servicios profesionales para apoyar la depuración de la cartera de cobro coactivo, así como actividades propias de la defensa judicial de la Entidad y demas actiuaciones relacionadas que requiera la Oficina Jurídica</t>
  </si>
  <si>
    <t>Prestación de servicios profesionales jurídicos para orientar y apoyar el trámite y la gestión de los procesos disciplinarios que se adelanten en la Oficina Jurídica de la Unidad Administrativa Especial Cuerpo Oficial de Bomberos Bogotá</t>
  </si>
  <si>
    <t>1-100-I087 VA-Sobretasa Bomberil</t>
  </si>
  <si>
    <t>Yenire Yohansy Lozano Ascanio</t>
  </si>
  <si>
    <t>Prestar servicios profesionales jurídicos especializados en la Oficina de Control Disciplinario Interno de la entidad para orientar y apoyar la gestión de los procesos disciplinarios en etapa de instrucción.</t>
  </si>
  <si>
    <t>Prestar los servicios profesionales jurídicos especializados en la Oficina de Control Disciplinario Interno de la entidad relacionados con los procesos disciplinarios que se deban tramitar en esa dependencia en etapa de instrucción.</t>
  </si>
  <si>
    <t>Prestar servicios profesionales jurídicos en la Oficina de Control Disciplinario Interno de la entidad para apoyar la gestión de los procesos contractuales, administrativos, y las actuaciones disciplinarias que deban susrtirse en etapa de instrucción.</t>
  </si>
  <si>
    <t>Prestar servicios profesionales jurídicos para apoyar la instrucción y demás actuaciones que deban surtirse en los procesos disciplinarios adelantados por la Oficina de Control Disciplinario Interno.</t>
  </si>
  <si>
    <t>Prestación de servicios de apoyo técnico a la gestión a la Oficina de Control Disciplinario Interno de la UAECOB para el cumplimiento de las funciones asignadas a esta dependencia, especialmente en las que requieran tareas de carácter administrativo</t>
  </si>
  <si>
    <t>Prestación de servicios de apoyo a la gestión como conductor para atender los diferentes requerimientos e incidentes en la Oficina Asesora de Planeación</t>
  </si>
  <si>
    <t>Prestación de servicios profesionales para el desarrollo de actividades orientadas al sostenimiento y seguimiento de los componentes del Programa de Transparencia y Ética Pública, así como de las políticas públicas establecidas, en cumplimiento de los lineamientos del Modelo Integrado de Planeación y Gestión (MIPG), liderado por la Oficina Asesora de Planeación.</t>
  </si>
  <si>
    <t xml:space="preserve">Prestación de servicios profesionales para el desarrollo de las actividades asignadas, orientadas a la implementación del Sistema de Gestión de la Calidad y de las políticas establecidas en el marco del Modelo Integrado de Planeación y Gestión (MIPG), liderado por la Oficina Asesora de Planeación.
</t>
  </si>
  <si>
    <t>Prestar servicios de apoyo a la gestión para la ejecución de actividades asistenciales, administrativas y de gestión documental en la Oficina Asesora de Planeación.</t>
  </si>
  <si>
    <t>Prestación de servicios profesionales para la implementación de la metodología de la administración de los riesgos institucionales, asi como las actividades que se designen encaminadas a la implementación de las políticas del Modelo Integrado de Planeación y Gestión  MIPG.</t>
  </si>
  <si>
    <t>Prestación de servicios profesionales para desarrollar actividades asignadas, orientadas a implementar las políticas de Planeación Institucional, así como al seguimiento y evaluación del desempeño institucional dentro del marco del Modelo Integrado de Planeación y Gestión</t>
  </si>
  <si>
    <t>Prestación de servicios profesionales en el desarrollo de las actividades que se designen para el seguimiento del plan de mejoramiento de la Oficina Asesora de Planeación, así como la implementación de las políticas del Modelo Integrado de Planeación y Gestión MIPG.</t>
  </si>
  <si>
    <t>Prestar servicios profesionales para coordinar y ejercer seguimiento a la Implementación del Sistema de Gestión de la Calidad así como a las políticas que componen el modelo de gestión -MIPG que se definan por la Oficina Asesora de Planeación.</t>
  </si>
  <si>
    <t>Prestación de servicios profesionales para el desarrollo de actividades orientadas a implementar las políticas establecidas en el marco del Modelo Integrado de Planeación y Gestión (MIPG), liderado por la Oficina Asesora de Planeación.</t>
  </si>
  <si>
    <t>Prestación de servicios profesionales para el desarrollo de actividades designadas en el marco del Modelo Integrado de Planeación y Gestión (MIPG), orientadas a brindar soporte en el área que lo requiera.</t>
  </si>
  <si>
    <t>Prestar servicios profesionales especializados en el desarrollo de las actividades y de los diferentes procesos que tiene a su cargo y bajo su seguimiento la Dirección General de la UAE Cuerpo Oficial de Bomberos de Bogotá.</t>
  </si>
  <si>
    <t>Prestar servicios profesionales jurídicos en el desarrollo de las actividades y de los diferentes procesos de la Dirección General de la UAE Cuerpo Oficial de Bomberos de Bogotá</t>
  </si>
  <si>
    <t>Prestar servicios profesionales para acompañar a la Dirección General en materia de modernización, gestión del conocimiento e innovación, estándares nacionales e internacionales y en mejora continua a la Unidad Administrativa Especial Cuerpo Oficial Bomberos Bogotá</t>
  </si>
  <si>
    <t>Jose Andres Ponce Caicedo</t>
  </si>
  <si>
    <t>SGH - Prestar servicios de apoyo a la gestión en la Subdirección de Gestión Humana en las diferentes actividades logísticas relacionadas con  el proceso de Academia.</t>
  </si>
  <si>
    <t>86101600, 86101700, 86101800, 86111600, 86141500,  86121800, 80111500,86131800</t>
  </si>
  <si>
    <t>86101600, 86101700, 86101800, 86111600, 86141500,  86121800, 80111500</t>
  </si>
  <si>
    <t>72121100, 24101600, 30131500, 31371300, 30101500, 30101700, 30103600, 95121633, 30103619, 73121600, 73121500, 30101704, 30101504</t>
  </si>
  <si>
    <t>INCENTIVOS</t>
  </si>
  <si>
    <t>Prestar el servicio de mantenimiento preventivo y correctivo, incluyendo el suministro de repuestos, insumos y mano de obra especializada para las motobombas forestales FOX, propiedad de la Unidad Administrativa Especial Cuerpo Oficial de Bomberos de Bogotá D.C. (UAECOB). - SBLG</t>
  </si>
  <si>
    <t>Proveer el suministro de elementos de bioseguridad e insumos médicos básicos y otros para la atención de emergencias. - SBLG</t>
  </si>
  <si>
    <t>Suministrar combustible para los vehículos, y equipos especializados de la U.A.E. Cuerpo Oficial de Bomberos Bogotá dentro y fuera del perímetro del distrito capital de la  - SBLG</t>
  </si>
  <si>
    <t>Contratar el suministro de alimentación para los caninos del cuerpo oficial y animales rescatados por la U.A.E. del Cuerpo Oficial de Bomberos de Bogotá – . - SBLG</t>
  </si>
  <si>
    <t>Suministrar los repuestos, accesorios e insumos de los equipos de rescate vehicular liviano y pesado marca LUKAS-  - SBLG</t>
  </si>
  <si>
    <t>Prestar el servicio de mantenimiento preventivo y correctivo, incluido el suministro de repuestos e insumos y mano de obra especializada para los equipos detectores de atmosfera y respiración autónoma marca Dräger, propiedad de la U.A.E. Cuerpo Oficial de Bomberos de Bogotá -  - SBLG</t>
  </si>
  <si>
    <t>Prestación de servicios médicos veterinarios, con suministro de medicamentos e insumos veterinarios y otros, para los caninos de la U.A.E. Cuerpo Oficial de Bomberos de Bogotá -  - SBLG</t>
  </si>
  <si>
    <t>Adquisición de concentrado de espuma, mantenimiento y recarga de extintores, cilindros y tanques de las maquinas extintoras de la UAECOB.   LOTE I Y LOTE II - SBLG</t>
  </si>
  <si>
    <t>Prestación del servicio de mantenimiento preventivo y correctivo de los equipos de respiración autónoma interspiro propiedad de la UAECOB, incluido el suministro de repuestos, insumos y mano de obra especializada  - SBLG</t>
  </si>
  <si>
    <t>Prestar el servicio de mantenimiento preventivo y correctivo de los Equipos de Rescate Vehicular HOLMATRO propiedad de la UAECOB, incluido el suministro de repuestos, insumos y mano de obra especializada -  - SBLG</t>
  </si>
  <si>
    <t>72101509;46191600</t>
  </si>
  <si>
    <t>Prestar el servicio de mantenimiento preventivo y correctivo de los compresores BAUER propiedad de la U.A.E. Cuerpo Oficial de Bomberos de Bogotá, incluido el suministro de repuestos, insumos y mano de obra especializada.  - SBLG</t>
  </si>
  <si>
    <t>Prestar servicios profesionales en temas transversales de los procesos de planeación, logísticos, administrativos y financieros que se deriven de las competencias a cargo de la Subdirección Logística - .  - SBLG</t>
  </si>
  <si>
    <t>Prestación de servicios profesionales para realizar el seguimiento y monitoreo a los diferentes procesos y procedimientos del equipo menor a cargo de la Subdirección Logística -  - SBLG</t>
  </si>
  <si>
    <t>Prestar servicios profesionales para el trámite, revisión y validación de los documentos previos para pago que se generen con ocasión de la ejecución de los contratos a cargo de la subdirección logística. - SBLG</t>
  </si>
  <si>
    <t>William Tovar Segura</t>
  </si>
  <si>
    <t>5 - contratación mínima cuantía</t>
  </si>
  <si>
    <t>6 - contratación mínima cuantía</t>
  </si>
  <si>
    <t>9 - contratación directa</t>
  </si>
  <si>
    <t>Prestar servicios profesionales a la Subdirección de Gestión del Riesgo para la coordinación y establecimiento de los planes intersectoriales en materia de prevención y atención de incendios e incidentes con materiales peligrosos._SGR</t>
  </si>
  <si>
    <t>Prestar servicios profesionales para la estructuracion y seguimiento de los procesos contractuales y demas aspectos juridicos de la Subdirección de Gestión del riesgo._SGR</t>
  </si>
  <si>
    <t>Prestar servicios profesionales para las actividades de la Subdireccion de Gestion del Riesgo relacionadas con la gestion de los aspectos tecnologicos e informaticos._SGR</t>
  </si>
  <si>
    <t>Prestar servicios profesionales para el desarrollo de actividades de planeación y gestión para la Subdirección de Gestión del Riesgo._SGR</t>
  </si>
  <si>
    <t>Prestar servicios de apoyo a la gestión como conductor en la Subdirección de Gestión del Riesgo._SGR</t>
  </si>
  <si>
    <t xml:space="preserve">Prestar servicios de apoyo administrativos apoyando a la Subdirección de Gestión del Riesgo con lo relacionado al seguimiento y control de sus solicitudes y peticiones._SGR </t>
  </si>
  <si>
    <t>Prestar  servicios profesionales en las actividades de proyeccion e innovacion para la Subdirección de Gestión del Riesgo._SGR</t>
  </si>
  <si>
    <t>Prestar servicios profesionales en las actividades de identificacion de escenarios a cargo de la Subdirección de Gestión del Riesgo._SGR</t>
  </si>
  <si>
    <t>Prestar servicios profesionales en las actividades de monitoreo del riesgo para la Subdirección de Gestión del Riesgo._SGR</t>
  </si>
  <si>
    <t>Prestar servicios profesionales en las actividades de Programas y Campañas de Prevención para la Subdirección de Gestión del Riesgo._SGR</t>
  </si>
  <si>
    <t>Prestar servicios de apoyo en las actividades de Programas y Campañas de Prevención para la Subdirección de Gestión del Riesgo._SGR</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</si>
  <si>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</si>
  <si>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80141900
90111500
90111600
80141600
80161502</t>
  </si>
  <si>
    <t>prestación de servicios como apoyo para gestionar y ejecutar las actividades que dan soporte al proceso de comunicaciones en emergencias, del centro de coordinación y comunicaciones (c.c.c.) a cargo de la subdirección operativa. s.o.</t>
  </si>
  <si>
    <t>prestación de servicios para dar el apoyo y realizar  la gestión administrativa requerida  en la estación de bomberos asignada y a cargo de la subdirección operativa  s.o.</t>
  </si>
  <si>
    <t>prestación de servicios profesionales para atender las actividades y condiciones básicas de bienestar tanto de los animales recuperados y rescatados y de los caninos del programa brae a cargo de la subdirección operativa s.o.</t>
  </si>
  <si>
    <t>prestación de servicios de apoyo para desarrollar y mantener las condiciones básicas de bienestar de los caninos y de  animales rescatados o recuperados que atiende el grupo brae
 a cargo de la subdirección operativa  s.o.</t>
  </si>
  <si>
    <t>prestación de servicios de apoyo para ejecutar las actividades administrativas, de gestión , trámite, seguimiento y verificación de solicitudes recibidas en el canal de comunicación de gestión operativa. - s.o.</t>
  </si>
  <si>
    <t>prestación de servicios profesionales  para generar información de valor e instrumentos de seguimiento y control a partir de los datos asociados a la ejecución  de los procesos, planes y proyectos adelantados en la dependencia. s.o.</t>
  </si>
  <si>
    <t>prestación de servicios profesionales para realizar  la consolidación, seguimiento, control y  reporte de los planes, proyectos y programas de inversión e indicadores a cargo de la subdirección operativa s.o.</t>
  </si>
  <si>
    <t>prestación de servicios profesionales para  el fortalecimiento de los procesos de comunicaciones y análisis de información en articulación con otras dependencias de la entidad, s.o.</t>
  </si>
  <si>
    <t>prestación de servicios profesionales para  la consolidación, seguimiento y reporte de las actividades del plan de mejoramiento, normograma y mapa de riesgos relacionados con los procesos y procedimientos misionales de la dependencia. s.o.</t>
  </si>
  <si>
    <t>prestación de servicios profesionales con plena autonomía técnica y administrativa  para el diseño, implementación, reporte y monitoreo de los diferentes procesos, procedimientos y funciones a cargo de la dependencia. - s.o.</t>
  </si>
  <si>
    <t>prestación de servicios profesionales para realizar  el diligenciamiento y seguimiento de las solicitudes en las herramientas de gestión de los procedimientos a cargo de la  subdirección operativa -s.o.</t>
  </si>
  <si>
    <t>prestación de servicios profesionales para realizar la planeación, trámite y seguimiento de los aspectos presupuestales, financieros y contractuales a cargo de la dependencia - s.o.</t>
  </si>
  <si>
    <t>prestación de servicios profesionales para ejecutar los  aspectos jurídicos de  la subdirección operativa, frente a la estructuración, sustanciación, revisión y trámite de los actos administrativos y los documentos que deba emitir para la dependencia - s.o.</t>
  </si>
  <si>
    <t>prestación de servicios profesionales para  estructurar, definir y verificar en los  aspectos técnicos de los diferentes procesos de contratación de bienes y servicios de la subdirección operativa en las etapas precontractual, contractual y postcontractual-s.o.</t>
  </si>
  <si>
    <t>prestación de servicios profesionales para ejecutar el componente de información geográfica, georreferenciación y generación de alertas mediante las herramientas, sistemas de información y recursos disponibles y a cargo de la subdirección operativa-s.o.</t>
  </si>
  <si>
    <t>prestación de servicios profesionales para la elaboración, diagramación, orto tipografía y estilos de textos e informes referentes a los diferentes procesos a cargo de la subdirección operativa - s.o.</t>
  </si>
  <si>
    <t>prestación de  servicios profesionales para proyectar las solicitudes dirigidas a autoridades administrativas, respuestas a pqr s, derechos de petición, requerimientos efectuados por  los entes de control y autoridades administrativas o que lleguen por los diferentes canales de atención de la entidad, en el marco de los procesos y procedimientos a cargo de la dependencia-s.o.</t>
  </si>
  <si>
    <t>prestación de servicios profesionales para ejecutar las actividades misionales en la elaboración, diseño y diagramación de piezas requeridas para los planes, programas, proyectos y procedimientos- s.o.</t>
  </si>
  <si>
    <t>prestación de servicios profesionales para ejecutar las actividades relacionadas con el sistema de gestión de calidad, el sistema ambiental y el sistema de control interno-s.o.</t>
  </si>
  <si>
    <t>prestación de servicios profesionales para ejecutar las actividades de carácter administrativo y de apoyo de los procesos y procedimientos a cargo de la subdirección operativa-s.o.</t>
  </si>
  <si>
    <t>prestación de servicios profesionales para  la estructuación de fichas técnicas e identificación de necesidades técnicas requeridas por la entidad con base en la atención de emergencias y requerimientos internos y externos - s.o.</t>
  </si>
  <si>
    <t>prestación de servicios profesionales para la elaboración de informes o documentos técnicos, infografías, reportes y consolidación de indicadores relacionados con los procesos, procedimientos y contratos a cargo de la dependencia-s.o.</t>
  </si>
  <si>
    <t>prestación de servicios profesionales para llevar a cabo  el análisis de información,  elaboración de informes de gestión, documentos técnicos, reportes y demás productos relacionados con la atención de emergencias, gestión del conocimiento y procesos a cargo de la dependencia.</t>
  </si>
  <si>
    <t>prestación de servicios profesionales para gestionar y ejecutar la  estrategia de preparativos de la uae cuerpo oficial de bomberos de bogotá s.o.</t>
  </si>
  <si>
    <t>prestación de servicios profesionales en consolidación y reporte de la información técnica de la estrategia de preparativos de la uae cuerpo oficial de bomberos de bogotá s.o.</t>
  </si>
  <si>
    <t>Contratar la prestación del servicio de monitoreo, control y seguimiento satelital a los vehículos de propiedad de la U.A.E. Cuerpo Oficial de Bomberos de Bogotá - TIC</t>
  </si>
  <si>
    <t>81112200;81112201</t>
  </si>
  <si>
    <t>Contratar la renovación del licenciamiento y soporte de las plataformas de seguridad perimetral Fortinet, firewalls y WAF del edificio comando y estaciones para la U.A.E. Cuerpo Oficial de Bomberos de Bogotá - TIC</t>
  </si>
  <si>
    <t>43233200;43222500</t>
  </si>
  <si>
    <t>Contratar la adquisición, renovación y  suscripciones de licencia Microsoft para la U.A.E. Cuerpo Oficial de Bomberos de Bogotá - TIC</t>
  </si>
  <si>
    <t>43231512;81112501</t>
  </si>
  <si>
    <t>Contratar el alquiler de equipos tecnológicos, periféricos y servicios complementarios para la U.A.E. Cuerpo Oficial de Bomberos de Bogotá. - TIC</t>
  </si>
  <si>
    <t>Contratar el servicio de soporte y mantenimiento del sistema de gestión documental  para la U.A.E. Cuerpo Oficial de Bomberos de Bogotá- TIC</t>
  </si>
  <si>
    <t>Contratar el servicio de mantenimiento preventivo y correctivo de los radios portátiles y móviles marca motorola propiedad de la U.A.E. Cuerpo Oficial de Bomberos de Bogotá - TIC</t>
  </si>
  <si>
    <t>Contratar la adquisición de usuarios de ArcGis para la U.A.E. Cuerpo Oficial de Bomberos de Bogotá. - TIC</t>
  </si>
  <si>
    <t>43212105, 43212110,43212115</t>
  </si>
  <si>
    <t>Fatima Veronica Quintero Nuñez</t>
  </si>
  <si>
    <t>Contratar la prestación del servicio de aseo y cafetería incluido insumos para la UAE Cuerpo Oficial de Bomberos -SGC</t>
  </si>
  <si>
    <t>44121700;44121800;44121900;44122000</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</si>
  <si>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</si>
  <si>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</si>
  <si>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adelantando las actividades necesarias para la ejecución del programa y los procesos de seguros de la Entidad-SGC</t>
  </si>
  <si>
    <t>Prestación de servicios de apoyo en la gestión de seguros de la Subdirección de Gestión Corporativa. –SGC</t>
  </si>
  <si>
    <t>Prestación de servicios profesionales para apoyar a la Subdirección de Gestión Corporativa aplicando los procesos y procedimientos de seguros e inventarios -SGC</t>
  </si>
  <si>
    <t>Prestación de servicios de apoyo a la gestión de seguros de la Subdirección de Gestión Corporativa. –SGC</t>
  </si>
  <si>
    <t>Prestar los servicios como conductor de la Subdirección de Gestión Corporativa -SGC</t>
  </si>
  <si>
    <t>Prestación de servicios de apoyo a la gestión del proceso de inventarios de la Subdirección de Gestión Corporativa.-SGC</t>
  </si>
  <si>
    <t>Prestación de servicios de apoyo a la gestión en la Subdirección de Gestión Corporativa, en las actividades asociadas a los procesos y procedimientos del almacén de la Entidad.- SGC</t>
  </si>
  <si>
    <t>Prestar servicios profesionales en la Subdirección de Gestión Corporativa en el marco de las actividades administrativas de la Dependencia.-SGC</t>
  </si>
  <si>
    <t>Prestación de servicios profesionales, en temas jurídicos de la gestión administrativa a cargo de la Subdirección de Gestión Corporativa.- SGC</t>
  </si>
  <si>
    <t>Prestación de servicios profesionales para adelantar actividades técnicas y trámites administrativos del Área de Infraestructura de la Subdirección de Gestión Corporativa-SGC</t>
  </si>
  <si>
    <t>Prestación de Servicios Profesionales para la formulación, seguimiento y ejecución de procesos presupuestales y financieros a cargo de la Subdirección de Gestión Corporativa -SGC</t>
  </si>
  <si>
    <t>Prestación de servicios profesionales para atender las necesidades de mantenimiento de las instalaciones y las actividades técnicas y administrativas de competencia del Área de Infraestructura de la Subdirección de Gestión Corporativa-SGC</t>
  </si>
  <si>
    <t>Prestación de servicios profesionales en la proyección y el seguimiento financiero a los proyectos de la Subdirección de Gestión Corporativa-SGC</t>
  </si>
  <si>
    <t>Prestación de servicios profesionales especializados para apoyar las actividades técnicas y gestión predial del Área de Infraestructura de la Subdirección de Gestión Corporativa-SGC</t>
  </si>
  <si>
    <t>Prestar servicios profesionales con el fin de atender los trámites ambientales y los demás que requiera el área de Infraestructura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</si>
  <si>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</si>
  <si>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Prestar los servicios profesionales en los trámites técnicos y administrativos para la adquisición de los bienes y servicios del Área de Infraestructura de la Subdirección de Gestión Corporativa-SGC</t>
  </si>
  <si>
    <t>Prestar el servicio de vigilancia y seguridad privada en la modalidad de vigilancia fija, según especificaciones técnicas, en las instalaciones donde la UAE Especial Cuerpo Oficial de Bomberos requiera-SGC</t>
  </si>
  <si>
    <t>Prestación de servicios de apoyo a la gestión del área Financiera de la Subdirección de Gestión Corporativa.-SGC</t>
  </si>
  <si>
    <t>Prestar servicios profesionales en la Subdirección de Gestión Corporativa en lo relacionado con los procesos de inventarios, almacén y bajas-SGC</t>
  </si>
  <si>
    <t>Prestación de servicios profesionales para el seguimiento, ejecución de los procesos de gestión de pagos que se desarrollan en el área Financiera de la UAE Cuerpo Oficial de Bomberos asignados. -SGC</t>
  </si>
  <si>
    <t>Prestación de servicios profesionales para la ejecución de los procesos contables que se desarrollan en el Área Financiera de la UAE Cuerpo Oficial de Bomberos asignados. -SGC</t>
  </si>
  <si>
    <t>Prestación de servicios de apoyo a la gestión documental de la Subdirección de Gestión Corporativa de la Unidad.-SGC.</t>
  </si>
  <si>
    <t>Prestación de servicios profesionales en el acompañamiento y asistencia al proceso de gestión documental de la UAE Cuerpo oficial de Bomberos, así como en el apoyo a la supervisión de los contratos que le sean asignados. -SGC</t>
  </si>
  <si>
    <t>Prestación de servicios de apoyo a la gestión documental de la Subdirección de Gestión Corporativa de la Unidad.-SGC</t>
  </si>
  <si>
    <t>Prestar los servicios profesionales para la gestión administrativa y operativa de la Subdirección de Gestión Corporativa en el proceso de adquisición de bienes y servicios - SGC</t>
  </si>
  <si>
    <t>Prestación de Servicios Profesionales en temas financieros, administrativas y misionales para apoyar los proyectos de infraestructura de la Subdirección de Gestión Corporativa.- SGC</t>
  </si>
  <si>
    <t>Prestación de servicios profesionales con el fin de gestionar trámites de carácter técnico, administrativo y operativamente en el desarrollo de los proyectos de inversión  de la entidad-SGC</t>
  </si>
  <si>
    <t>Mantenimiento preventivo y correctivo, que incluye el suministro de insumos y repuestos de las plantas eléctricas ubicadas en los diferentes edificios de la Unidad Administrativa Especial del Cuerpo Oficial de Bomberos Bogotá D.C -SGC</t>
  </si>
  <si>
    <t>Mantenimiento preventivo y correctivo, que incluye el suministro de insumos y repuestos de las lavadoras y secadoras industriales ubicadas en las estaciones de bomberos de la UAE Cuerpo Oficial de Bomberos de Bogotá-SGC</t>
  </si>
  <si>
    <t>Mantenimiento preventivo y correctivo de la red contraincendios  y sistemas de detención de alarmas contra incendios de las estaciones de bomberos de la UAE- Cuerpo Oficial de Bomberos Bogota SGC</t>
  </si>
  <si>
    <t>Suministro de materiales, equipos y herramientas para el mejoramiento integral de las instalaciones de la UAE Cuerpo Oficial de Bomberos -SGC</t>
  </si>
  <si>
    <t>80101600;81101500;72101500;72121400</t>
  </si>
  <si>
    <t>47111500; 47111700</t>
  </si>
  <si>
    <t>Elaboración de estudios y diseños técnicos para la construcción de la estación de bomberos  B-18 de la UAE Cuerpo Oficial de Bomberos de Bogotá – SGC</t>
  </si>
  <si>
    <t>81101500;80101600</t>
  </si>
  <si>
    <t>Interventoría técnica, administrativa, financiera, contable, jurídica y ambiental para la elaboración de estudios y diseños técnicos para la construcción de la estación de bomberos B-18 de la UAE Cuerpo Oficial de Bomberos de Bogotá – SGC</t>
  </si>
  <si>
    <t>Elaboración de estudios y diseños técnicos para la construcción de la estación de bomberos de Puente Aranda B-4 de la UAE Cuerpo Oficial de Bomberos de Bogotá – SGC</t>
  </si>
  <si>
    <t>72121400; 72151700; 72151700; 81101500</t>
  </si>
  <si>
    <t>81101500; 80101600; 72121400; 95121700</t>
  </si>
  <si>
    <t>Omer Mauricio Rivera Ruiz</t>
  </si>
  <si>
    <t>Contratar el servicio de revision técnico mecánica y de emision de gases contaminantes para los vehiculos que forman parte del parque automotor de la Unidad Administrativa Especial Cuerpo Oficial de Bomberos de Bogotá - UAECOB-SBLG</t>
  </si>
  <si>
    <t>Adquisición de uniformes para el personal operativo de la UAECOB</t>
  </si>
  <si>
    <t>O2120201002082823609    Uniformes de trabajo</t>
  </si>
  <si>
    <t xml:space="preserve"> 91 - n/a acto administrativo (resolución, decreto, acuerdo, etc.) </t>
  </si>
  <si>
    <t xml:space="preserve"> 17 - acuerdo marco de precios </t>
  </si>
  <si>
    <t>80111600;</t>
  </si>
  <si>
    <t xml:space="preserve"> 09 - contratación directa </t>
  </si>
  <si>
    <t>Prestación de servicios profesionales en la Subdirección de Gestión Corporativa en las actividades relacionadas con MIPG-SGC</t>
  </si>
  <si>
    <t xml:space="preserve"> 04 - contratación mínima cuantía </t>
  </si>
  <si>
    <t>72154100; 73152100</t>
  </si>
  <si>
    <t>Realizar el mantenimiento preventivo, correctivo de puertas automatizadas para las salas de máquinas de las estaciones de la UAE Cuerpo Oficial de Bomberos-SGC</t>
  </si>
  <si>
    <t>72121400;
72151700;
72154109;
95121700;</t>
  </si>
  <si>
    <t>Prestación de servicios profesionales para apoyar las actividades técnicas del Área de Infraestructura de la Subdirección de Gestión Corporativa-SGC</t>
  </si>
  <si>
    <t>Prestación de servicios profesionales especializados para articular y revisar los procesos y procedimientos del área de infraestructura, así como en el apoyo a la supervisión de los contratos que le sean asignados-SGC</t>
  </si>
  <si>
    <t>Prestación de servicios profesionales al área Financiera de la Subdirección de Gestión Corporativa--SGC</t>
  </si>
  <si>
    <t>78131800;80101500;80101600;80161500;81111900;81112000</t>
  </si>
  <si>
    <t>Contratar el servicio de saneamiento ambiental, corte de césped, jardinería, poda y tala de árboles para las sedes (predios y/o estaciones) de la UAECOB-SGC</t>
  </si>
  <si>
    <t xml:space="preserve"> 02 - selec. abrev. menor cuantía </t>
  </si>
  <si>
    <t>Arrendamiento de instalaciones estación Ferias-SGC</t>
  </si>
  <si>
    <t>80131502;</t>
  </si>
  <si>
    <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</si>
  <si>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78102206;</t>
  </si>
  <si>
    <t>Suministro  de implementos  de  papelería y oficina para las dependencias de la UAE Cuerpo  Oficial de Bomberos-SGC</t>
  </si>
  <si>
    <t>14111500;
14111800;
44121700; 
44121800; 
44122000; 
44122100;
44121600;
60101900;
27112300;
60105700;</t>
  </si>
  <si>
    <t>Suministro de insumos para las impresoras de las dependencias de la UAE Cuerpo Oficial de Bomberos.-SGC.</t>
  </si>
  <si>
    <t>44103100;44103101;44103103;44103105;44103106;44103108;44103110;44103111;55101500;</t>
  </si>
  <si>
    <t>92121500;</t>
  </si>
  <si>
    <t>Adición y prórroga No. 1 al contrato 243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</si>
  <si>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84131501;84131503;84131504;84131512;84131513;84131515; 84131601,84131603;84131607</t>
  </si>
  <si>
    <t>Adición y prórroga No. 1 al contrato 245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</si>
  <si>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Mantenimiento ascensor nueva Estación de Bomberos de Fontibón-SGC</t>
  </si>
  <si>
    <t>Prestación del servicio para inspección y certificación correspondientes a los sistemas de transporte vertical (ascensores) a cargo de la Unidad Administrativa Especial del Cuerpo Oficial de Bomberos Bogotá D.C. – SGC</t>
  </si>
  <si>
    <t>Mantenimiento correctivo y preventivo con suministro de repuestos ascensor nueva Estación de Bomberos BELLAVISTA- SGC</t>
  </si>
  <si>
    <t xml:space="preserve">Prestar los servicios de mantenimiento y suministro de insumos de las piscinas ubicadas en las Estaciones de Bomberos de Kennedy "Alejandro Lince" B5 y B4 Puente Aranda - BRAE, como escenario para el acondicionamiento físico, entrenamiento del personal y canino del Cuerpo Oficial de Bomberos de Bogotá para el cumplimiento de su misionalidad-SGC. </t>
  </si>
  <si>
    <t xml:space="preserve">91111602;_x000D_
47101568;_x000D_
49241712;_x000D_
</t>
  </si>
  <si>
    <t>Prestar el servicio de recolección y diposición final de los residuos sanitarios y aguas no tratadas de las instalaciones de la Unidad Administrativa Especial Cuerpo Oficial de Bomberos Bogotá -SGC</t>
  </si>
  <si>
    <t>81141807;_x000D_
40151517;_x000D_
76121701;_x000D_
83101506;</t>
  </si>
  <si>
    <t>44103100;</t>
  </si>
  <si>
    <t>Adición y Prórroga No. 1 al contrato 639 de 2024 que tiene como objeto "Suministro de implementos de papelería y oficina para las dependencias de la UAE Cuerpo Oficial de Bomberos-SGC</t>
  </si>
  <si>
    <t xml:space="preserve">14111500 _x000D_
14111800_x000D_
44121700 _x000D_
44121800 _x000D_
44122000 _x000D_
44122100_x000D_
44121600_x000D_
60101900_x000D_
27112300_x000D_
60105700_x000D_
</t>
  </si>
  <si>
    <t>72101500; 92101600; 95121700</t>
  </si>
  <si>
    <t>23131500;23271800;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t>
  </si>
  <si>
    <t>72102900; 72121400; 72151700;72154000;72101500</t>
  </si>
  <si>
    <t>80101600; 81101500; 72101500; 72121400</t>
  </si>
  <si>
    <t>Adición y prórroga No. 1 al contrato 344 de 2024 que tiene como objeto “Prestar el servicio de vigilancia y seguridad privada en la modalidad de vigilancia fija, según especificaciones técnicas, en las instalaciones que la UAE especial cuerpo oficial de bomberos requiera-SGC</t>
  </si>
  <si>
    <t>Prestación de servicios profesionales especializados para articular y revisar los procesos y procedimientos de la gestión administrativa a cargo de la Subdirección de Gestión Corporativa.- SGC</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</si>
  <si>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</si>
  <si>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</si>
  <si>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t>
  </si>
  <si>
    <t>Prestación de servicios de apoyo en las actividades asociadas a los procesos de almacén de la Subdirección de Gestión Corporativa SGC</t>
  </si>
  <si>
    <t>Prestación de servicios profesionales para atender las actividades financieras, a cargo de la Subdirección de Gestión Corporativa-SGC</t>
  </si>
  <si>
    <t>Prestación de servicios de apoyo a la gestión de los procesos contractuales en la plataforma SECOP II a cargo de la Subdirección de Gestión Corporativa-SGC</t>
  </si>
  <si>
    <t>Prestación de servicios profesionales en el marco de las actividades administrativas de la Subdirección de Gestión Corporativa--SGC</t>
  </si>
  <si>
    <t>Prestar los servicios profesionales de la gestión administrativa, así como la adquisición de bienes y servicios de la Subdirección de Gestión Corporativa  SGC</t>
  </si>
  <si>
    <t>Prestar servicios profesionales para realizar acompañamiento en los procesos contractuales adelantados por la Subdirección Gestión Corporativa -SGC</t>
  </si>
  <si>
    <t>Prestar los servicios profesionales jurídicos para apoyar las actividades propias, en procesos prediales que contribuyan al desarrollo de la infraestructura requerida por la entidad para la adecuada prestación del servicio-SGC</t>
  </si>
  <si>
    <t>Prestar los servicios profesionales técnicos para apoyar las actividades propias que contribuyan al desarrollo de la infraestructura requerida por la entidad para la adecuada prestación del servicio-SGC</t>
  </si>
  <si>
    <t>Prestar los servicios profesionales para apoyar las actividades de trabajo social propias que contribuyan al desarrollo de la infraestructura requerida por la entidad para la adecuada prestación del servicio-SGC</t>
  </si>
  <si>
    <t>Prestar servicios profesionales como ingeniero mecanico para apoyar las actividades propias que contribuyan al desarrollo de la infraestructura requerida por la entidad para la adecuada prestación del servicio-SGC</t>
  </si>
  <si>
    <t>Prestación de servicios de apoyo en las actividades asociadas a los procesos de gestión de inventarios de la Subdirección de Gestión Corporativa.-SGC</t>
  </si>
  <si>
    <t>Prestación de servicios de apoyo técnico en la gestión documental de la Subdirección de Gestión Corporativa de la Unidad-SGC</t>
  </si>
  <si>
    <t xml:space="preserve"> O232020200883990 Otros servicios profesionales, técnicos y empresariales n.c.p. </t>
  </si>
  <si>
    <t xml:space="preserve"> No Aplica </t>
  </si>
  <si>
    <t>Contratar los servicios de canales de datos dedicados para la UAE Cuerpo Oficial de Bomberos de Bogotá-TIC</t>
  </si>
  <si>
    <t>Contratar  la suscripción de licencias Suite Adobe para la UAE Cuerpo Oficial de Bomberos de Bogotá-TIC</t>
  </si>
  <si>
    <t>Contratar la renovación de la membresía LACNIC para mantener la disponibilidad del bloque de direcciones IPV6 adquirido por la U.A.E. Cuerpo Oficial de Bomberos de Bogotá</t>
  </si>
  <si>
    <t>81111811;72151600; 43223300;
39131700</t>
  </si>
  <si>
    <t>81112501;43232102;43232103;43231512</t>
  </si>
  <si>
    <t>81112100;81111500</t>
  </si>
  <si>
    <t>Prestar servicios profesionales en la Dirección General para gestionar las  actividades de cooperación técnica internacional y articulación interinstitucional encaminadas a fortalecer e impulsar las metas de la Entidad</t>
  </si>
  <si>
    <t>Prestar servicios profesionales especializados en la Dirección General de la UAECOB en la organización y liderazgo de los asuntos relacionados con cooperación técnica internacional y articulación interinstitucional de conformidad a la misionalidad de la entidad.</t>
  </si>
  <si>
    <t>Prestar servicios profesionales en la Dirección General para apoyar las actividades de cooperación técnica internacional y articulación interinstitucional de conformidad a la misionalidad de la Entidad</t>
  </si>
  <si>
    <t>Prestar servicios profesionales en asuntos de comunicaciones y prensa para apoyar materia de seguimiento para el cumplimiento de la misionalidad</t>
  </si>
  <si>
    <t>Prestación de servicios de profesionales a la gestión en la Dirección para el acompañamiento en las labores administrativas en asuntos de Comunicaciones y Prensa de la UAECOB</t>
  </si>
  <si>
    <t>Prestar servicios profesionales a la Subdirección de Gestión del Riesgo liderando las actividades del proceso de inspecciones técnicas del Riesgo._SGR</t>
  </si>
  <si>
    <t>Prestar servicios profesionales en las actividades de planeación y gestión de la Subdirección de gestión del Riesgo_SGR</t>
  </si>
  <si>
    <t>Prestar servicios profesionales para el seguimiento de los componentes administrativo, técnico y financiero de la subdireccíon de Gestión del Riesgo. SGR</t>
  </si>
  <si>
    <t>Prestar servicios profesionales para la gestión de la SGR, estructurando el seguimiento de los procesos contractuales y seguimiento de los proyectos de inversión de la UAECOB._SGR</t>
  </si>
  <si>
    <t>prestar servicios profesionales liderando las actividades de caracterización de escenarios y monitoreo de gestión del riesgo.SGR</t>
  </si>
  <si>
    <t>Prestar servicios profesionales liderando las actividades de Programas y Campañas de Prevención para la Subdirección de Gestión del Riesgo._SGR</t>
  </si>
  <si>
    <t xml:space="preserve">SGH - Prestar servicios profesionales en la Subdireccion de Gestion Humana de la UAE Cuerpo Oficial de Bomberos en el proceso de ausentismo, recobro de incapacidades y los subprocesos directamente relacionados </t>
  </si>
  <si>
    <t>SGH - Prestar servicios profesionales para apoyar el programa de desórdenes musculoesqueléticos de la UAE Cuerpo Oficial de Bomberos de Bogotá".</t>
  </si>
  <si>
    <t>SGH - Prestar servicios profesionales para la implementación y seguimiento del sistema de gestión de seguridad y salud en el trabajo en la Subdirección de Gestión Humana.</t>
  </si>
  <si>
    <t>SGH - Prestar sus servicios profesionales en la Subdirección de Gestión Humana, en la administración de sistema de seguridad y salud en el trabajo</t>
  </si>
  <si>
    <t>SGH - Prestar servicios profesionales para apoyar en la construcción, revisión y actualización de las políticas, protocolos y procedimientos establecidos para el desarrollo del Talento Humano, con el fin de determinar su eficiencia y cumplimiento de la normatividad vigente para la subdirección de Gestión humana.</t>
  </si>
  <si>
    <t>SGH - Prestar servicios de apoyo  en  la Subdirección de Gestión Humana de la UAE Cuerpo Oficial de Bomberos de Bogotá D.C. en lo relacionado con los procesos de administración y aplicación de los instrumentos archivísticos vigentes en el archivo de gestión de la Subdirección.".</t>
  </si>
  <si>
    <t>SGH - Prestar servicios de apoyo para ejecutar actividades en la gestión de  la Subdirección de Gestión Humana de la UAE Cuerpo Oficial de Bomberos de Bogotá D.C. en lo relacionado con los procesos de actualización, custodia y manejo del archivo de gestión de la Subdirección.</t>
  </si>
  <si>
    <t>SGH-Prestación de servicios profesionales para acompañar a la subdirección de gestión humana en el desarrollo de las actividades encaminadas al diseño de piezas comunicativas que se requieran en el marco de los procesos y procedimientos a cargo de la dependencia.</t>
  </si>
  <si>
    <t>SGH - Prestar servicios profesionales con plena autonomia tecnica y administrativa para acompañar a la Subdireccion de Gestion Humana en la estructuracion y definicion de aspectos juridicos en las etapas precontractuales, contractuales y poscontractuales en el marco de los procesos y procedimientos a cargo de la dependencia</t>
  </si>
  <si>
    <t>SGH-Prestar servicios profesionales para acompañar a la subdirección de gestión humana en el desarrollo de las actividades realizadas en el marco de la actuación del comité de mujer y género</t>
  </si>
  <si>
    <t>SGH - Prestar servicios profesionales para acompañar a la Subdireccion de Gestion Humana en la planeacion, trámite y seguimiento de los aspectos presupuestales, financieros y contractuales a cargo de la dependencia</t>
  </si>
  <si>
    <t>SGH - Prestar sus servicios profesionales en la Subdirección de Gestión Humana, en los procesos contractuales y demás actividades relacionadas con la Subdirección de Gestión Humana</t>
  </si>
  <si>
    <t>SGH - Prestar servicios profesionales para realizar una propuesta de reorganización de planta de personal y de manuales específicos de funciones y competencias laborales a partir de los resultados de diagnóstico realizado por la UAECOB y del análisis funcional de los empleos existentes y de las dependencias.</t>
  </si>
  <si>
    <t>SGH - Prestar servicios profesionales especializados para desarrollar actividades jurídicas en atención a los distintos requerimientos de la Subdirección de Gestión Humana.</t>
  </si>
  <si>
    <t>SGH - Prestar servicios profesionales para desarrollar actividades jurídicas en atención a los distintos requerimientos de la Subdirección de Gestión Humana.</t>
  </si>
  <si>
    <t>SGH - Prestar servicios profesionales para desarrollar actividades jurídicas relacionadas con la academia bomberil, recobro de incapacidades y procesos administrativos de la Subdirección de Gestión Humana.</t>
  </si>
  <si>
    <t>SGH - Prestar servicios profesionales en la Subdirección de Gestión Humana, para el fortalecimiento transversal del proceso de Academia.</t>
  </si>
  <si>
    <t>Prestar servicios apoyo técnico para el desarrollo de los contenidos graficos, piezas comunicativa y de imagen institucional para la Subdirección de Gestión del riesgo._SGR</t>
  </si>
  <si>
    <t>Prestación de servicios profesionales en asuntos de comunicaciones y prensa para detectar las necesidades de la Entidad y facilitar la inserción de nuevas estrategias de comunicación</t>
  </si>
  <si>
    <t>Prestar servicios de apoyo a la gestión en asuntos de comunicaciones y prensa para realizar labores de diseño y diagramación de productos editoriales de la UAECOB</t>
  </si>
  <si>
    <t>Prestar servicios profesionales especializados en el desarrollo de las actividades estrategicas de la Dirección General de la UAE Cuerpo Oficial de Bomberos de Bogotá</t>
  </si>
  <si>
    <t>Prestar los servicios profesionales jurídicos para apoyar las actividades propias de la gestión contractual que adelanta la Oficina Jurídica</t>
  </si>
  <si>
    <t>Prestar los servicios profesionales jurídicos especializados en la Oficina Jurídica que garantice la verificación de la legalidad, en apoyo a cada una de las actuaciones a cargo de esta Oficina.</t>
  </si>
  <si>
    <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</si>
  <si>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Prestar servicios profesionales jurídicos para orientar y apoyar los procesos de contratación gestionados por la Oficina Jurídica, en el marco de las actividades propias de la gestión contractual, con el objetivo de garantizar el cumplimiento de las necesidades de la UAECOB.</t>
  </si>
  <si>
    <t>Prestar los servicios profesionales para apoyar las actividades propias de la gestión contractual a cargo de la Oficina Jurídica, en función de las necesidades identificadas por la entidad y con el propósito de garantizar el cumplimiento de su misionalidad.</t>
  </si>
  <si>
    <t>Prestar los servicios de apoyo para las gestiones administrativas requeridas en la Oficina Jurídica.</t>
  </si>
  <si>
    <t>Prestar los servicios profesionales para apoyar la gestión de la información y presupuestal y elaborar los informes reglamentarios que la Oficina Jurídica debe presentar a los entes de control, respuestas a la ciudadanía y otros informes que den cuanta de su gestión.</t>
  </si>
  <si>
    <t>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t>
  </si>
  <si>
    <t>SGH- Prestar servicios profesionales para apoyar en el seguimiento de indicadores, coordinar, controlar y ejercer seguimiento al desarrollo de actividades de manera transversal en los procesos a cargo de la Subdirección de Gestión Humana de la UAE Cuerpo Oficial de Bomberos de Bogotá D.C.</t>
  </si>
  <si>
    <t>SGH - Prestar servicios profesionales a la Subdirección de Gestión Humana para el fortalecimiento y seguimiento del proceso de la escuela de formación bomberil y su relacionamiento con el sistema de seguridad y salud en el trabajo</t>
  </si>
  <si>
    <t>SGH prestar servicios profesionales para acompañar a la Subdirección de Gestión Humana en el desarrollo de las actividades relacionadas con el seguimiento a la ejecución presupuestal en el marco de los procesos, procedimientos y contratos a cargo de la dependencia</t>
  </si>
  <si>
    <t>Prestar servicios profesionales en la Dirección General para apoyar las actividades de cooperación técnica Internacional, seguimientos estrategicos y articulación interinstitucional de conformidad a la misionalidad de la entidad.</t>
  </si>
  <si>
    <t>Prestar los servicios profesionales jurídicos especializados para orientar y apoyar los procesos de contratación en sus diferentes etapas adelantados por la Oficina Jurídica, tendientes a garantizar las necesidades propias de la UAECOB</t>
  </si>
  <si>
    <t>Contratar los seguros de casco aviación aeronaves no tri-puladas (drones)de propiedad y de aquellos por los cuales es legalmente responsable a Unidad Administrativa Especial del Cuerpo Oficial de Bomberos de Bogotá-SGC</t>
  </si>
  <si>
    <t>Prestar los servicios profesionales para el acompañamiento y seguimiento de los planes y proyectos del area de inventarios de la Subdireccion de Gestión Corporativa-SGC</t>
  </si>
  <si>
    <t>Prestar servicios profesionales para realizar acompañamiento juridico en la elaboración de los procesos contractuales adelantados por la Subdirección Gestión Corporativa -SGC</t>
  </si>
  <si>
    <t>Prestación de servicios profesionales para la implementación, consolidación, seguimiento y reporte de los lineamientos ambientales establecidos en el Programa de Información y Gestión Ambiental (PIGA) en cada una de las sedes de la UAE Cuerpo Oficial de Bomberos Bogotá-SGC.</t>
  </si>
  <si>
    <t>Prestación de servicios profesionales para la implementación, consolidación, seguimiento y reporte de los lineamientos ambientales en cada una de las sedes de la entidad, con énfasis en los equipos de trabajo de la Subdirección de Gestión Corporativa (SGC), incluyendo el desarrollo y ejecución del programa PIGA de comunicación, formación y sensibilización ambiental</t>
  </si>
  <si>
    <t>Prestación de servicios profesionales para la implementación, seguimiento y reporte de los lineamientos ambientales en las sedes de la entidad, con énfasis en los equipos de la Subdirección de Gestión Corporativa (SGC), incluyendo el desarrollo y ejecución del programa de consumo sostenible, promoviendo prácticas responsables en el uso de recursos y su optimización.</t>
  </si>
  <si>
    <t>47111502;
47111503;
73151802;
73152100;</t>
  </si>
  <si>
    <t>72151800;
72151502;
72151505;
73152108;</t>
  </si>
  <si>
    <t>Prestación de servicios profesionales para apoyar a la supervisión con las actividades técnicas del Área de Infraestructura de la Subdirección de Gestión Corporativa-SGC</t>
  </si>
  <si>
    <t>Prestación de servicios profesionales para apoyar las actividades de estructuración de procesos contractuales del Área de Infraestructura de la Subdirección de Gestión Corporativa-SGC</t>
  </si>
  <si>
    <t>Prestar servicios profesionales especializados para acompañar jurídicamente los procesos y procedimientos del área de infraestructura de la Subdirección de Gestión Corporativa. SGC</t>
  </si>
  <si>
    <t>72101506;
72154010;</t>
  </si>
  <si>
    <t>81141503;
81141804;</t>
  </si>
  <si>
    <t>Prestación de servicios profesionales especializados para apoyar las actividades de seguimiento técnico del Área de Infraestructura de la Subdirección de Gestión Corporativa-SGC</t>
  </si>
  <si>
    <t>Prestación de servicios profesionales para apoyar las actividades jurídicas de la Subdirección de Gestión Corporativa-SGC</t>
  </si>
  <si>
    <t>Adición No 1. al contrato 244 de 2024 que tiene como objeto "Seleccionar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</si>
  <si>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Prestar servicios profesionales para realizar las actividdaes relacionadas con la emision de conceptos a cargo de la Subdirección de Gestión del Riesgo._SGR</t>
  </si>
  <si>
    <t>39121321;31162800;39121700; 31162300</t>
  </si>
  <si>
    <t>Prestación de servicios de apoyo a la gestión en el proceso de mantenimiento del equipo menor a cargo de la Subdirección Logística -SBLG.</t>
  </si>
  <si>
    <t xml:space="preserve">Prestación de servicios profesionales en la gestión contractual y administrativa de la subdirección Logística- SBLG, de acuerdo con los lineamientos internos de la UAECOB. </t>
  </si>
  <si>
    <t>Prestación de servicios profesionales para el control y seguimiento de las actividades derivadas de la gestión jurídica y contractual de la Subdirección Logística. SBLG.</t>
  </si>
  <si>
    <t>Prestar servicios de apoyo a la gestión en actividades administrativas y documentales que se desarrollen en la Subdirección Logística – SBLG.</t>
  </si>
  <si>
    <t xml:space="preserve">Prestación de servicios profesionales para apoyar la gestión financiera y presupuestal de los proyectos y planes a cargo de la Subdirección Logística - SBLG. </t>
  </si>
  <si>
    <t>Prestar servicios de apoyo a la gestión en asuntos administrativos y contractuales, seguimiento a plataforma SECOP II y archivo contractual de la Subdirección Logística - SBLG</t>
  </si>
  <si>
    <t>Prestar servicios profesionales en la formulación e implementación de estrategias de comunicación, capacitación y gestión administrativa que promueva el uso y apropiación de los programas desarrollados en cada una de las lineas de la  Subdirección Logística - SBLG</t>
  </si>
  <si>
    <t>Prestar servicios profesionales en la definición y gestión de procedimientos, lineamientos ambientales y de SST de los procesos, así como del sistema de Gestión de Calidad en la Subdirección Logística  – SBGL</t>
  </si>
  <si>
    <t>Prestar servicios profesionales para la gestión del Plan Estratégico de Seguridad Vial (PESV), participación en el comité correspondiente y el desarrollo de programas y actividades asignadas a la Subdirección Logística SBLG.</t>
  </si>
  <si>
    <t>Prestación de servicios profesionales, para apoyar la política de Compras y Contratación Pública, en la elaboración, tramite e impulso de los procesos de contratación en sus diferentes etapas a cargo de la Subdirección Logística - SBLG.</t>
  </si>
  <si>
    <t xml:space="preserve">Prestar servicios profesionales para apoyar en los diferentes procesos de planeación,  administrativos e inventario de la Subdirección Logística – SBLG. </t>
  </si>
  <si>
    <t>Prestar  servicios de apoyo a la gestión en
actividades Técnicas, administrativas y documentales de la
Subdirección Logística - SBLG</t>
  </si>
  <si>
    <t>Prestar servicios de apoyo a la gestión de los suministros y consumibles realizando el seguimiento, control y trámites necesarios para la oportuna disponibilidad en la atención de emergencias  -SBLG.</t>
  </si>
  <si>
    <t>Prestación de servicio como conductor para apoyar en la gestión administrativa y logística de la Subdirección Logistica- SBLG.</t>
  </si>
  <si>
    <t>Prestación de servicios profesionales para la gestión, seguimiento y control administrativo, técnico y operativo del proceso de mantenimiento del parque automotor a cargo de la Subdirección Logística - SBLG.</t>
  </si>
  <si>
    <t>Prestación de servicios profesionales en el control legal de los procesos y acciones, especialmente la gestión contractual requerida por la Subdirección Logística - SBLG</t>
  </si>
  <si>
    <t>Prestar servicios profesionales para el seguimiento y control logístico en la cadena de suministros e insumos en la atención de emergencias garantizando la entrega de los bienes y servicios de la Subdirección Logística. SBLG</t>
  </si>
  <si>
    <t>Prestación de servicios profesionales para la gestión, seguimiento y control administrativo, técnico y operativo del equipo menor a cargo de la Subdirección Logística (SBLG).</t>
  </si>
  <si>
    <t>Prestación de servicios profesionales en la gestión, seguimiento y control administrativo, financiero y contractual del proceso de mantenimiento del parque automotor a cargo de la Subdirección Logística - SBLG.</t>
  </si>
  <si>
    <t>Prestar servicios de apoyo a la gestión para la organización, clasificación, foliación, digitalización e indexación de documentos de la Subdirección Logística - SBLG</t>
  </si>
  <si>
    <t>Prestación de servicios profesionales para la gestión administrativa de las herramientas tecnológicas de la Subdirección Logística asociados a la mesa logística - SBLG</t>
  </si>
  <si>
    <t xml:space="preserve">Prestar servicios profesionales para acompañar en el diseño, implementación, reporte y monitoreo de los diferentes planes, programas, proyectos administrativos y financieros de la Subdirección Logística- SBLG </t>
  </si>
  <si>
    <t>Prestar servicios profesionales en la gestión, seguimiento y control administrativo, financiero y contractual la línea de insumos y suministros, para la operación durante las emergencias, eventos y capacitaciones  a cargo de la Subdirección Logística - SBLG.</t>
  </si>
  <si>
    <t>Prestar servicios de apoyo en la gestión documental, física y digital, administrando y diligenciando las bases de datos, y demás documentos a cargo de la Subdirección logística. -SBLG.</t>
  </si>
  <si>
    <t>Prestación de servicios profesionales en la proyección y seguimiento de las etapas precontractual, contractual y postcontractual que desarrolle la Subdirección Logística en el ámbito de su competencia.- SBLG</t>
  </si>
  <si>
    <t>Prestación de servicios profesionales para realizar el seguimiento y monitoreo a los diferentes procesos y procedimientos del equipo menor a cargo de la Subdirección Logística - SBLG</t>
  </si>
  <si>
    <t>Prestar servicios profesionales en las actividades administrativas y financieras que requieran los procesos de la Subdirección Logística- SBLG</t>
  </si>
  <si>
    <t>Prestar los servicios profesionales para la gestión, financiera de los proyectos y procesos de la Subdirección - SBLG.</t>
  </si>
  <si>
    <t xml:space="preserve">Prestar servicios profesionales para el seguimiento y gestión de las actividades establecidas en los planes de acción y estratégicos; así como, de los procesos de planeación y administrativos propios de Subdirección Logística - SBLG. </t>
  </si>
  <si>
    <t xml:space="preserve">Prestación de servicios profesionales a la gestión administrativa, financiera y documental para la atención del cuerpo uniformado a cargo de la Subdirección - SBGL. </t>
  </si>
  <si>
    <t>Prestación de servicios profesionales para gestionar las solicitudes y requerimientos recibidos por las herramientas tecnológicas de la Subdirección Logística - SBLG</t>
  </si>
  <si>
    <t>Suministro de herramientas especializadas, equipos, accesorios y otros elementos de ferretería para garantizar la preparación y atención de emergencias de la U.A.E. Cuerpo Oficial de Bomberos de Bogotá – SBLG.</t>
  </si>
  <si>
    <t>Contratar la adquisición de pantallas interactivas y televisores para el fortalecimiento de la infraestructura tecnológica para el desarrollo de la gestión misional y administrativa general de la UAE Cuerpo Oficial de Bomberos de Bogotá.</t>
  </si>
  <si>
    <t>Prestar los servicios profesionales al área de Tecnologías de la Información y las Comunicaciones de la U.A.E. Cuerpo Oficial de Bomberos Bogotá, para desarrollar actividades administrativas en todos los niveles relacionados con los servicios tecnológicos del Edificio Comando, Estaciones y Supercades, de la Entidad.</t>
  </si>
  <si>
    <t xml:space="preserve">Prestar servicios profesionales especializados en el área de Tecnologías de la Información y las Comunicaciones de la U.A.E. Cuerpo Oficial de Bomberos Bogotá, para realizar el seguimiento, gestión y fortalecimiento de los procesos, procedimientos, contratos y proyectos tecnológicos a cargo de esta área. </t>
  </si>
  <si>
    <t>Prestar los servicios profesionales en el área de Tecnologías de la Información y las Comunicaciones de la U.A.E. Cuerpo Oficial de Bomberos Bogotá para apoyar en el seguimiento y control del presupuesto asociado a los procesos, procedimientos y contratos a cargo de esta dependencia.</t>
  </si>
  <si>
    <t>Prestar los servicios profesionales en el área de Tecnologías de la Información y las Comunicaciones de la U.A.E. Cuerpo Oficial de Bomberos Bogotá, apoyando en la gestión jurídica y contractual en todas sus etapas de los procesos, procedimientos y contratos a cargo de esta área.</t>
  </si>
  <si>
    <t>Prestar los servicios profesionales en el área de Tecnologías de la Información y las Comunicaciones de la U.A.E. Cuerpo Oficial de Bomberos Bogotá, para administrar y gestionar la seguridad perimetral y privacidad de la información en el marco de la infraestructura tecnológica y de comunicaciones, utilizada por la entidad.</t>
  </si>
  <si>
    <t>Prestar los servicios profesionales en el área de Tecnologías de la Información y las Comunicaciones de la U.A.E. Cuerpo Oficial de Bomberos Bogotá, apoyando la administración y gestión de la infraestructura tecnológica de servidores, servicios de nube y componentes relacionados, con los que cuenta la entidad.</t>
  </si>
  <si>
    <t xml:space="preserve">Prestar los servicios profesionales en el área de Tecnologías de la Información y las Comunicaciones de la U.A.E. Cuerpo Oficial de Bomberos Bogotá, gestionando y administrando los sistemas de información y aplicativos tecnológicos, con los que cuenta la entidad. </t>
  </si>
  <si>
    <t>Prestar los servicios profesionales en el área de Tecnologías de la Información y las Comunicaciones de la U.A.E. Cuerpo Oficial de Bomberos Bogotá, para apoyar la implementación, seguimiento y control del Sistema de Gestión de Seguridad de la Información - SGSI y Gobierno Digital, así como realizar el seguimiento, reporte y monitoreo a los planes y procedimientos institucionales asociados a las TIC´s.</t>
  </si>
  <si>
    <t>Prestar los servicios profesionales en el área de Tecnologías de la Información y las Comunicaciones de la U.A.E. Cuerpo Oficial de Bomberos Bogotá, desarrollando las actividades administrativas y financieras relacionadas con la gestión contractual y poscontractual asociadas a los procesos, procedimientos y funciones a cargo de esta área.</t>
  </si>
  <si>
    <t>Prestar los servicios profesionales en la administración, actualización, desarrollo y mantenimiento del Sistema Integrado de Administración de Personal - SIAP para la U.A.E. Cuerpo Oficial de Bomberos Bogotá.</t>
  </si>
  <si>
    <t xml:space="preserve">Prestar los servicios profesionales en el área de Tecnologías de la Información y las Comunicaciones de la U.A.E. Cuerpo Oficial de Bomberos Bogotá, en la administración, seguimiento, monitoreo y gestión de los sitios web institucionales de la entidad. </t>
  </si>
  <si>
    <t>Prestar los servicios de apoyo a la gestión al área de Tecnologías de la Información y las Comunicaciones de la U.A.E. Cuerpo Oficial de Bomberos Bogotá, para el apoyo en la creación de productos audiovisuales y generación de contenidos digitales en la entidad.</t>
  </si>
  <si>
    <t>Prestar servicios de apoyo a la gestión al área de Tecnologías de la Información y las Comunicaciones de la U.A.E. Cuerpo Oficial de Bomberos Bogotá, en el desarrollo de actividades administrativas, asistenciales y de gestión documental, asociadas a los procesos, procedimientos y contratos a cargo de esta área.</t>
  </si>
  <si>
    <t>Prestar los servicios de apoyo a la gestión al área de Tecnologías de la Información y las Comunicaciones de la U.A.E. Cuerpo Oficial de Bomberos Bogotá, para adelantar actividades administrativas y técnicas en el soporte técnico nivel (1 y 2) para los servicios tecnológicos de la Entidad.</t>
  </si>
  <si>
    <t>Prestar los servicios de apoyo a la gestión al área de Tecnologías de la Información y las Comunicaciones de la U.A.E. Cuerpo Oficial de Bomberos Bogotá, para adelantar actividades administrativas y técnicas en el soporte técnico y de infraestructura tecnológica con la que cuenta la Entidad.</t>
  </si>
  <si>
    <t>Prestar los servicios profesionales al área de Tecnologías de la Información y las Comunicaciones de la U.A.E. Cuerpo Oficial de Bomberos Bogotá, para desarrollar actividades administrativas y de soporte técnico en todos los niveles relacionados con los servicios tecnológicos del Edificio Comando, Estaciones y Supercades, donde la entidad presta sus servicios.</t>
  </si>
  <si>
    <t>Prestar los servicios profesionales al área de Tecnologías de la Información y las Comunicaciones de la U.A.E. Cuerpo Oficial de Bomberos Bogotá, para gestionar y brindar el soporte técnico de las herramientas tecnológicas desarrolladas en el marco de las funciones de las diferentes áreas y dependencias de la entidad.</t>
  </si>
  <si>
    <t>Prestar los servicios profesionales al área de Tecnologías de la Información y las Comunicaciones de la U.A.E. Cuerpo Oficial de Bomberos Bogotá, en el apoyo y acompañamiento técnico para realizar el levantamiento de requerimientos y necesidades de las diferentes áreas y dependencias de la entidad.</t>
  </si>
  <si>
    <t>Prestar los servicios profesionales al área de Tecnologías de la Información y las Comunicaciones de la U.A.E. Cuerpo Oficial de Bomberos Bogotá, realizando las actividades propias del oficial de seguridad de la infraestructura tecnológica de la entidad.</t>
  </si>
  <si>
    <t>Prestar los servicios profesionales al área de Tecnologías de la Información y las Comunicaciones de la U.A.E. Cuerpo Oficial de Bomberos Bogotá en el seguimiento, desarrollo y mejoramiento de las herramientas tecnológicas de colaboración, creadas como soporte a los procesos misionales de la entidad.</t>
  </si>
  <si>
    <t>Prestar los servicios de apoyo a la gestión al área de Tecnologías de la Información y las Comunicaciones de la U.A.E. Cuerpo Oficial de Bomberos Bogotá, en el proceso de análisis, levantamiento de información, parametrización y testeo de las herramientas tecnológicas de colaboración creadas como soporte a los procesos misionales de la entidad.</t>
  </si>
  <si>
    <t>Prestar los servicios de apoyo a la gestión al área de Tecnologías de la Información y las Comunicaciones de la U.A.E. Cuerpo Oficial de Bomberos Bogotá para el levantamiento de requerimientos, documentación, soporte de análisis de datos y publicación de información relacionadas con los procesos, procedimientos y funciones a cargo de esta área.</t>
  </si>
  <si>
    <t>Prestar servicios asistenciales al área de Tecnologías de la Información y las Comunicaciones de la U.A.E. Cuerpo Oficial de Bomberos Bogotá, para la gestión y desarrollo de actividades administrativas en los procesos que adelanta el área.</t>
  </si>
  <si>
    <t xml:space="preserve">Prestar los servicios profesionales al área de Tecnologías de la Información y las Comunicaciones de la U.A.E. Cuerpo Oficial de Bomberos Bogotá, en los procesos de análisis, revisión de las necesidades y apoyo en las fases iniciales de creación de herramientas tecnológicas implementadas o que se requieran para el funcionamiento y desarrollo de las funciones de las diferentes áreas y dependencias de la entidad. </t>
  </si>
  <si>
    <t xml:space="preserve">Prestar los servicios profesionales al área de Tecnologías de la Información y las Comunicaciones de la U.A.E. Cuerpo Oficial de Bomberos Bogotá, en la estructuración y definición de aspectos jurídicos en las etapas precontractuales, contractuales y postcontractuales en el marco de los procesos y procedimientos a cargo del área. </t>
  </si>
  <si>
    <t>Prestar los servicios profesionales al área de Tecnologías de la Información y las Comunicaciones de la U.A.E. Cuerpo Oficial de Bomberos Bogotá, en la sustanciación, revisión y trámite de los procesos contractuales y gestión jurídica de los procedimientos a cargo del área.</t>
  </si>
  <si>
    <t xml:space="preserve">83121700; 83111600; 43221700; 25173100;  81112000; 32101600 </t>
  </si>
  <si>
    <t>Contratar la adquisicion, modernizacion y mantenimiento preventivo y correctivo de UPS,  aires acondicionados con suministro de repuestos, para todas las sedes de la U.A.E. Cuerpo Oficial de Bomberos de Bogotá - TIC.</t>
  </si>
  <si>
    <t>72151500; 72101500; 731521000; 39121600; 39121000; 72151500; 72101500; 73152100.</t>
  </si>
  <si>
    <t xml:space="preserve">Contratar la adquisición de tarjetas de comunicación satelital de voz, para la U.A.E. Cuerpo Oficial de Bomberos de Bogotá. </t>
  </si>
  <si>
    <t>Contratar la adquisición de equipo, software e insumos para la generación de carnets, para la U.A.E. Cuerpo Oficial de Bomberos de Bogotá.</t>
  </si>
  <si>
    <t>Contratar la adquisición de antenas y servicio de internet satelital, para la U.A.E. Cuerpo Oficial de Bomberos de Bogotá.</t>
  </si>
  <si>
    <t>Contratar la renovación de garantía y soporte de fabrica de los equipos activos que hacen parte de la infraestructura tecnológica de la U.A.E. Cuerpo Oficial de Bomberos de Bogotá.</t>
  </si>
  <si>
    <t>Prestar servicios profesionales para desarrollar e implementar sistemas de información, brindar soporte, mantenimiento y generar interoperabilidad con la Subdirección de Gestión Corporativa -SGC</t>
  </si>
  <si>
    <t>Prestar los servicios profesionales jurídicos especializados para apoyar el desarrollo de las funciones de la Oficina Jurídica</t>
  </si>
  <si>
    <t>Prestar servicios profesionales para apoyar a la Oficina Asesora de Planeación en el seguimiento, reporte y gestión de los proyectos, planes y programas de la entidad, en el marco de la política de gestión presupuestal y eficiencia del gasto público, dentro del Modelo Integrado de Planeación y Gestión MIPG</t>
  </si>
  <si>
    <t>Prestar los servicios profesionales en la estructuración, sustanciación, revisión y trámite de los procesos de contratación y gestión jurídica en el marco de los procesos y procedimientos a cargo de la dirección de la U.A.E. Cuerpo Oficial de Bomberos
Bogotá D.C</t>
  </si>
  <si>
    <t>Prestar los servicios profesionales en el área de Tecnologías de la Información y las Comunicaciones de la U.A.E. Cuerpo Oficial de Bomberos Bogota, para apoyar en el análisis, modelamiento, acompañamiento, pruebas funcionales, soporte y documentación técnica y funcional de los sistemas de información, en el marco de los procesos y procedimientos vigentes de la entidad</t>
  </si>
  <si>
    <t>Adicion y prorroga a la orden de compra 121621, identificada con el numero de contrato 618-2023, cuyo objeto es  “Contratar el servicio de nube publica para la U.A.E Cuerpo Oficial de Bomberos de Bogotá - TIC”</t>
  </si>
  <si>
    <t>Actualización y renovación para ASMS( Aranda service manangment suite), soporte y mantenimiento del licenciamiento Software Aranda para la U.A.E. Cuerpo Oficial de Bomberos Bogota - TIC</t>
  </si>
  <si>
    <t xml:space="preserve">81112222
81111811
43231501
43231513 </t>
  </si>
  <si>
    <t xml:space="preserve">Austeridad 5% en los proyectos que tengan
definidos productos de fortalecimiento institucional </t>
  </si>
  <si>
    <t>Prestar servicios profesionales en la Dirección General para el manejo de redes sociales, divulgación, socialización de información y apoyo periodístico, requerido en el marco de la estrategia de comunicaciones y prensa de la UAECOB.</t>
  </si>
  <si>
    <t>Prestar servicios profesionales para orientar las actividades relacionadas con la implementación del Sistema de Administración del Riesgo de Lavado de Activos y Financiación del Terrorismo (SARLAFT) en la Unidad Administrativa Especial Cuerpo Oficial de Bomberos de Bogotá.</t>
  </si>
  <si>
    <t>SGH - Prestar servicios de apoyo a la gestión en la realizacion de actividades relacionadas con la organización, actualización, registro y verificación de la documentación  digital y física de la evaluación de desempeño, licencias de conducción, hojas de vida, entre otras bases, de los/as servidores/as de la entidad</t>
  </si>
  <si>
    <t>SGH - Prestar servicios de apoyo a la gestión para acompañar a la Subdirección de Gestión Humana para en la realización de las actividades referentes al Plan de Bienestar e Incentivos.</t>
  </si>
  <si>
    <t>SGH-prestar servicios profesionales para acompañar a la subdirección de gestión humana en la construcción del plan educativo institucional y en los procesos y procedimientos de la escuela de formación bomberil - academia de la unidad administrativa especial-cuerpo oficial bomberos de Bogotá.</t>
  </si>
  <si>
    <t>SGH - Prestación de servicios profesionales para acompañar a la Subdirección de Gestión Humana en la construcción, diseño, validación y socialización de la propuesta de actualización, ajuste o modificación del modelo de operación por procesos, en el marco del proceso de fortalecimiento, a partir del diagnóstico realizado por la UAECOB y realizar la alineación con la estructura propuesta.</t>
  </si>
  <si>
    <t>Prestar servicios profesionales para ejercer las labores de secretaría común y actividades jurídicas que requieren las actuaciones disciplinarias en etapa de instrucción adelantadas por la Oficina de Control Disciplinario Interno.</t>
  </si>
  <si>
    <t>Prestar servicios profesionales para apoyar a la Oficina de Control Disciplinario Interno de la Unidad Administrativa Especial Cuerpo Oficial de Bomberos de Bogotá en la planeación y ejecución de una estrategia de prevención de conductas constitutivas de faltas disciplinarias, que incluye la realización de capacitaciones y la asesoría en temas jurídicos.</t>
  </si>
  <si>
    <t>Prestar servicio de apoyo a la gestión para asistir a la Subdirección Logística en el seguimiento técnico y administrativo de los mantenimientos requeridos en la Subdirección Logística - SBLG</t>
  </si>
  <si>
    <t>Prestación de servicios profesionales, para apoyar la estructuración y seguimiento de los asuntos contractuales y jurídicos que requiera la Subdirección Logística en el ámbito de su competencia.- SBLG</t>
  </si>
  <si>
    <t>Prestar servicios de apoyo en la gestión administrativa y documental de los procesos contractuales relacionados con el mantenimiento del parque automotor a cargo de la Subdirección Logística -SBLG.</t>
  </si>
  <si>
    <t>Adición al contrato No. 392 - 2024 cuyo objeto es: Prestar el servicio de mantenimiento preventivo y correctivo, incluyendo el suministro de repuestos, insumos y mano de obra especializada para las motobombas forestales FOX, propiedad de la Unidad Administrativa Especial Cuerpo Oficial de Bomberos de Bogotá D.C. (UAECOB).</t>
  </si>
  <si>
    <t>ADICCION Y PRORROGA CTO  342-2024 cuyo objeto es  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</si>
  <si>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ADICION Y PRORROGA CTO 399-2024 cuyo objeto es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</si>
  <si>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Adquisición de insumos para la administración de emergencia_SGR</t>
  </si>
  <si>
    <t>Prestar servicio de apoyo en las actividades de identificación de escenarios a cargo de la Subdirección de Gestión del Riesgo._SGR</t>
  </si>
  <si>
    <t>Prestación de servicios profesionales para  apoyar los procesos contractuales de la Subdirección Operativa en todas sus etapas, seguimiento financiero y apoyo técnico con base en las necesidades propias de la dependencia S.O.</t>
  </si>
  <si>
    <t>Prestación de servicios profesionales para  apoyar los procesos contractuales de la Subdirección Operativa en todas sus etapas y apoyo técnico en los proyectos y procesos de la dependencia S.O.</t>
  </si>
  <si>
    <t>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t>
  </si>
  <si>
    <t>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t>
  </si>
  <si>
    <t>Prestar servicios profesionales para apoyar jurídicamente en la sustanciación, revisión y trámite de solicitudes dirigidas a autoridades administrativas, respuestas a PQRS, derechos de petición y requerimientos que efectúen los entes de control, así como realizar la gestión y desarrollo de todas las etapas precontractuales y contractuales correspondientes a la celebración de convenios, comodatos, memorandos de entendimiento y demás procesos de selección de La Subdirección Operativa S.O.</t>
  </si>
  <si>
    <t>Prestar los servicios profesionales para apoyar a la Subdirección Operativa en el fortalecimiento de los procesos de formación y capacitación al personal operativo y administrativo, en articulación con la academia y demás áreas de la entidad S.O.</t>
  </si>
  <si>
    <t>Prestación de servicios de apoyo a la gestión en las actividades documentales, administrativas y manejo de las herramientas de gestión que demanda la Subdirección Operativa S.O.</t>
  </si>
  <si>
    <t>Adquisición de elementos y accesorios para el grupo especializado UARBO de la UAECOB.</t>
  </si>
  <si>
    <t>Adquisición de elementos y accesorios para el grupo especializado BRAE de la UAECOB.</t>
  </si>
  <si>
    <t>49141503;49141504;
49141505;49141506;
49141507</t>
  </si>
  <si>
    <t>Prestación de servicios para apoyar  la gestión administrativa y documental requerida a cargo de la Subdirección Operativa  S.O.</t>
  </si>
  <si>
    <t>Prestar servicios profesionales para brindar acompañamiento jurídico en el desarrollo de las actividades inherentes a los procesos y procedimientos competencia de la Subdirección Operativa así como brindar apoyo en la revisión, estructuración y seguimiento de todas las etapas precontractuales y contractuales correspondientes a los procesos de selección de la Subdirección Operativa S.O.</t>
  </si>
  <si>
    <t>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t>
  </si>
  <si>
    <t>Prestación de servicios especializados en sostenibilidad ambiental, gestión de recursos naturales y seguridad y salud en el trabajo, incluyendo asesoría, capacitación e implementación de sistemas de gestión ambiental conforme a normativas ISO 14001, 45001 y estándares de calidad-SGC</t>
  </si>
  <si>
    <t>Prestación de servicios de apoyo en las actividades asociadas a los procesos administrativo de la Subdirección de Gestión Corporativa- SGC</t>
  </si>
  <si>
    <t>Prestar los servicios profesionales para el acompañamiento y seguimiento de los planes y proyectos del grupo del almacén de la Subdireccion de Gestión Corporativa-SGC</t>
  </si>
  <si>
    <t>Adquisición de elementos de menaje para la sede comando de la UAECOB-SGC</t>
  </si>
  <si>
    <t>Adquisición de aviso de alto impacto visual para la recordación permanente del  edificio comando de la UAECOB-SGC</t>
  </si>
  <si>
    <t>48101800;
48101915;
24112601;
49121509;</t>
  </si>
  <si>
    <t>76101501;
47131829;</t>
  </si>
  <si>
    <t>55121715;</t>
  </si>
  <si>
    <t>82121700;
82101500,;
82101600;
81161500;
13111203;
81112200;
55121700;</t>
  </si>
  <si>
    <t>Adición No. 1 al contrato 478 de 2024 que tiene como objeto "Mantenimiento preventivo y correctivo, que incluye el suministro de insumos y repuestos de las lavadoras y secadoras industriales ubicadas en las estaciones de bomberos de la UAE Cuerpo Oficial de Bomberos de Bogotá-SGC</t>
  </si>
  <si>
    <t>47111500;
47111502;
47111503;
73151802;
73152100;</t>
  </si>
  <si>
    <t>Mantenimiento correctivo y/o preventivo, adquisición de repuestos y el suministro e instalación de los equipos hidroneumáticos, motobombas eléctricas, bombas sumergibles, tableros de control y fuerza y demás equipos de bombeo de las instalaciones de la UAE Cuerpo oficial de Bomberos -SGC</t>
  </si>
  <si>
    <t>72102104; 76101503; 70111503; 72154055; 70111703; 70111706;</t>
  </si>
  <si>
    <t>Adición No. 6 y prórroga No. 7 al contrato 409 de 2021 que tiene como objeto "Prestar los servicios de Custodia, Consulta y Traslado Documental de Acuerdo a las especificaciones Técnicas y requisitos contemplados en la normatividad Archivística Vigente-SGC</t>
  </si>
  <si>
    <t>Prestar los servicios profesionales en el area de inventarios de la Subdireccion de Gestión Corporativa-SGC</t>
  </si>
  <si>
    <t>Prestar servicios de apoyo a la gestión en las actividades de monitoreo, seguimiento y reporte de información del Centro de Coordinación y Comunicaciones de la Subdirección Operativa.</t>
  </si>
  <si>
    <t>Prestación de servicios profesionales en asuntos de comunicaciones y prensa para apoyar la conducción, presentación y divulgación de contenidos audiovisuales e informativos relacionados con la misionalidad de la UAECOB.</t>
  </si>
  <si>
    <t>Prestar servicios profesionales jurídicos en la Dirección General de la UAECOB en la revisión, gestión y seguimiento de temas de infraestructura, POT, plan maestro de equipamiento y procesos contractuales y estratégicos de la misionalidad de la Entidad</t>
  </si>
  <si>
    <t>SGH - Prestar servicios profesionales en el desarrollo de actividades relacionadas con los procesos de vinculación, permanencia y retiro del personal de la entidad, actualización de registros laborales del personal de la entidad, asicomo apoyar en las actividades a cargo de desarrollo organizacional de la Subdirección de Gestión Humana de la UAE Cuerpo Oficial de Bomberos de Bogotá</t>
  </si>
  <si>
    <t>SGH - Prestar los servicios de capacitación, formación y entrenamiento en cursos especializados  para el personal operativo de la UAE Cuerpo Oficial de Bomberos  de Bogotá en el marco del PIC</t>
  </si>
  <si>
    <t>SGH - Adquisición de elementos, herramientas y accesorios para  EQUIPAMIENTO DE MAQUINAS E INCENDIOS necesario para el desarrollo de entrenamiento de la Academia UAE Cuerpo Oficial de Bomberos de Bogotá</t>
  </si>
  <si>
    <t>SGH -Contratar la realización de los exámenes Médicos Ocupacionales para el personal de la UAE Cuerpo Oficial de Bomberos de Bogotá</t>
  </si>
  <si>
    <t>SGH - Contratar la Prestación de Servicios para desarrollar el Plan de Bienestar de la UAE Cuerpo Oficial de Bomberos para la Vigencia 2025</t>
  </si>
  <si>
    <t>Adición y Prorroga No 1 del CTO 379 de 2024 - Interventoría técnica, administrativa, financiera, contable, jurídica y ambiental  para la realización del mantenimiento predictivo, preventivo, correctivo, mejoras y dotación a las instalaciones de las dependencias de la Unidad Administrativa Especial Cuerpo Oficial de Bomberos de Bogotá D.C. - SGC</t>
  </si>
  <si>
    <t>Adquisicion de las lavadoras industriales para las instalaciones de la UAE Cuerpo Oficial de Bomberos de Bogotá-SGC</t>
  </si>
  <si>
    <t>Adquisición de andamios, escaleras certificadas, y elementos de protección personal para la seguridad y salud en el trabajo en el desarrollo de actividades locativas de las estaciones y demás instalaciones de la UAECOB-SGC.</t>
  </si>
  <si>
    <t>30191502; 30191501; 46182307; 46182314; 49211805; 46182002; 46181900; 46182304;</t>
  </si>
  <si>
    <t>Prestar servicios profesionales para apoyar la implementación del Sistema de Gestión de la Calidad, asegurando el cumplimiento de los estándares establecidos y promoviendo la mejora continua, en el marco del Modelo Integrado de Planeación y Gestión de los procesos de la UAECOB.</t>
  </si>
  <si>
    <t>Pago de pasivo exigible UAECOB-contrato No. 125 de 2022</t>
  </si>
  <si>
    <t>Prestar servicios de apoyo a la gestión en las actividades de soporte operacional de la UAECOB Subdirección Logística. SBLG</t>
  </si>
  <si>
    <t>pago pasivo exigible de "Adición y Prorroga cto 495 de 2022 cuyo objeto es Prestar servicios profesionales para las actividades misionales de la Subdirección de Gestión del Riesgo._SGR"</t>
  </si>
  <si>
    <t>Adicion y Prorroga del cto 333 2024 , cuyo objeto es  "Contratar el servicio de revision técnico mecánica y de emision de gases contaminantes para los vehiculos que forman parte del parque automotor de la Unidad Administrativa Especial Cuerpo Oficial de Bomberos de Bogotá - UAECOB-SBLG"</t>
  </si>
  <si>
    <t xml:space="preserve">Prestar servicios de apoyo en asuntos administrativos, financieros, documentales y emisión de informes a cargo de la Subdireccion Logística-SBLG.  </t>
  </si>
  <si>
    <t>Adicion y prorroga al contato 398 de 2024 que tiene como objeto  "Prestar el servicio de mantenimiento preventivo y correctivo, de latonería y pintura, incluyendo el suministro de repuestos, insumos y mano de obra especializada para los vehículos pertenecientes al parque automotor de la UAE Cuerpo Oficial de Bomberos de Bogotá D.C.</t>
  </si>
  <si>
    <t>Prestar servicios profesionales en materia administrativa,optimizando los procesos de la dependencia a través de la gestión de herramientas tecnológicas y documentales con las que se cuenten a la Subdirección Logística – SBLG.</t>
  </si>
  <si>
    <t>Construcción y adecuación de la estación de bomberos de Caobos Salazar B-13 de la UAE Cuerpo Oficial de Bomberos de Bogotá – SGC</t>
  </si>
  <si>
    <t>Interventoría técnica, administrativa, financiera, contable, jurídica y ambiental para Construcción y adecuación de la estación de bomberos de Caobos Salazar B-13 de la UAE Cuerpo Oficial de Bomberos de Bogotá – SGC</t>
  </si>
  <si>
    <t>Adición No. 1 y Prorroga No 2 del CTO 357 de 2024 - Realizar el mantenimiento predictivo, preventivo, correctivo, mejoras y dotación a las instalaciones de las dependencias de la Unidad Administrativa Especial Cuerpo Oficial de Bomberos de Bogotá D.C. - SGC</t>
  </si>
  <si>
    <t>Adición No. 1 y prorroga No. 3 al contrato 779 de 2024 que tiene como objeto “Adquisición de mobiliario para la dotación de las instalaciones de la UAE cuerpo oficial de bomberos Bogotá- SGC."</t>
  </si>
  <si>
    <t>Adición y prorroga 1 al contrato 683 de 2024 cuyo objeto obedece al Mantenimiento preventivo y correctivo, adquisición de repuestos y el suministro e instalación de los equipos gasodomésticos y solares y adecuaciones de las redes de gas natural para las Estaciones de Bomberos de UAE Cuerpo Oficial de Bomberos SGC</t>
  </si>
  <si>
    <t>56101500;
56101700;
56101900;
56111500</t>
  </si>
  <si>
    <t>40102000;
72121400;
72101500;
72151700;
73152100
;95121700;
40101800; 48101500;</t>
  </si>
  <si>
    <t>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t>
  </si>
  <si>
    <t>Prestar servicios de asesoría jurídica especializada en la estructuración, seguimiento y revisión de  las acciones, actividades, procesos contractuales y procedimientos asociados al proceso de manejo a cargo de la Subdirección Operativa.</t>
  </si>
  <si>
    <t>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t>
  </si>
  <si>
    <t>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t>
  </si>
  <si>
    <t>Prestación de servicios de apoyo para desarrollar y mantener las condiciones básicas de bienestar de los caninos y de  animales rescatados o recuperados que atiende el grupo BRAE a Cargo de la Subdirección Operativa </t>
  </si>
  <si>
    <t>Adquisición de elementos de protección personal (E.P.P.) para la atención de emergencias de la UAE Cuerpo Oficial de Bomberos de Bogotá</t>
  </si>
  <si>
    <t>Pago pasivo del contrato 149 de 2020 cuyo objeto es: "prestar servicios profesionales en el levantamiento de las necesidades funcionales de los usuarios, y en el análisis y documentación de los requerimientos técnicos para la mejora o construcción de sistemas de información de la entidad, observando los estándares de calidad establecidos, contrato de prestación de servicios 149 de 2020."</t>
  </si>
  <si>
    <t>Contratar el servicio de mantenimiento, soporte técnico y actualización del aplicativo PCT, utilizado por la UAE Cuerpo Oficial de Bomberos de Bogota - TIC</t>
  </si>
  <si>
    <t>SGH - Prestar sus servicios profesionales especializados, en materia de producción audiovisual e imágenes en movimiento, enfocados al fortalecimiento de la imagen y redes institucionales, que sean requeridas por la Subdirección de Gestión Humana</t>
  </si>
  <si>
    <t>SGH - Prestar servicios profesionales en la Subdirección de Gestión Humana en lo referente a la gestión financiera, presupuestal y análisis de las situaciones administrativas derivada del procedimiento de nómina de la entidad</t>
  </si>
  <si>
    <t>SGH - Adquisición de EPP - Elementos de protección personal  APH - Atención prehospitalaria  Y MANIQUIES para el desarrollo del entrenamiento y actividades propios de la Academia UAE Cuerpo Oficial de Bomberos de Bogotá</t>
  </si>
  <si>
    <t>Adicion y prorroga contrato  654 2024 cuyo objeto es "Suministrar repuestos, accesorios e insumos para los equipos menores y transversales de propiedad de la UAECOB. – SBLG",</t>
  </si>
  <si>
    <t xml:space="preserve">Prestación de servicios de apoyo a la gestión para realizar actividades documentales, administrativas relacionadas con los mantenimientos  del parque automotor de la UAECOB - Subdirección Logistica. SBLG </t>
  </si>
  <si>
    <t>ADICION Y PRORROGA CTO 791-2024 Contratar un servicio de acceso a la herramienta LMS E-learning, que permita el desarrollo de las capacitaciones virtuales programadas en la UAECOB._SGR</t>
  </si>
  <si>
    <t>43232300
43232500
43233700
86141500
81111800
81112500
86141700</t>
  </si>
  <si>
    <t>Adquisición de elementos de soporte  operacional  para la emergencia_SGR</t>
  </si>
  <si>
    <t>Prestar los servicios profesionales en el área de Tecnologías de la Información y las Comunicaciones de la U.A.E. Cuerpo Oficial de Bomberos Bogotá, realizando la gestión y administración de la infraestructura tecnológica de servidores, servicios de nube y componentes relacionados, con los que cuenta la entidad.</t>
  </si>
  <si>
    <t>Adición No. 7 y prórroga No. 8 al contrato 409 de 2021 que tiene como objeto "Prestar los servicios de Custodia, Consulta y Traslado Documental de Acuerdo a las especificaciones Técnicas y requisitos contemplados en la normatividad Archivística Vigente-SGC</t>
  </si>
  <si>
    <t>Adquisición de elementos de identificación institucional para el programa comunitario de prevención de incendios forestales_SGR.</t>
  </si>
  <si>
    <t>SGH - Prestar los servicios de  capacitación, formación y entrenamiento para los cursos instructor de fuego nivel II  - Proboard, para el personal operativo de la UAE Cuerpo Oficial de Bomberos  de Bogotá en el marco del PIC</t>
  </si>
  <si>
    <t xml:space="preserve"> 46201001; 42172201; 42171610; 42171612; 46181504; 46181537; 46201002; 42301502</t>
  </si>
  <si>
    <t xml:space="preserve"> </t>
  </si>
  <si>
    <t>Adcion y prroroga al contratro  696 de 2024. cuyo objeto es :"Prestar el servicio de mantenimiento preventivo y correctivo, de latonería y pintura, incluyendo el suministro de repuestos, insumos y mano de obra especializada para los vehículos livianos pertenecientes al parque automotor de la UAE Cuerpo Oficial de Bomberos de Bogotá DC, "</t>
  </si>
  <si>
    <t>Adición  del Cto 557 de 2024 cuyo objeto "Prestación de servicios médicos veterinarios, con suministro de medicamentos e insumos veterinarios, para los caninos de la U.A.E. Cuerpo Oficial de Bomberos de Bogotá - SBLG</t>
  </si>
  <si>
    <t>46191506;46191601</t>
  </si>
  <si>
    <t>Suministro de insumos para lavandería-SGC</t>
  </si>
  <si>
    <t>Pago pasivo del contrato 420 de 2022 cuyo objeto es: "prestar servicios profesionales para apoyar a la Oficina Asesora de Planeación en la formulación, seguimiento y control presupuestal y estratégico de los proyectos de inversión de la Entidad.-OAP, CONTRATO DE PRESTACION DE SERVICIOS PROFESIONALES 420 DE 2022."</t>
  </si>
  <si>
    <t>Pago pasivo del contrato 270 de 2022 cuyo objeto es: "Adición y prórroga al Contrato 270 de 2022 cuyo objeto es "Prestar servicios profesionales en la Oficina Asesora de Planeación para liderar el fortalecimiento y cumplimiento de la Gestión Estratégica y la mejora continua en la entidad -OAP-", Otro Si No. 02 de 2022."</t>
  </si>
  <si>
    <t>Pago pasivo del contrato 271 de 2023 cuyo objeto es: "Prestar servicios profesionales en la Oficina Asesora de Planeación de la UAE Cuerpo Oficial de Bomberos de Bogotá en el control y seguimiento del cumplimiento al Modelo Integrado de Planeación y Gestión - MIPG-OAP, CONTRATO DE PRESTACION DE SERVICIOS PROFESIONALES"</t>
  </si>
  <si>
    <t>Prestar servicios de apoyo asistencial a la Oficina Asesora de Planeación en la gestión de actividades operativas, procesos institucionales y herramientas de gestión, contribuyendo al fortalecimiento de la planeación estratégica y a la articulación de los lineamientos del Modelo Integrado de Planeación y Gestión – MIPG.</t>
  </si>
  <si>
    <t xml:space="preserve">
Pago pasivo del contrato 406 de 2020 cuyo objeto es: "prestar servicios profesionales a la Oficina Asesora de Planeación, en el marco de los procesos y procedimientos que adelanta la dependencia, contrato de prestación de servicios 406 de 2020."</t>
  </si>
  <si>
    <t>Adición y prórroga al contrato 61 de 2025 cuyo objeto es: "Prestar los servicios profesionales jurídicos especializados en la Oficina Jurídica que garantice la verificación de la legalidad, en apoyo a cada una de las actuaciones a cargo de esta Oficina".</t>
  </si>
  <si>
    <t>Aunar esfuerzos técnicos administrativos y financieros entre la Unidad Administrativa Especial Cuerpo Oficial de Bomberos y la Corporación Red Nacional Académica de Tecnología Avanzada RENATA para el fortalecimiento y modernización de la infraestructura tecnológica de la Unidad.  </t>
  </si>
  <si>
    <t>81111500; 81111900; 81112200; 43232400; 43231500</t>
  </si>
  <si>
    <t>Adquisición de un certificado digital servidor seguro SSL para múltiples subdominios y aplicaciones para los sistemas misionales de la UAE cuerpo oficial de bomberos de Bogotá</t>
  </si>
  <si>
    <t>Adicion y Prorrga Contrato  801 de 2024.cuyo objeto es "Contratar el mantenimiento y recarga de los extintores y otros elementos pertinentes a la U.A.E.Cuerpo Oficial de Bomberos de Bogotá. - SBLG"</t>
  </si>
  <si>
    <t>60121200
60121000
60121500
60121600</t>
  </si>
  <si>
    <t>53121502
24112411
24112412
24112401
24112902</t>
  </si>
  <si>
    <t>53103100
53102500</t>
  </si>
  <si>
    <t xml:space="preserve"> Reconocimiento pasivo exigible contrato de prestación servicios No 117 de 2022 suscrito con ANGIE TATIANA GAMBA WILCHES, para prestación de servicios profesionales en la implementación, consolidación, seguimiento y reporte de los lineamientos ambientales en cada una de las sedes de la UAE Cuerpo Oficial de Bomberos Bogotá-SGC. Reconoce $513.333 según cuenta de cobro del 03 febrero del 2025. Resolución 0161 de 2025. </t>
  </si>
  <si>
    <t xml:space="preserve"> Reconocimiento y pago pasivo exigible contrato de prestación servicios No 342 de 2022 suscrito con PEDRO MARTIN POVEDA CHOCONTA, para Prestación de servicios profesionales a la Subdirección de Gestión Corporativa para apoyar las actividades jurídicas requeridas por esta dependencia-SGC. Reconoce $1´100.000 según cuenta de cobro del 06 febrero del 2025. Resolución 0161 de 2025. </t>
  </si>
  <si>
    <t xml:space="preserve"> Reconocimiento y pago pasivo exigible contrato de Obra No 568 de 2022 suscrito con BERMORI GRANADA VALENCIA, para realizar la adecuación y mejoramiento de las instalaciones de las estaciones de Bomberos de la UAE Cuerpo oficial de Bomberos Bogotá-SGC, (Grupo 1). Reconoce el valor de $80´100.864 según factura No. BGV1 118 del 24 de octubre de 2024. Resolución 0161 de 2025.</t>
  </si>
  <si>
    <t xml:space="preserve"> Reconocimiento y pago pasivo exigible contrato de mantenimiento No 472 de 2018 suscrito con ESTRUVIAS LTDA, para reparación locativa y mantenimiento del área de la piscina de la Estación de Bomberos de Kennedy. Reconoce el valor de $35´774.826 según factura No. 1042 del 27 de diciembre de 2019. Resolución 0161 de 2025. </t>
  </si>
  <si>
    <t xml:space="preserve"> Reconocimiento y pago pasivo exigible contrato de prestación servicios No 28 de 2022 suscrito con RAUL LIZANDRO MARTINEZ SILVA, para prestación de servicios de apoyo a la gestión, en la Subdirección de Gestión Corporativa en temas de infraestructura para el sostenimiento y mejoramiento de los equipamientos de la Unidad Administrativa Especial Cuerpo Oficial de Bomberos de Bogotá-SGC. Reconoce $2´450.000 según cuenta de cobro del 07 febrero del 2025. Resolución 0161 de 2025.</t>
  </si>
  <si>
    <t xml:space="preserve"> Reconocimiento y pago pasivo exigible contrato de consultoría No 510 de 2022 suscrito con MC ARQUITECTOS SA, para la elaboración de estudios y diseños técnicos para la construcción de la estación de bomberos de Caobos Salazar B-13 de la UAE Cuerpo Oficial de Bomberos de Bogotá – SGC. Reconoce el valor de $95´749.143 según factura No. M1FE148 del 10 de diciembre de 2024. Resolución 0161 de 2025. </t>
  </si>
  <si>
    <t xml:space="preserve"> Reconocimiento y pago pasivo exigible contrato de interventoría No 587 de 2022 suscrito con PROYECTOS Y CONSULTORIAS ORION SAS, para realizar la interventoría técnica, administrativa, legal, financiera, contable, seguridad y salud en el trabajo, social y ambiental del contrato con objeto "realizar la adecuación y mejoramiento de las instalaciones de las estaciones de Bomberos de la UAE Cuerpo oficial de Bomberos Bogotá"-SGC. Reconoce el valor de $10´284.691 según factura No. ORL1-1014 del 14 de mayo de 2024. Resolución 0161 de 2025. </t>
  </si>
  <si>
    <t xml:space="preserve"> Reconocimiento y pago pasivo exigible contrato de Mantenimiento No 304 de 2021 suscrito con ASCENSORES SCHINDLER DE COLOMBIA SAS, para el mantenimiento correctivo y preventivo con suministro de repuestos para los Ascensores Edificio Comando. -SGC. Reconoce el valor de $1´732.849 según factura No. 9170281111 del 08 de marzo de 2022. Resolución 0161 de 2025. </t>
  </si>
  <si>
    <t>Seleccionar propuesta para contratar con una o varias compañías de seguros legalmente autorizadas para funcionar en el país, los seguros patrimoniales, generales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</si>
  <si>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Adquisición de banderas con astas y accesorios para las sedes UAECOB-SGC</t>
  </si>
  <si>
    <t>Contratar la renovación , servicio de actualización y soporte de licenciamiento Oracle para Base de Datos,  y Web Logic para la U.A.E. Cuerpo Oficial de Bomberos de Bogotá - TIC</t>
  </si>
  <si>
    <t>Pago pasivo del contrato No. 614 de 2020 Adición y prorroga cuyo objeto es "Prestar servicios profesionales en el levantamiento de las necesidades funcionales de lo susuarios, y en el análisis y documentación de los requerimientos técnicos para la mejora o construcción de sistemas de información de la entidad, observando los estándares de calidad establecidos, Otro Si No.01 de 2020."</t>
  </si>
  <si>
    <t>81112204;81112501</t>
  </si>
  <si>
    <t>Adición y prorróga al contrato No. 785 de 2024 cuyo objeto es "	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t>
  </si>
  <si>
    <t>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t>
  </si>
  <si>
    <t>Adición y prórroga al contrato 164 de 2025 cuyo objeto es: "Prestar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</si>
  <si>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Adición y prórroga al contrato 40 de 2025 cuyo objeto es: "Prestar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</si>
  <si>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Prestar servicios como conductor a la UAECOB, para facilitar el transporte de recurso humano y demás que le sean indicados en la Dirección General en concordancia al marco de sus funciones.</t>
  </si>
  <si>
    <t>46181500;
46181600</t>
  </si>
  <si>
    <t>Prestación de servicios de apoyo a la gestión para ejecutar actividades administrativas y asistenciales, así como el diligenciamiento y seguimiento de las solicitudes en las herramientas de gestión de los procedimientos a cargo de la subdirección operativa -s.o.</t>
  </si>
  <si>
    <t>Adición y prórroga  Contrato  374-2024 cuyo objeto es:   "Prestación del servicio de mantenimiento preventivo y correctivo de los equipos de respiración autónoma Interspiro propiedad de la UAECOB, incluido el suministro de repuestos, insumos y mano de obra especializada"</t>
  </si>
  <si>
    <t>Adicion y prorroga Contrato 580 de 2024 Cuyo objeto es: "Suministro de alimentacion e hidratación para el cuerpo operativo en la atención  de emergencias, entrenamientos, capacitaciones y actividades de prevención. - SBLG"</t>
  </si>
  <si>
    <t>Adición y prórroga  Contrato  394-2024 cuyo objeto es: "Prestar el servicio de instalación, alineación, balanceo y conexos, incluyendo el suministro de llantas a los vehículos del parque automotor de la U.A.E. Cuerpo Oficial de Bomberos de Bogotá - SBLG"</t>
  </si>
  <si>
    <t>Suministro de alimentación e hidratación para el cuerpo operativo en la atención de emergencias, entrenamientos, capacitaciones y actividades de prevención.-SBLG </t>
  </si>
  <si>
    <t xml:space="preserve">72101511, 40151604, 40151691, 81101800 </t>
  </si>
  <si>
    <t>72102900; 
72121400; 
72151700;
72154000;
72101500</t>
  </si>
  <si>
    <t>80101600;
81101500; 
72101500; 
72121400</t>
  </si>
  <si>
    <t>Mantenimiento preventivo y/o correctivo, suministros y repuestos de los equipos gasodomésticos y solares y adecuaciones de las redes de gas natural para las Estaciones de Bomberos de UAE Cuerpo Oficial de Bomberos SGC</t>
  </si>
  <si>
    <t>72151001;
72101503;
72101504; 72101506; 72153208; 72154019;
72154059;
73152106</t>
  </si>
  <si>
    <t>Mantenimiento preventivo y/o correctivo, suministros y repuestos de los electrodomésticos de las instalaciones a cargo de la UAE Cuerpo Oficial de Bomberos Bogotá-SGC</t>
  </si>
  <si>
    <t>72151802;</t>
  </si>
  <si>
    <t>Prestar los servicios profesionales para el acompañamiento y el seguimiento de los comodatos y demás actividades relacionadas con los procesos y procedimientos de inventarios de la Subdireccion de Gestión Corporativa-SGC</t>
  </si>
  <si>
    <t>Mantenimiento correctivo y preventivo con suministro de repuestos para los Ascensores Edificio Comando-SGC</t>
  </si>
  <si>
    <t xml:space="preserve"> Reconocimiento y pago pasivo exigible contrato de Mantenimiento No 304 de 2022 suscrito con  MITSUBISHI ELECTRIC DE COLOMBIA LTDA, para el mantenimiento ascensor nueva Estación de Bomberos de Fontibón-SGCReconoce el valor de $ 737.336 según factura No. T46259572 del 03 de abril de 2025. </t>
  </si>
  <si>
    <t xml:space="preserve"> Reconocimiento y pago pasivo exigible contrato de Mantenimiento No 395 de 2022 suscrito con ASCENSORES SCHINDLER DE COLOMBIA SAS,para el mantenimiento correctivo y preventivo con suministro de repuestos para los Ascensores Edificio Comando. -SGC. Reconoce el valor de $1´830.230 según factura No. 9170465436 del 25 de abril de 2025.</t>
  </si>
  <si>
    <t xml:space="preserve"> Reconocimiento y pago pasivo exigible contrato de Mantenimiento No 503 de 2023 suscrito con MITSUBISHI ELECTRIC DE COLOMBIA LTD, para el mantenimiento ascensor nueva Estación de Bomberos de Fontibón-SG. Reconoce el valor de $855.310 según factura No. T46255479 del 06 de marzo de 2025</t>
  </si>
  <si>
    <t>Prestar los servicios profesionales en las actividades asociadas del área de infraestructura que contribuyan para la implementación de procesos y procedimientos para la adecuada prestación del servicio-SGC.</t>
  </si>
  <si>
    <t>46161707,46191605, 46191609, 27111604, 46191603, 30191501, 46161715</t>
  </si>
  <si>
    <t>SGH - Suministro de elementos para la adecuación de escenarios prácticos y simulados para cursos especializados, entrenamiento misional, capacitación en el puesto de trabajo para el personal operativo y administrativo de la Unidad Administrativa Especial Cuerpo Oficial de Bomberos, en el marco de los programas de capacitación, formación y entrenamiento</t>
  </si>
  <si>
    <t>SGH - Prestar servicios profesionales para apoyar al equipo líder de la Escuela de Formación Bomberil – Academia, en los procesos y procedimientos administrativos, operativos y pedagógicos que le sean asignados.</t>
  </si>
  <si>
    <t>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t>
  </si>
  <si>
    <t>Prestar servicios profesionales en el levantamiento y procesamiento de cargas laborales en el instrumento dispuesto por la UAE Cuerpo Oficial de Bomberos de Bogotá D.C., que incida en el fortalecimiento de los programas de formación.</t>
  </si>
  <si>
    <t>Prestar servicios profesionales en el levantamiento y procesamiento de cargas laborales en el instrumento dispuesto por la UAE Cuerpo Oficial de Bomberos de Bogotá D.C., que incida en el fortalecimiento de los programas de formación</t>
  </si>
  <si>
    <t>Adición y prórroga Cto. 54 cuyo objeto es: "Prestar los servicios profesionales jurídicos para apoyar las actividades propias de la gestión contractual que adelanta la UAE Cuerpo Oficial de Bomberos"</t>
  </si>
  <si>
    <t>Adición y prórroga Cto. 197  cuyo objeto es: "Prestar los servicios profesionales en la administración, actualización, desarrollo y mantenimiento del Sistema Integrado de Administración de Personal - SIAP para la U.A.E. Cuerpo Oficial de Bomberos Bogotá".</t>
  </si>
  <si>
    <t>Adición y prórroga Cto. 339 cuyo objeto es: "Prestar los servicios profesionales en la estructuración, sustanciación, revisión y trámite de los procesos de contratación y gestión jurídica en el marco de los procesos y procedimientos a cargo de la dirección de la U.A.E. Cuerpo Oficial de Bomberos"</t>
  </si>
  <si>
    <t>Adquisición, actualización y configuración de la plataforma de comunicaciones de Voz IP compatible con la solución actual con la que cuenta la entidad.</t>
  </si>
  <si>
    <t>43191500
43221500
43222800
81161700
72151600</t>
  </si>
  <si>
    <t>Contratar el servicios de mantenimiento para el sistema de atención de turnos de la U.A.E. Cuerpo Ofical de Bomberos de Bogotá - TIC</t>
  </si>
  <si>
    <t>32131023;39121011;43232300</t>
  </si>
  <si>
    <t>Contratar la modernización integral  tecnológica, soporte y mantenimiento preventivo y correctivo con repuestos, para los sistemas de video vigilancia de la U.A.E. Cuerpo Oficial de Bomberos de Bogotá - TIC.</t>
  </si>
  <si>
    <t>Elaboración de estudios y diseños técnicos para la adecuación de la estación de bomberos de Chapinero B-01  de la UAE Cuerpo Oficial de Bomberos de Bogotá – SGC</t>
  </si>
  <si>
    <t>Interventoría técnica, administrativa, financiera, contable, jurídica y ambiental para la elaboración de estudios y diseños técnicos para la adecuación de la estación de Bomberos de Chapinero B-01 de la UAE Cuerpo Oficial de Bomberos de Bogotá – SGC</t>
  </si>
  <si>
    <t>SGH -Prestar servicios profesionales para realizar una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t>
  </si>
  <si>
    <t>Adición y prórroga del Contrato 284-2025 cuyo objeto es: "Prestar servicios profesionales jurídicos para apoyar la instrucción y demás actuaciones que deban surtirse en los procesos disciplinarios adelantados por la Oficina de Control Disciplinario Interno."</t>
  </si>
  <si>
    <t>Adición y prórroga del Contrato 295-2025 cuyo objeto es: "Prestar servicios profesionales para ejercer las labores de secretaría común y actividades jurídicas que requieren las actuaciones disciplinarias en etapa de instrucción adelantadas por la Oficina de Control Disciplinario Interno."</t>
  </si>
  <si>
    <t>SGH - Prestación de servicios profesionales para acompañar a la Subdirección de Gestión Humana en la construcción, diseño, validación y socialización de la propuesta de actualización, ajuste o modificación del modelo de operación por procesos, que incluya también el proceso de fortalecimiento institucional y los relacionados con los programas de formación y capacitación, a partir del diagnóstico realizado por la UAE Cuerpo Oficial de Bomberos de Bogota y realizar la alineación con la estructura propuesta.</t>
  </si>
  <si>
    <t>SGH - Prestar servicios profesionales para realizar una propuesta de reorganización de planta de personal y de manuales específicos de funciones y competencias laborales, que contemple el fortalecimiento de los programas de formación y capacitación, a partir de los resultados de diagnóstico realizados por la UAE Cuerpo Oficial de Bomberos de Bogotá y del análisis funcional de los empleos existentes y de las dependencias.</t>
  </si>
  <si>
    <t>SGH - Prestar servicios profesionales juridicos para desarrollar actividades en la Subdireccion de Gestion Humana y el area de academia, que contemple el fortalecimiento de los programas de formación y capacitación de la UAE Cuerpo Oficial de Bomberos de Bogotá</t>
  </si>
  <si>
    <t>SGH - Prestar los servicios de apoyo a la gestión en la Subdireccion de Gestión Humana de la UAE Cuerpo Oficial de Bomberos de Bogotá, en el proceso de ausentismo, recobro de incapacidades y los subprocesos directamente relacionados, así como, apoyar en la elaboración y el desarrollo del proyecto de educación y formación financiera en cabeza de la subdirección, dirigido al personal operativo y administrativo de la entidad.</t>
  </si>
  <si>
    <t>SGH - Prestación de servicios de apoyo a la gestión para acompañar a la Subdirección de Gestión Humana y a la Academia de la UAE Cuerpo Oficial de Bomberos de Bogotá D.C., en la proyección y elaboración de actas técnicas de las sesiones llevadas a cabo, tales como, la comisión de personal, consejo académico relacionado con los temas de formación y capacitación del personal administrativo y operativo, entre otros. en los que la dependencia ejerza la secretaria técnica y los procesos académicos lo ameriten.</t>
  </si>
  <si>
    <t>Adición y prórroga al contrato 262 de 2025, cuyo objeto es SGH - Prestar servicios profesionales juridicos para desarrollar actividades en la Subdireccion de Gestion Humana y el area de academia.</t>
  </si>
  <si>
    <t>Adicion y prorroga contrato 079-2024 cuyo objeto es: "Suministrar combustible para los vehículos, y equipos especializados de la U.A.E. Cuerpo Oficial de Bomberos Bogotá dentro y fuera del perímetro del distrito capital de la  - SBLG"</t>
  </si>
  <si>
    <t>Adicion y prorroga contrato 502-2024 cuyo objeto es: "Proveer el suministro de elementos de bioseguridad e insumos médicos básicos y otros para la atención de emergencias. - SBLG"</t>
  </si>
  <si>
    <t>46161600;72101509;73152108;46191600</t>
  </si>
  <si>
    <t>Contratar los seguros obligatorios "SOAT" para el parque automotor de propiedad de la Unidad Administrativa Especial Cuerpo Oficial de Bomberos Bogotá D.C y de aquellos por los cuales fuere legalmente responsable-SGC</t>
  </si>
  <si>
    <t xml:space="preserve"> Adición No. 2 y Prorroga No 3 del CTO 357 de 2024 cuyo objeto es "Realizar el mantenimiento predictivo, preventivo, correctivo, mejoras y dotación a las instalaciones de las dependencias de la Unidad Administrativa Especial Cuerpo Oficial de Bomberos de Bogotá D.C. - SGC</t>
  </si>
  <si>
    <t xml:space="preserve"> Adición No. 2 y Prorroga No 3 del 379 de 2024 - Interventoría técnica, administrativa, financiera, contable, jurídica y ambiental para la realización del mantenimiento predictivo preventivo, correctivo, mejoras y dotación a las instalaciones de las dependencias de la Unidad Administrativa Especial Cuerpo Oficial de Bomberos de Bogotá D.C. - SGC</t>
  </si>
  <si>
    <t>Adquisición, implementación, configuración y soporte de una solución Cloud, enfocada en la protección, recuperación y continuidad operativa de la infraestructura de servidores físicos y virtuales de la entidad, mediante servicios especializados de backup en la nube, recuperación ante desastres (DRP), gestión de vulnerabilidades y seguridad avanzada.</t>
  </si>
  <si>
    <t>43232309; 43233416
43232915; 43233203
43233204; 43233405
43233403; 43233415; 81112201; 81112203; 43233205; 43231500; 43231501; 81111802; 81111808; 81111812; 43233400; 43232907</t>
  </si>
  <si>
    <t>Brindar apoyo en temas propios de gestión documental y de soporte administrativo que se requieran en las actividades desplegadas por la Oficina Jurídica en etapa de juzgamiento de los procesos disciplinarios a cargo</t>
  </si>
  <si>
    <t>Prestar los servicios profesionales jurídicos para apoyar las actuaciones procesales y procedimentales de la Oficina Jurídica</t>
  </si>
  <si>
    <t>SGH- Prestación de servicios profesionales para apoyar a la Subdirección Gestión Humana, en los trámites relacionados con la información financiera, contable y presupuestal que sirvan como base para la toma de decisiones dentro del marco normativo y administrativo de las etapas precontractuales, contractuales y postcontractuales de los procesos a cargo de la subdirección.</t>
  </si>
  <si>
    <t>Adición y prórroga del Contrato 056-2025 cuyo objeto es: Prestar servicios profesionales jurídicos especializados en la Oficina de Control Disciplinario Interno de la entidad para orientar y apoyar la gestión de los procesos disciplinarios en etapa de instrucción.</t>
  </si>
  <si>
    <t>Adición y prórroga del Contrato 088-2025 cuyo objeto es: Prestar los servicios profesionales jurídicos especializados en la Oficina de Control Disciplinario Interno de la entidad relacionados con los procesos disciplinarios que se deban tramitar en esa dependencia en etapa de instrucción.</t>
  </si>
  <si>
    <t>Adición y prórroga del Contrato 032-2025 cuyo objeto es: Prestar servicios profesionales jurídicos en la Oficina de Control Disciplinario Interno de la entidad para apoyar la gestión de los procesos contractuales, administrativos, y las actuaciones disciplinarias que deban susrtirse en etapa de instrucción.</t>
  </si>
  <si>
    <t>Adición y prórroga del Contrato 101-2025 cuyo objeto es: Prestación de servicios de apoyo técnico a la gestión a la Oficina de Control Disciplinario Interno de la UAECOB para el cumplimiento de las funciones asignadas a esta dependencia, especialmente en las que requieran tareas de carácter administrativo</t>
  </si>
  <si>
    <t>Prestar servicios profesionales para apoyar la gestión jurídica y el desarrollo de actividades relacionadas con las funciones de la subdirección de gestión del riesgo_SGR</t>
  </si>
  <si>
    <t>70122002; 70122005; 70122006; 70122007; 70122008; 70122009; 70122010; 10110000; 42120000;70122001.</t>
  </si>
  <si>
    <t>46182005; 46171613; 72101509.</t>
  </si>
  <si>
    <t>10121801; 10121802; 10121804</t>
  </si>
  <si>
    <t>90101800;90101600;50192700;50112000;50202311;50201709;50161509;50192110;93131602; 50161500; 50192100; 50181900; 50101700.</t>
  </si>
  <si>
    <t>ADICIÓN Y PRÓRROGA AL CPS 277-2025  CUYO OBJETO ES: prestación de servicios como apoyo para gestionar y ejecutar las actividades que dan soporte al proceso de comunicaciones en emergencias, del centro de coordinación y comunicaciones (c.c.c.) a cargo de la subdirección operativa. s.o.</t>
  </si>
  <si>
    <t>ADICIÓN Y PRÓRROGA AL CPS 300-2025  CUYO OBJETO ES: prestación de servicios para dar el apoyo y realizar  la gestión administrativa requerida  en la estación de bomberos asignada y a cargo de la subdirección operativa  s.o.</t>
  </si>
  <si>
    <t>ADICIÓN Y PRÓRROGA AL CPS 301-2025  CUYO OBJETO ES: prestación de servicios para dar el apoyo y realizar  la gestión administrativa requerida  en la estación de bomberos asignada y a cargo de la subdirección operativa  s.o.</t>
  </si>
  <si>
    <t>ADICIÓN Y PRÓRROGA AL CPS 303-2025  CUYO OBJETO ES: prestación de servicios como apoyo para gestionar y ejecutar las actividades que dan soporte al proceso de comunicaciones en emergencias, del centro de coordinación y comunicaciones (c.c.c.) a cargo de la subdirección operativa. s.o.</t>
  </si>
  <si>
    <t>ADICIÓN Y PRÓRROGA AL CPS 305-2025  CUYO OBJETO ES: prestación de servicios como apoyo para gestionar y ejecutar las actividades que dan soporte al proceso de comunicaciones en emergencias, del centro de coordinación y comunicaciones (c.c.c.) a cargo de la subdirección operativa. s.o.</t>
  </si>
  <si>
    <t>ADICIÓN Y PRÓRROGA AL CPS 312-2025  CUYO OBJETO ES: prestación de servicios para dar el apoyo y realizar  la gestión administrativa requerida  en la estación de bomberos asignada y a cargo de la subdirección operativa  s.o.</t>
  </si>
  <si>
    <t>Prestación de servicios profesionales para  apoyar jurídicamente los  proyectos, procesos y procedimientos a cargo de la Subdirección Operativa-S.O.</t>
  </si>
  <si>
    <t>80111600H47:S48H47:U48</t>
  </si>
  <si>
    <t>UTILIZACIÓN LISTA DE ELEGIBLES CNSC PARA PROVISIÓN DE VACANTES</t>
  </si>
  <si>
    <t>Prestación de servicios profesionales para estructurar, definir y verificar en los aspectos técnicos de los diferentes procesos de contratación de bienes y servicios de la Subdirección Operativa en las etapas precontractual, contractual y postcontractual.</t>
  </si>
  <si>
    <t>Adición y prórroga No. 1 al contrato 112 de 2025  que tiene como objeto "Contratar la prestación del servicio de aseo y cafetería incluido insumos para la UAE Cuerpo Oficial de Bomberos -SGC"</t>
  </si>
  <si>
    <t xml:space="preserve"> Reconocimiento y pago Pasivo Exigible contrato de interventoría No 586 de 2022 suscrito con GORDILLO &amp; ASOCIADOS SAS, cuyo objeto es interventoría técnica, administrativa, financiera, contable, jurídica, SST y ambiental para realizar la adecuación y mejoramiento de las instalaciones de la UAE Cuerpo oficial de Bomberos de Bogotá-SGC. Reconoce el valor de $12´461.974 según factura No. GA 190 14 de enero de2025. Resolución 1409 de 2025.</t>
  </si>
  <si>
    <t xml:space="preserve"> Reconocimiento y pago Pasivo Exigible contrato de consultoría No 537 de 2022 suscrito con SOLUCIONES INTEGRALES DE INGENIERIA SA, cuyo objetoes interventoría técnica, administrativa, financiera, contable, jurídicay ambiental para la elaboración de estudios y diseños técnicos para la construcción de la estación de Bomberos de Caobos Salazar B-13 de la UAECuerpo Oficial de Bomberos de Bogotá – SGC. Reconoce el valor de $19´812.726 según factura No. SODI350 del 10 de diciembre de 2024. Resolución 1409 de 2025.</t>
  </si>
  <si>
    <t xml:space="preserve"> Reconocimiento y pago Pasivo Exigible contrato de consultoría No 564 de 2021 suscrito con INTER OBRAS GR SAS cuyo objeto  Mantenimiento y/o rehabilitación de sala de máquinas y área de acceso de las instalaciones de la UAE Cuerpo Oficial de Bomberos de Bogotá.-SGC</t>
  </si>
  <si>
    <t xml:space="preserve"> Reconocimiento y pago Pasivo Exigible contrato de consultoría No 566 de 2023 suscrito con CIDMAS S.A.S cuyo objeto  Mantenimiento preventivo y correctivo de la red contraincendios y sistemas de detección de alarmas contra incendios de las instalaciones de la UAECuerpo Oficial de Bomberos Bogotá SGC</t>
  </si>
  <si>
    <t>Reconocimiento y pago Pasivo Exigible contrato de prestación servicios No 147 de 2023 suscrito con EDUAR GIOVANNI MORA FORERO, cuyo objeto es prestación de servicios de apoyo a la gestión, en la Subdirección de Gestión Corporativa en temas de infraestructura para el sostenimiento y mejoramiento de los equipamientos de la Unidad Administrativa Especial Cuerpo Oficial de Bomberos de Bogotá-SGC. Reconoce $735.000 según cuentade cobro del 07 mayo del 2025. Resolución 1409 de 2025.</t>
  </si>
  <si>
    <t>Reconocimiento y pago Pasivo Exigible contrato de prestación servicios No 314 de 2022 suscrito con CARLOS ARTURO DIAZ DOMINGUEZ, cuyo objeto esprestación de servicios de apoyo a la gestión, en la Subdirección de Gestión Corporativa en temas de infraestructura para el sostenimiento y mejoramiento de los equipamientos de la Unidad Administrativa Especial Cuerpo Oficial de Bomberos de Bogotá-SGC. Reconoce $1´306.667 según cuenta de cobro del 02 abril del 2025. Resolución 1409 de 2025.</t>
  </si>
  <si>
    <t>Reconocimiento y pago Pasivo Exigible contrato de prestación servicios No 516 de 2022 suscrito con UVALDINA ESTER CABRERA CASTRO, cuyo objeto es prestación de servicios profesionales especializados para apoyar las actividades técnicas del Área de Infraestructura de la Subdirección de Gestión Corporativa-SGC. Reconoce $1´460.000 según cuenta de cobro del 01 abril del 2025. Resolución 1409 de 2025.</t>
  </si>
  <si>
    <t>Reconocimiento y pago Pasivo Exigible contrato de prestación servicios No 28 de 2022 suscrito con RAUL LIZANDRO MARTINEZ SILVA, cuyo objeto es prestación de servicios de apoyo a la gestión, en la Subdirección de Gestión Corporativa en temas de infraestructura para el sostenimiento y mejoramiento de los equipamientos de la Unidad Administrativa Especial Cuerpo Oficial de Bomberos de Bogotá-SGC. Reconoce $2´041.667 según cuenta de cobro del 01 abril del 2025. Resolución 1409 de 2025.</t>
  </si>
  <si>
    <t>Reconocimiento y pago Pasivo Exigible contrato de prestación servicios No 525 de 2022 suscrito con JOHANNA ANDREA MUNAR VELANDIA, cuyo objeto es 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Reconoce $4´583.333 según cuenta de cobro del 02 mayo del 2025. Resolución 1409 de 2025.</t>
  </si>
  <si>
    <t>Adición y prórroga al contrato 001 de 2025 cuyo objeto es: Prestación de servicios de apoyo en el desarrollo de las actividades encaminadas al control de la documentación de acuerdo a los lineamientos de las políticas de planeación institucional y gestión documental en el marco del Modelo Integrado de Planeación y Gestión MIPG.</t>
  </si>
  <si>
    <t>Prestación de servicios profesionales en el desarrollo de las actividades que se designen encaminadas a la implementación del sistema de gestión de la calidad y como apoyo en la implementación de las políticas que se desginen del Modelo Integrado de Planeación y Gestión MIPG.</t>
  </si>
  <si>
    <t>Prestación de servicios profesionales para el desarrollo de las actividades asignadas de acuerdo con el plan de trabajo de la implementación del Sistema de Gestión de la Calidaden el marco del Modelo Integrado de Planeación y Gestión (MIPG)</t>
  </si>
  <si>
    <t>Prestar servicios de apoyo a la gestión para la ejecución de actividades asistenciales, administrativas y de gestión documental que se requieran en la implementación del sistema de gestión de la calidad.</t>
  </si>
  <si>
    <t>Adición y prórroga al contrato 119 de 2025 cuyo objeto es: 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t>
  </si>
  <si>
    <t>Adición y prórroga al contrato 232 de 2025 cuyo objeto es:  Prestación de servicios profesionales para la implementación de la metodología de la administración de los riesgos institucionales, asi como las actividades que se designen encaminadas a la implementación de las políticas del Modelo Integrado de Planeación y Gestión  MIPG.</t>
  </si>
  <si>
    <t>Adición y prórroga al contrato 251 de 2025 cuyo objeto es: Prestación de servicios profesionales en el desarrollo de las actividades que se designen para el seguimiento del plan de mejoramiento de la Oficina Asesora de Planeación, así como la implementación de las políticas del Modelo Integrado de Planeación y Gestión MIPG.</t>
  </si>
  <si>
    <t>Adición y prórroga al contrato 234 de 2025 cuyo objeto es: Prestar servicios asistenciales en el desarrollo de actividades relacionadas con la gestión administrativa en la Oficina Asesora de Planeación de la Unidad Administrativa Especial Cuerpo Oficial de Bomberos de Bogotá.</t>
  </si>
  <si>
    <t>Adición y prórroga al Contrato 072 de 2025 con objeto "Prestación de servicios de profesionales a la gestión en la Dirección para el acompañamiento en las labores administrativas en asuntos de Comunicaciones y Prensa de la UAECOB"</t>
  </si>
  <si>
    <t>Adquisicion de las lavadoras y secadoras industriales para las instalaciones de la UAE Cuerpo Oficial de Bomberos de Bogotá-SGC</t>
  </si>
  <si>
    <t>Adquisicion de equipos gasodomésticos y solares para las instalaciones de la UAE Cuerpo Oficial de Bomberos -SGC</t>
  </si>
  <si>
    <t>Adquisicion de equipos electrodomésticos para las instalaciones de la UAE Cuerpo Oficial de Bomberos- SGC</t>
  </si>
  <si>
    <t>Adquisicion de equipos de gimnasio para las instalaciones de la UAE Cuerpo Oficial de Bomberos- SGC</t>
  </si>
  <si>
    <t>Adquisición de elementos para el fortalecimiento de la imagen institucional y la identidad visual de la UAECOB-SGC</t>
  </si>
  <si>
    <t>Adquisición de Estanteria proceso de Gestión Documental UAECOB-SGC</t>
  </si>
  <si>
    <t>Adición y prórroga No.1 al contrato 492 de 2025 que tiene por objeto" Prestar el servicio de vigilancia y seguridad privada en la modalidad de vigilancia fija, según especificaciones técnicas, en las instalaciones donde la UAE Especial Cuerpo Oficial de Bomberos requiera-SGC"</t>
  </si>
  <si>
    <t>24121807;
47121709;
55121704;
55121705;
55121718</t>
  </si>
  <si>
    <t>48101500; 40101800; 40102000</t>
  </si>
  <si>
    <t>49201501; 49201503; 49201516; 
 49201604</t>
  </si>
  <si>
    <t>24102000;</t>
  </si>
  <si>
    <t>8173 11-Gestionar el 100% de las necesidades de bienes y servicios a la infraestructura en funcionamiento</t>
  </si>
  <si>
    <t>O2320201003063694012 Recipientes de material plástico-canecas para la basura</t>
  </si>
  <si>
    <t>O2320201002072719002 Estandartes y banderas</t>
  </si>
  <si>
    <t>O2320201003023262002 Carteles y avisos</t>
  </si>
  <si>
    <t>O2320101004010102 Muebles del tipo utilizado en la oficina</t>
  </si>
  <si>
    <t>O2320201003073722102 Utensilios de loza para mesa y la cocina</t>
  </si>
  <si>
    <t xml:space="preserve"> Reconocimiento y pago Pasivo Exigible contrato de interventoría No 510 de 2022 suscrito con MC ARQUITECTOS S A, cuyo objeto es Elaboración de estudios y diseños técnicos para la construcción de la estación de bomberos de Caobos Salazar B-13 de la UAE Cuerpo Oficial de Bomberos de Bogotá – SGC</t>
  </si>
  <si>
    <t xml:space="preserve">adicion y prorroga al contrato No. 10 de 2025, cuyo objeto es: ¨Prestación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 </t>
  </si>
  <si>
    <t>Mantenimiento correctivo y preventivo de los equipos menores con suministro, repuestos, accesorios e insumos de propiedad de la UAECOB. – SBLG </t>
  </si>
  <si>
    <t>Adicion y prorroga CTO  71-2025 "Prestar servicios de apoyo administrativos apoyando a la Subdirección de Gestión del Riesgo con lo relacionado al seguimiento y control de sus solicitudes y peticiones._SGR</t>
  </si>
  <si>
    <t>Adicion y prorroga CTO  179-2025  Prestar sus servicios profesionales en las actividades relacionadas con la emision de conceptos a cargo de la Subdirección de Gestión del Riesgo._SGR</t>
  </si>
  <si>
    <t>Adicion y prorroga CTO  145-2025 Prestar servicios profesionales en las actividades de identificacion de escenarios a cargo de la Subdirección de Gestión del Riesgo._SGR</t>
  </si>
  <si>
    <t>Adicion  y prorroga CTO 496-2025 Adquisición de elementos de identificación institucional para el programa comunitario de prevención de incendios forestales_SGR.</t>
  </si>
  <si>
    <t>Adicion y Prorroga Cto 96 -2025 Prestar servicios profesionales en las actividades de identificacion de escenarios a cargo de la Subdirección de Gestión del Riesgo._SGR</t>
  </si>
  <si>
    <t>Adicion  y prorroga CTO 788-2024 Adquisición de elementos de identificación institucional para el personal de la UAECOB _SGR.</t>
  </si>
  <si>
    <t>Adicion y prorroga CTO 177-2025  Prestar servicios profesionales en las actividades de identificacion de escenarios a cargo de la Subdirección de Gestión del Riesgo._SGR</t>
  </si>
  <si>
    <t>Adicion y prorroga CTO 74-2025 prestar servicios profesionales liderando las actividades de caracterización de escenarios y monitoreo de gestión del riesgo.SGR</t>
  </si>
  <si>
    <t>Adicion y prorroga CTO  114-2025 Prestar sus servicios profesionales en las actividades relacionadas con la emision de conceptos a cargo de la Subdirección de Gestión del Riesgo._SGR</t>
  </si>
  <si>
    <t>Adicion y prorroga Cto 108-2025 Prestar servicios profesionales para realizar las actividdaes relacionadas con la emision de conceptos a cargo de la Subdirección de Gestión del Riesgo._SGR</t>
  </si>
  <si>
    <t>Adicion y prorroga  CTO  169-2025 Prestar servicios profesionales en las actividades de Programas y Campañas de Prevención para la Subdirección de Gestión del Riesgo._SGR</t>
  </si>
  <si>
    <t>11000000
53101800
53101802
53101804</t>
  </si>
  <si>
    <r>
      <t>Interventoría técnica, admini</t>
    </r>
    <r>
      <rPr>
        <b/>
        <sz val="11"/>
        <rFont val="Tahoma"/>
        <family val="2"/>
      </rPr>
      <t>s</t>
    </r>
    <r>
      <rPr>
        <sz val="11"/>
        <rFont val="Tahoma"/>
        <family val="2"/>
      </rPr>
      <t>trativa, financiera, contable, jurídica y ambiental para la elaboración de estudios y diseños técnicos para la construcción de la estación de Bomberos de Puente Aranda B-4 de la UAE Cuerpo Oficial de Bomberos de Bogotá – SGC</t>
    </r>
  </si>
  <si>
    <t>Adición y prórroga al contrato 144 de 2025 cuyo objeto es: Prestación de servicios profesionales en el desarrollo de las actividades relacionadas con la formulación, actualización y seguimiento de los proyectos de inversión asignados, así como la consolidación y reporte de los indicadores PMR, en las herramientas dispuestas por la entidad, en el marco de la política de la Gestión presupuestal y eficiencia del gasto público del Modelo Integrado de Planeación y Gestión  MIPG.</t>
  </si>
  <si>
    <t>ADICIÓN Y PRÓRROGA AL CPS 328-2025 cuyo objeto es: prestación de servicios para dar el apoyo y realizar la gestión administrativa requerida en la estación de bomberos asignada y a cargo de la subdirección operativa s.o.</t>
  </si>
  <si>
    <t>ADICIÓN Y PRÓRROGA AL CPS 345-2025 cuyo objeto es: prestación de servicios para dar el apoyo y realizar la gestión administrativa requerida en la estación de bomberos asignada y a cargo de la subdirección operativa s.o.</t>
  </si>
  <si>
    <t>ADICIÓN Y PRÓRROGA AL CPS 350-2025 cuyo objeto es: prestación de servicios para dar el apoyo y realizar la gestión administrativa requerida en la estación de bomberos asignada y a cargo de la subdirección operativa s.o.</t>
  </si>
  <si>
    <t>ADICIÓN Y PRÓRROGA AL CPS 395-2025 cuyo objeto es: prestación de servicios para dar el apoyo y realizar la gestión administrativa requerida en la estación de bomberos asignada y a cargo de la subdirección operativa s.o.</t>
  </si>
  <si>
    <t>ADICIÓN Y PRÓRROGA AL CPS 419-2025 cuyo objeto es: prestación de servicios para dar el apoyo y realizar la gestión administrativa requerida en la estación de bomberos asignada y a cargo de la subdirección operativa s.o.</t>
  </si>
  <si>
    <t>ADICIÓN Y PRÓRROGA AL CPS 423-2025 cuyo objeto es: prestación de servicios para dar el apoyo y realizar la gestión administrativa requerida en la estación de bomberos asignada y a cargo de la subdirección operativa s.o.</t>
  </si>
  <si>
    <t>ADICIÓN Y PRÓRROGA AL CPS 425-2025 cuyo objeto es: Prestación de servicios para dar el apoyo y realizar la gestión administrativa requerida en la estación de bomberos asignada y a cargo de la subdirección operativa s.o.</t>
  </si>
  <si>
    <t>ADICIÓN Y PRÓRROGA AL CPS 364-2025 cuyo objeto es: Prestación de servicios para apoyar la gestión administrativa y documental requerida a cargo de la Subdirección Operativa S.O.</t>
  </si>
  <si>
    <t>ADICIÓN Y PRÓRROGA AL CPS 401-2025 cuyo objeto es: prestación de servicios para dar el apoyo y realizar la gestión administrativa requerida en la estación de bomberos asignada y a cargo de la subdirección operativa s.o.</t>
  </si>
  <si>
    <t>ADICIÓN Y PRÓRROGA AL CPS 461-2025 cuyo objeto es: prestación de servicios para dar el apoyo y realizar la gestión administrativa requerida en la estación de bomberos asignada y a cargo de la subdirección operativa s.o.</t>
  </si>
  <si>
    <t>ADICIÓN Y PRÓRROGA AL CPS 115-2025 cuyo objeto es: prestación de servicios profesionales para proyectar las solicitudes dirigidas a autoridades administrativas, respuestas a pqr s, derechos de petición, requerimientos efectuados por los entes de control y autoridades administrativas o que lleguen por los diferentes canales de atención de la entidad, en el marco de los procesos y procedimientos a cargo de la dependencia  s.o.</t>
  </si>
  <si>
    <t>ADICIÓN Y PRÓRROGA AL CPS 191-2025 cuyo objeto es: prestación de servicios de apoyo para desarrollar y mantener las condiciones básicas de bienestar de los caninos y de animales rescatados o recuperados que atiende el grupo brae a cargo de la subdirección operativa s.o.</t>
  </si>
  <si>
    <t>ADICIÓN Y PRÓRROGA AL CPS 221-2025 cuyo objeto es: prestación de servicios profesionales para estructurar, definir y verificar en los aspectos técnicos de los diferentes procesos de contratación de bienes y servicios de la subdirección operativa en las etapas precontractual, contractual y postcontractual-s.o.</t>
  </si>
  <si>
    <t>ADICIÓN Y PRÓRROGA AL CPS 236-2025 cuyo objeto es: prestación de servicios de apoyo para ejecutar las actividades administrativas, de gestión , trámite, seguimiento y verificación de solicitudes recibidas en el canal de comunicación de gestión operativa. - s.o.</t>
  </si>
  <si>
    <t>ADICIÓN Y PRÓRROGA AL CPS 256-2025 cuyo objeto es: prestar servicios profesionales para apoyar jurídicamente en la sustanciación, revisión y trámite de solicitudes dirigidas a autoridades administrativas, respuestas a pqrs, derechos de petición y requerimientos que efectúen los entes de control, así como realizar la gestión y desarrollo de todas las etapas precontractuales y contractuales correspondientes a la celebración de convenios, comodatos, memorandos de entendimiento y demás procesos de selección de la subdirección operativa s.o.</t>
  </si>
  <si>
    <t>ADICIÓN Y PRÓRROGA AL CPS 307-2025 cuyo objeto es: prestación de servicios profesionales para ejecutar las actividades misionales en la elaboración, diseño y diagramación de piezas requeridas para los planes, programas, proyectos y procedimientos- s.o.</t>
  </si>
  <si>
    <t xml:space="preserve">ADICIÓN Y PRÓRROGA AL CPS 488-2025 cuyo objeto es: Prestación de servicios de apoyo para desarrollar y mantener las condiciones básicas de bienestar de los caninos y de  animales rescatados o recuperados que atiende el grupo BRAE a Cargo de la Subdirección Operativa </t>
  </si>
  <si>
    <t>ADICIÓN Y PRÓRROGA AL CPS 320-2025  CUYO OBJETO ES: prestación de servicios para dar el apoyo y realizar  la gestión administrativa requerida  en la estación de bomberos asignada y a cargo de la subdirección operativa  s.o.</t>
  </si>
  <si>
    <t>Adición y prorroga cto 238-2025 "Prestar servicios profesionales para la gestión de la SGR, estructurando el seguimiento de los procesos contractuales y seguimiento de los proyectos de inversión de la UAECOB._SGR"</t>
  </si>
  <si>
    <t>Adición y prorroga cto 418-2025 "prestar servicios profesionales para las actividades de la Subdireccion de Gestion del Riesgo relacionadas con la gestion de los aspectos tecnologicos e informaticos._SGR"</t>
  </si>
  <si>
    <t>Adición y prorroga cto 273-2025 Prestar servicios de apoyo a la gestión como conductor en la Subdirección de Gestión del Riesgo._SGR</t>
  </si>
  <si>
    <t>Adición y prorroga cto  84-2025 Prestar  servicios profesionales en las actividades de proyeccion e innovacion para la Subdirección de Gestión del Riesgo._SGR</t>
  </si>
  <si>
    <t>Adición y prorroga cto   344-2025  Prestar servicios profesionales en las actividades de monitoreo del riesgo para la Subdirección de Gestión del Riesgo._SGR</t>
  </si>
  <si>
    <t>Adición y prorroga cto  341-2025 Prestar  servicios profesionales en las actividades de proyeccion e innovacion para la Subdirección de Gestión del Riesgo._SGR</t>
  </si>
  <si>
    <t>Adición y prorroga cto 206-2025  Prestar sus servicios profesionales en las actividades relacionadas con la emision de conceptos a cargo de la Subdirección de Gestión del Riesgo._SGR</t>
  </si>
  <si>
    <t>Adición y prorroga cto 335-2025 Prestar sus servicios de apoyo tecnico para realizar las inspecciones relacionadas con la emision de conceptos a cargo de la Subdirección de Gestión del Riesgo._SGR</t>
  </si>
  <si>
    <t>Adición y prorroga cto 365-2025 Prestar servicios profesionales en las actividades de monitoreo del riesgo para la Subdirección de Gestión del Riesgo._SGR</t>
  </si>
  <si>
    <t>Adición y prorroga cto 299-2025 Prestar servicios de apoyo a la gestion en las actividades de monitoreo del riesgo para la Subdirección de Gestión del Riesgo._SGR</t>
  </si>
  <si>
    <t>Adición y prorroga cto  433-2025 Prestar servicios profesionales en las actividades de monitoreo del riesgo para la Subdirección de Gestión del Riesgo._SGR</t>
  </si>
  <si>
    <t>Adición y prorroga cto  204-2025  Prestar servicios de apoyo en las actividades de Programas y Campañas de Prevención para la Subdirección de Gestión del Riesgo._SGR</t>
  </si>
  <si>
    <t>Adición y prorroga cto 192-2025 Prestar servicios profesionales para la gestión de la SGR, en su compomente técnico, administrativo y análisis financiero._SGR.</t>
  </si>
  <si>
    <t>Adición y prorroga ct 37-2025 Prestar sus servicios profesionales en las actividades relacionadas con la emision de conceptos a cargo de la Subdirección de Gestión del Riesgo._SGR</t>
  </si>
  <si>
    <t>Adición y prorroga ct 185-2025 Prestar sus servicios profesionales en las actividades relacionadas con la emision de conceptos a cargo de la Subdirección de Gestión del Riesgo._SGR</t>
  </si>
  <si>
    <t xml:space="preserve"> Adición y prorroga ct 76-2025 Prestar sus servicios de apoyo tecnico para realizar las inspecciones relacionadas con la emision de conceptos a cargo de la Subdirección de Gestión del Riesgo._SGR</t>
  </si>
  <si>
    <t xml:space="preserve"> Adición y prorroga ct 21 -2025 Prestar sus servicios de apoyo tecnico para realizar las inspecciones relacionadas con la emision de conceptos a cargo de la Subdirección de Gestión del Riesgo._SGR</t>
  </si>
  <si>
    <t xml:space="preserve"> Adición y prorroga ct 33 -2025 Prestar sus servicios de apoyo tecnico para realizar las inspecciones relacionadas con la emision de conceptos a cargo de la Subdirección de Gestión del Riesgo._SGR</t>
  </si>
  <si>
    <t xml:space="preserve"> Adición y prorroga ct 22 -2025 Prestar sus servicios de apoyo tecnico para realizar las inspecciones relacionadas con la emision de conceptos a cargo de la Subdirección de Gestión del Riesgo._SGR</t>
  </si>
  <si>
    <t xml:space="preserve"> Adición y prorroga ct 43 -2025 Prestar sus servicios de apoyo tecnico para realizar las inspecciones relacionadas con la emision de conceptos a cargo de la Subdirección de Gestión del Riesgo._SGR</t>
  </si>
  <si>
    <t xml:space="preserve">  Adición y prorroga ct 304 -2025 Prestar sus servicios de apoyo tecnico para realizar las inspecciones relacionadas con la emision de conceptos a cargo de la Subdirección de Gestión del Riesgo._SGR</t>
  </si>
  <si>
    <t xml:space="preserve">  Adición y prorroga ct 188 -2025Prestar sus servicios de apoyo tecnico para realizar las inspecciones relacionadas con la emision de conceptos a cargo de la Subdirección de Gestión del Riesgo._SGR</t>
  </si>
  <si>
    <t xml:space="preserve">  Adición y prorroga ct 283 -2025 Prestar sus servicios de apoyo tecnico para realizar las inspecciones relacionadas con la emision de conceptos a cargo de la Subdirección de Gestión del Riesgo._SGR</t>
  </si>
  <si>
    <t xml:space="preserve">  Adición y prorroga ct 381 -2025 Prestar servicios profesionales en los procesos de formacion y capacitacion de la subdirección de gestión del riesgo._SGR</t>
  </si>
  <si>
    <t xml:space="preserve">  Adición y prorroga ct 142-2025 Prestar servicios profesionales para la gestión de la SGR, estructurando el seguimiento de los procesos contractuales y demás aspectos jurídicos._SGR</t>
  </si>
  <si>
    <t xml:space="preserve">  Adición y prorroga ct 140-2025 Prestar servicios profesionales para el seguimiento de los componentes administrativo, técnico y financiero de la subdireccíon de Gestión del Riesgo. SGR</t>
  </si>
  <si>
    <t>Adición y prorroga cto 158-2025  " Prestar servicios profesionales a la Subdirección de Gestión del Riesgo liderando las actividades del proceso de inspecciones técnicas del Riesgo._SGR"</t>
  </si>
  <si>
    <t xml:space="preserve">Adicion y prorroga del Contrato 324 2025 cuyo objeto es  "Prestar servicios de apoyo en asuntos administrativos, financieros, documentales y emisión de informes a cargo de la Subdireccion Logística-SBLG".  </t>
  </si>
  <si>
    <t xml:space="preserve">Adicion y prorroga del Contrato 475 2025 cuyo objeto es: "Prestar servicios profesionales para el seguimiento y gestión de las actividades establecidas en los planes de acción y estratégicos; así como, de los procesos de planeación y administrativos propios de Subdirección Logística - SBLG". </t>
  </si>
  <si>
    <t>Adicion y prorroga del Contrato 102 2025 cuyo objeto es: "Prestación de servicios profesionales en la proyección y seguimiento de las etapas precontractual, contractual y postcontractual que desarrolle la Subdirección Logística en el ámbito de su competencia.- SBLG"</t>
  </si>
  <si>
    <t>Adicion y prorroga del Contrato 302 2025 cuyo objeto es: "Prestación de servicios profesionales, para apoyar la estructuración y seguimiento de los asuntos contractuales y jurídicos que requiera la Subdirección Logística en el ámbito de su competencia.- SBLG".</t>
  </si>
  <si>
    <t>Adicion y prorroga del Contrato 282 2025 cuyo objeto es: "Prestación de servicios profesionales para realizar el seguimiento y monitoreo a los diferentes procesos y procedimientos del equipo menor a cargo de la Subdirección Logística -  - SBLG".</t>
  </si>
  <si>
    <t>Adicion y prorroga del Contrato 159 2025 cuyo objeto es: "Prestar servicios profesionales para el seguimiento y control logístico en la cadena de suministros e insumos en la atención de emergencias garantizando la entrega de los bienes y servicios de la Subdirección Logística. SBLG"</t>
  </si>
  <si>
    <t>Prestar servicios profesionales  en las actividades de Programas y Campañas de Prevención para la Subdirección de Gestión del Riesgo. _SGR</t>
  </si>
  <si>
    <t>Adición No. 8 y prórroga No.10 al contrato 409 de 2021 que tiene como objeto "Prestar los servicios de Custodia, Consulta y Traslado Documental de Acuerdo a las especificaciones Técnicas y requisitos contemplados en la normatividad Archivística Vigente-SGC</t>
  </si>
  <si>
    <t>78131800;
80101500;
80101600;
80161500;
81111900;
81112000</t>
  </si>
  <si>
    <t>Adición No.1 al contrato 483 de 2025 que tiene por objeto "Suministro de materiales, equipos y herramientas para el mejoramiento integral de las instalaciones de la UAE Cuerpo Oficial de Bomberos -SGC</t>
  </si>
  <si>
    <t>23131500;
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t>
  </si>
  <si>
    <t>Adición No. 1 y prórroga No. 2 al contrato 396 de 2024 que tiene por objeto" Prestar los servicios de mantenimiento y suministro de insumos de las piscinas ubicadas en las Estaciones de Bomberos de Kennedy "Alejandro Lince" B5 y B4 Puente Aranda - BRAE, como escenario para el acondicionamiento físico, entrenamiento del personal y canino del Cuerpo Oficial de Bomberos de Bogotá para el cumplimiento de su misionalidad-SGC.</t>
  </si>
  <si>
    <t>Adición y prórroga al contrato 237-2025 con objeto "Prestar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t>
  </si>
  <si>
    <t>Adición y prórroga al contrato 209-2025 con objeto "Prestar servicios de apoyo a la gestión en asuntos de comunicaciones y prensa para realizar labores de diseño y diagramación de productos editoriales de la UAECOB"</t>
  </si>
  <si>
    <t>Prestar servicios profesionales para apoyar la planeación y gestión de las  estrategias de reducción y/o conocimiento del riesgo  para la Subdirección de Gestión del Riesgo._SGR</t>
  </si>
  <si>
    <t>13-Servicios para la planeación y sistemas de gestión y comunicación estratégica</t>
  </si>
  <si>
    <t>019_Documentos de planeación</t>
  </si>
  <si>
    <t>Adición y prórroga al contrato 167 de 2025, cuyo objeto es SGH - Prestar servicios profesionales a la Subdirección de Gestión Humana para el fortalecimiento y seguimiento del proceso de la escuela de formación bomberil y su relacionamiento con el sistema de seguridad y salud en el trabajo</t>
  </si>
  <si>
    <t>Adición y prórroga al contrato 110 de 2025, SGH - Prestar sus servicios profesionales en la Subdirección de Gestión Humana, en los procesos contractuales y demás actividades relacionadas con la Subdirección de Gestión Humana</t>
  </si>
  <si>
    <t>Adición y prórroga al contrato 263 de 2025, SGH - Prestar servicios profesionales para apoyar el programa de desórdenes musculo esqueléticos de la UAE Cuerpo Oficial de Bomberos de Bogotá.</t>
  </si>
  <si>
    <t>Adición y prórroga al contrato 162 de 2025, SGH - Prestar sus servicios profesionales en la Subdirección de Gestión Humana, en la administración de sistema de seguridad y salud en el trabajo</t>
  </si>
  <si>
    <t>Adición y prórroga al contrato 078 de 2025, SGH - Prestar servicios profesionales especializados para desarrollar actividades jurídicas en atención a los distintos requerimientos de la Subdirección de Gestión Humana.</t>
  </si>
  <si>
    <t>Adición y prórroga al contrato 093 de 2025, SGH - Prestar servicios profesionales para apoyar el programa de vigilancia epidemiológico al riesgo psicosocial y actividades de seguridad y salud en el trabajo en la Subdirección de Gestión Humana.</t>
  </si>
  <si>
    <t>Adición y prórroga al contrato 086 de 2025, 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t>
  </si>
  <si>
    <t>Adición y prórroga al contrato 107 de 2025, SGH - Prestar sus servicios profesionales en la gestión contractual y presupuestal de la Subdirección de Gestión Humana de la UAE Cuerpo Oficial de Bomberos.</t>
  </si>
  <si>
    <t xml:space="preserve">SGH - Prestar los servicios de capacitación, formación y entrenamiento para el curso especializado de Buzo de Seguridad Pública, dirigido al personal operativo de la UAE Cuerpo Oficial de Bomberos de Bogotá, con el fin de fortalecer las competencias necesarias para el desarrollo de los procesos misionales de la Entidad. </t>
  </si>
  <si>
    <t>SGH- Reconocimiento y pago pasivo exigible contrato No 592 de 2022 Suscrito con ROBINSON LUIS CASARRUBIA CARDONA, cuyo objeto es SGH - prestar sus servicios profesionales para la construcción y ejecución de proyectos estratégicos en la Subdirección de Gestión Humana de la UAE Cuerpo Oficial de Bomberos de Bogotá D.C.</t>
  </si>
  <si>
    <t>Prestación de servicios para realizar la gestión administrativa requerida en la estación de bomberos asignada, en apoyo al desarrollo de  la meta de renovación de equipos, herramientas, accesorios y elementos de protección personal para la UAECOB  a cargo de la Subdirección Operativa-S.O.</t>
  </si>
  <si>
    <t>Prestación de servicios  para gestionar y ejecutar las actividades que dan soporte al proceso de comunicaciones en emergencias, del centro de coordinación y comunicaciones (c.c.c.) y en apoyo al desarrollo  de la meta de renovación de equipos, herramientas, accesorios y elementos de protección personal para la UAECOB  a cargo de la Subdirección Operativa-S.O.</t>
  </si>
  <si>
    <t>Prestación de servicios profesionales para la elaboración de informes o documentos técnicos, infografías, reportes y consolidación de indicadores relacionados con los procesos, procedimientos, contratos y en desarrollo  de la meta de renovación de equipos, herramientas, accesorios y elementos de protección personal para la UAECOB  a cargo de la Subdirección Operativa-S.O.</t>
  </si>
  <si>
    <t>43233200; 72151700;  43233200; 81112200; 72151700; 45121600</t>
  </si>
  <si>
    <t>Adición y prórroga No. 1 al contrato No. 098 de 2025 que tiene como objeto "Prestación de servicios de apoyo a la gestión en la ejecución de los planes y programas de servicio al ciudadano a cargo de la Subdirección de Gestión Corporativa.-SGC</t>
  </si>
  <si>
    <t>Adición y prórroga No. 1 al contrato No. 314 de 2025 que tiene como objeto "Prestación de servicios profesionales para articular la gestión en la ejecución de los planes y programas de servicio al ciudadano a cargo de la Subdirección de Gestión Corporativa-SGC</t>
  </si>
  <si>
    <t>Adición y prórroga No. 1 al contrato No. 153 de 2025 que tiene como objeto "Prestación de servicios de apoyo a la gestión en la ejecución de los planes y programas de servicio al ciudadano a cargo de la Subdirección de Gestión Corporativa.-SGC</t>
  </si>
  <si>
    <t>Adición y prórroga No. 1 al contrato No. 035 de 2025 que tiene como objeto "Prestación de servicios de apoyo a la gestión en la ejecución de los planes y programas de servicio al ciudadano a cargo de la Subdirección de Gestión Corporativa.-SGC</t>
  </si>
  <si>
    <t>Adición y prórroga No. 1 al contrato No. 100 de 2025 que tiene como objeto "Prestación de servicios de apoyo a la gestión en la ejecución de los planes y programas de servicio al ciudadano a cargo de la Subdirección de Gestión Corporativa. -SGC</t>
  </si>
  <si>
    <t>Adición y prórroga No. 1 al contrato No. 327 de 2025 que tiene como objeto " Prestación de servicios de apoyo a la gestión en la ejecución de los planes y programas de servicio al ciudadano a cargo de la Subdirección de Gestión Corporativa.-SGC</t>
  </si>
  <si>
    <t>Adición y prórroga No. 1 al contrato No. 171 de 2025 que tiene como objeto " Prestación de servicios de apoyo a la gestión en la ejecución de los planes y programas de servicio al ciudadano a cargo de la Subdirección de Gestión Corporativa. -SGC</t>
  </si>
  <si>
    <t>Adición y prórroga No. 1 al contrato No. 028 de 2025 que tiene como objeto "Prestación de servicios profesionales en la Subdirección de Gestión Corporativa adelantando las actividades necesarias para la ejecución del programa y los procesos de seguros de la Entidad-SGC</t>
  </si>
  <si>
    <t>Adición y prórroga No. 1 al contrato No. 343 de 2025 que tiene como objeto " Prestación de servicios de apoyo en la gestión de seguros de la Subdirección de Gestión Corporativa. –SGC</t>
  </si>
  <si>
    <t>Adición y prórroga No. 1 al contrato No. 252 de 2025 que tiene como objeto " Prestación de servicios profesionales para apoyar a la Subdirección de Gestión Corporativa aplicando los procesos y procedimientos de seguros e inventarios -SGC</t>
  </si>
  <si>
    <t>Adición y prórroga No. 1 al contrato No. 239 de 2025 que tiene como objeto " Prestación de servicios de apoyo a la gestión de seguros de la Subdirección de Gestión Corporativa. –SGC</t>
  </si>
  <si>
    <t>Adición y prórroga No. 1 al contrato No. 174 de 2025 que tiene como objeto "Prestación de servicios profesionales en la Subdirección de Gestión Corporativa en las actividades relacionadas con MIPG-SGC</t>
  </si>
  <si>
    <t>Adición y prórroga No. 1 al contrato No. 371 de 2025 que tiene como objeto " Prestar servicios profesionales para realizar acompañamiento jurídico en la elaboración de los procesos contractuales adelantados por la Subdirección Gestión Corporativa - SGC</t>
  </si>
  <si>
    <t>Adición y prórroga No. 1 al contrato No. 243 de 2025 que tiene como objeto " Prestación de servicios de apoyo a la gestión del proceso de inventarios de la Subdirección de Gestión Corporativa.-SGC</t>
  </si>
  <si>
    <t>Adición y prórroga No. 1 al contrato No. 265 de 2025 que tiene como objeto " Prestación de servicios de apoyo a la gestión del proceso de inventarios de la Subdirección de Gestión Corporativa.-SGC</t>
  </si>
  <si>
    <t>Adición y prórroga No. 1 al contrato No. 315 de 2025 que tiene como objeto " Prestación de servicios de apoyo a la gestión del proceso de inventarios de la Subdirección de Gestión Corporativa.-SGC</t>
  </si>
  <si>
    <t>Adición y prórroga No. 1 al contrato No. 124 de 2025 que tiene como objeto "Prestación de servicios de apoyo a la gestión del proceso de inventarios de la Subdirección de Gestión Corporativa.-SGC</t>
  </si>
  <si>
    <t>Adición y prórroga No. 1 al contrato No. 099 de 2025 que tiene como objeto "Prestar servicios profesionales en la Subdirección de Gestión Corporativa en lo relacionado con los procesos de inventarios, almacén y bajas-SGC</t>
  </si>
  <si>
    <t>Adición y prórroga No. 1 al contrato No. 189 de 2025 que tiene como objeto " Prestar servicios profesionales para desarrollar e implementar sistemas de información, brindar soporte, mantenimiento y generar interoperabilidad en la Subdirección de Gestión Corporativa -SGC</t>
  </si>
  <si>
    <t>Adición y prórroga No. 1 al contrato No. 212 de 2025 que tiene como objeto " Prestación de servicios profesionales para la ejecución de los procesos contables que se desarrollan en el Área Financiera de la UAE Cuerpo Oficial de Bomberos asignados.-SGC</t>
  </si>
  <si>
    <t>Adición y prórroga No. 1 al contrato No. 215 de 2025 que tiene como objeto " Prestación de servicios de apoyo a la gestión documental de la Subdirección de Gestión Corporativa de la Unidad.-SGC</t>
  </si>
  <si>
    <t>Adición y prórroga No. 1 al contrato No. 176 de 2025 que tiene como objeto " Prestación de servicios de apoyo a la gestión documental de la Subdirección de Gestión Corporativa de la Unidad.-SGC</t>
  </si>
  <si>
    <t>Adición y prórroga No. 1 al contrato No. 007 de 2025 que tiene como objeto "Prestación de servicios de apoyo a la gestión documental de la Subdirección de Gestión Corporativa de la Unidad.-SGC</t>
  </si>
  <si>
    <t>Adición y prórroga No. 1 al contrato No. 087 de 2025 que tiene como objeto "Prestación de servicios de apoyo a la gestión documental de la Subdirección de Gestión Corporativa de la Unidad.-SGC</t>
  </si>
  <si>
    <t>Adición y prórroga No. 1 al contrato No. 193 de 2025 que tiene como objeto " Prestación de servicios profesionales para la implementación, consolidación, seguimiento y reporte de los lineamientos ambientales establecidos en el Programa de Información y Gestión Ambiental (PIGA) en cada una de las sedes de la UAE Cuerpo Oficial de Bomberos Bogotá-SGC</t>
  </si>
  <si>
    <t>Adición y prórroga No. 1 al contrato No. 333 de 2025 que tiene como objeto " Prestación de servicios profesionales para la implementación, consolidación, seguimiento y reporte de los lineamientos ambientales en cada una de las sedes de la entidad, con énfasis en los equipos de trabajo de la Subdirección de Gestión Corporativa (SGC), incluyendo el desarrollo y ejecución del programa PIGA de comunicación, formación y sensibilización ambiental</t>
  </si>
  <si>
    <t>Adición y prórroga No. 1 al contrato No. 170 de 2025 que tiene como objeto " Prestación de servicios profesionales para la implementación, seguimiento y reporte de los lineamientos ambientales en las sedes de la entidad, con énfasis en los equipos de la Subdirección de Gestión Corporativa (SGC), incluyendo el desarrollo y ejecución del programa de consumo sostenible, promoviendo prácticas responsables en el uso de recursos y su optimización</t>
  </si>
  <si>
    <t>Adición y prórroga No. 1 al contrato No. 288 de 2025 que tiene como objeto " Prestar los servicios profesionales para la gestión administrativa y operativa de la Subdirección de Gestión Corporativa en el proceso de adquisición de bienes y servicios - SGC</t>
  </si>
  <si>
    <t>Adición y prórroga No. 1 al contrato No. 260 de 2025 que tiene como objeto " Prestación de servicios de apoyo a la gestión en la Subdirección de Gestión Corporativa, en las actividades asociadas a los procesos y procedimientos del almacén de la Entidad.- SGC</t>
  </si>
  <si>
    <t>Adición y prórroga No. 1 al contrato No. 131 de 2025 que tiene como objeto " Prestar servicios profesionales en la Subdirección de Gestión Corporativa en el marco de las actividades administrativas de la Dependencia.-SGC</t>
  </si>
  <si>
    <t>Adición y prórroga No. 1 al contrato No. 357 de 2025 que tiene como objeto " Prestación de servicios profesionales, en temas jurídicos de la gestión administrativa a cargo de la Subdirección de Gestión Corporativa.- SGC</t>
  </si>
  <si>
    <t>Adición y prórroga No. 1 al contrato No. 151 de 2025 que tiene como objeto "Prestación de servicios profesionales para adelantar actividades técnicas y trámites administrativos del Área de Infraestructura de la Subdirección de Gestión Corporativa-SGC</t>
  </si>
  <si>
    <t>Adición y prórroga No. 1 al contrato No. 080 de 2025 que tiene como objeto "Prestación de servicios profesionales especializados para articular y revisar los procesos y procedimientos del área de infraestructura, así como en el apoyo a la supervisión de los contratos que le sean asignados-SGC</t>
  </si>
  <si>
    <t>Adición y prórroga No. 1 al contrato No. 085 de 2025 que tiene como objeto "Prestación de Servicios Profesionales para la formulación, seguimiento y ejecución de procesos presupuestales y financieros a cargo de la Subdirección de Gestión Corporativa-SGC</t>
  </si>
  <si>
    <t>Adición y prórroga No. 1 al contrato No. 166 de 2025 que tiene como objeto "Prestar servicios profesionales especializados para acompañar jurídicamente los procesos y procedimientos del área de infraestructura de la Subdirección de Gestión Corporativa. SGC</t>
  </si>
  <si>
    <t>Adición y prórroga No. 1 al contrato No. 332 de 2025 que tiene como objeto " Prestación de servicios profesionales para apoyar las actividades técnicas del Área de Infraestructura de la Subdirección de Gestión Corporativa-SGC</t>
  </si>
  <si>
    <t>Adición y prórroga No. 1 al contrato No. 366 de 2025 que tiene como objeto " Prestar los servicios como conductor de la Subdirección de Gestión Corporativa -SGC</t>
  </si>
  <si>
    <t>Adición y prórroga No. 1 al contrato No. 133 de 2025 que tiene como objeto "Prestación de servicios de apoyo a la gestión, en la Subdirección de Gestión Corporativa en temas de infraestructura para el sostenimiento y mejoramiento de los equipamientos de la Unidad Administrativa Especial Cuerpo Oficial de Bomberos de Bogotá-SGC</t>
  </si>
  <si>
    <t>Adición y prórroga No. 1 al contrato No. 015 de 2025 que tiene como objeto "Prestación de servicios profesionales al área Financiera de la Subdirección de Gestión Corporativa--SGC</t>
  </si>
  <si>
    <t>Adición y prórroga No. 1 al contrato No. 014 de 2025 que tiene como objeto "Prestación de servicios profesionales al área Financiera de la Subdirección de Gestión Corporativa--SGC</t>
  </si>
  <si>
    <t>Adición y prórroga No. 1 al contrato No. 041 de 2025 que tiene como objeto "Prestación de servicios de apoyo a la gestión del área Financiera de la Subdirección de Gestión Corporativa.-SGC</t>
  </si>
  <si>
    <t>Adición y prórroga No. 1 al contrato No. 225 de 2025 que tiene como objeto " Prestación de servicios profesionales para el seguimiento, ejecución de los procesos de gestión de pagos que se desarrollan en el área Financiera de la UAE Cuerpo Oficial de Bomberos asignados. -SGC</t>
  </si>
  <si>
    <t>Adición y prórroga No. 1 al contrato No. 358 de 2025 que tiene como objeto " Prestación de servicios profesionales especializados para apoyar las actividades de seguimiento técnico del Área de Infraestructura de la Subdirección de Gestión Corporativa-SGC</t>
  </si>
  <si>
    <t>Adición y prórroga No. 1 al contrato No. 311 de 2025 que tiene como objeto " Prestar servicios profesionales para realizar acompañamiento juridico en la elaboración de los procesos contractuales adelantados por la Subdirección Gestión Corporativa - SGC</t>
  </si>
  <si>
    <t>Adición y prórroga No. 1 al contrato No. 187 de 2025 que tiene como objeto " Prestación de servicios profesionales especializados para articular y revisar los procesos y procedimientos de la gestión administrativa a cargo de la Subdirección de Gestión Corporativa.- SGC</t>
  </si>
  <si>
    <t>Adición y prórroga No. 1 al contrato No. 228 de 2025 que tiene como objeto " Prestar los servicios profesionales especializados para acompañar las actividades jurídicas relacionadas con la gestión contractual en las etapas precontractual, contractual y postcontractual del área administrativa de la Subdirección de Gestión Corporativa -SGC</t>
  </si>
  <si>
    <t>Adición y prórroga No. 1 al contrato No. 376 de 2025 que tiene como objeto " Prestación de servicios de apoyo en las actividades asociadas a los procesos de almacén de la Subdirección de Gestión Corporativa SGC</t>
  </si>
  <si>
    <t>Adición y prórroga No. 1 al contrato No. 392 de 2025 que tiene como objeto " Prestación de servicios de apoyo a la gestión de los procesos contractuales en la plataforma SECOP II a cargo de la Subdirección de Gestión Corporativa-SGC</t>
  </si>
  <si>
    <t>Adición y prórroga No. 1 al contrato No. 443 de 2025 que tiene como objeto " Prestar los servicios profesionales de la gestión administrativa, así como la adquisición de bienes y servicios de la Subdirección de Gestión Corporativa SGC</t>
  </si>
  <si>
    <t>Adición y prórroga No. 1 al contrato No. 361 de 2025 que tiene como objeto " Prestación de servicios de apoyo a la gestión documental de la Subdirección de Gestión Corporativa de la Unidad.-SGC</t>
  </si>
  <si>
    <t>Adición y prórroga No. 1 al contrato No. 354 de 2025 que tiene como objeto " Prestación de servicios de apoyo a la gestión documental de la Subdirección de Gestión Corporativa de la Unidad.-SGC</t>
  </si>
  <si>
    <t>Adición y prórroga No. 1 al contrato No. 331 de 2025 que tiene como objeto " Prestación de servicios de apoyo técnico en la gestión documental de la Subdirección de Gestión Corporativa de la Unidad-SGC</t>
  </si>
  <si>
    <t>Adición y prórroga No. 1 al contrato No. 105 de 2025 que tiene como objeto "Prestación de servicios de apoyo a la gestión en la ejecución de los planes y programas de servicio al ciudadano a cargo de la Subdirección de Gestión Corporativa.-SGC</t>
  </si>
  <si>
    <t>Adición y prórroga No. 1 al contrato No. 355 de 2025 que tiene como objeto " Prestación de servicios de apoyo a la gestión en la ejecución de los planes y programas de servicio al ciudadano a cargo de la Subdirección de Gestión Corporativa.-SGC</t>
  </si>
  <si>
    <t>Adición y prórroga No. 1 al contrato No. 353 de 2025 que tiene como objeto " Prestación de servicios de apoyo a la gestión en la ejecución de los planes y programas de servicio al ciudadano a cargo de la Subdirección de Gestión Corporativa.-SGC</t>
  </si>
  <si>
    <t>Adición y prórroga No. 1 al contrato No. 195 de 2025 que tiene como objeto " Prestación de servicios de apoyo a la gestión en la ejecución de los planes y programas de servicio al ciudadano a cargo de la Subdirección de Gestión Corporativa.-SGC</t>
  </si>
  <si>
    <t>Adición y prórroga No. 1 al contrato No. 254 de 2025 que tiene como objeto " Prestación de servicios de apoyo a la gestión, en la Subdirección de Gestión Corporativa en temas de infraestructura para el sostenimiento y mejoramiento de los equipamientos de la Unidad Administrativa Especial Cuerpo Oficial de Bomberos de Bogotá-SGC</t>
  </si>
  <si>
    <t>Adición y prórroga No. 1 al contrato No. 143 de 2025 que tiene como objeto "Prestación de servicios de apoyo a la gestión, en la Subdirección de Gestión Corporativa en temas de infraestructura para el sostenimiento y mejoramiento de los equipamientos de la Unidad Administrativa Especial Cuerpo Oficial de Bomberos de Bogotá-SGC</t>
  </si>
  <si>
    <t>Adición y prórroga No. 1 al contrato No. 259 de 2025 que tiene como objeto " Prestación de servicios de apoyo a la gestión, en la Subdirección de Gestión Corporativa en temas de infraestructura para el sostenimiento y mejoramiento de los equipamientos de la Unidad Administrativa Especial Cuerpo Oficial de Bomberos de Bogotá-SGC</t>
  </si>
  <si>
    <t>Adición y prórroga No. 1 al contrato No. 224 de 2025 que tiene como objeto " Prestar los servicios profesionales para el acompañamiento y seguimiento de los planes y proyectos del área de inventarios de la Subdirección de Gestión Corporativa-SGC</t>
  </si>
  <si>
    <t>Adición y prórroga No. 1 al contrato No. 349 de 2025 que tiene como objeto " Prestar los servicios profesionales en el área de inventarios de la Subdirección de Gestión Corporativa-SGC</t>
  </si>
  <si>
    <t>Adición y prórroga No. 1 al contrato No. 442 de 2025 que tiene como objeto " Prestar los servicios profesionales para apoyar las actividades de trabajo social propias que contribuyan al desarrollo de la infraestructura requerida por la entidad para la adecuada prestación del servicio-SGC</t>
  </si>
  <si>
    <t>Adición y prórroga No. 1 al contrato No. 517 de 2025 que tiene como objeto " Prestar los servicios profesionales para el acompañamiento y el seguimiento de los comodatos y demás actividades relacionadas con los procesos y procedimientos de inventarios de la Subdirección de Gestión Corporativa-SGC</t>
  </si>
  <si>
    <t>Reconocimiento y pago Pasivo Exigible contrato de prestación servicios No 663 de 2020 suscrito con ANDRES FELIPE RODRIGUEZ SANDOVAL, cuyo objeto es Prestación de servicios de apoyo a la gestión, en la Subdirección deGestión Corporativa en temas de infraestructura, obras civiles, mejoramiento y sostenimiento de los equipamientos de la UnidadAdministrativa Especial Cuerpo Oficial de Bomberos de Bogotá</t>
  </si>
  <si>
    <t>Reconocimiento y pago Pasivo Exigible contrato de prestación servicios No 602 de 2022 suscrito con JONNATHAN ALBEIRO GONZALEZ HERRERA, cuyo objeto es Prestación de servicios de apoyo a la gestión para realizar actividades de tipo administrativo, en especial las relacionadas con las gestiones que se adelanten en temas de Infraestructura a cargo de la Subdirección de Gestión Corporativa - SGC</t>
  </si>
  <si>
    <t>Reconocimiento y pago Pasivo Exigible contrato de prestación servicios No 305 de 2023 suscrito con NORBERTO RICO GORDILLO , cuyo objeto es Prestar los servicios como conductor del área de infraestructura de la Subdirección de Gestión Corporativa-SGC</t>
  </si>
  <si>
    <t>Reconocimiento y pago Pasivo Exigible contrato de prestación servicios No 88 de 2022 suscrito con JUAN SEBASTIAN VELASCO SUAREZ , cuyo objeto es Prestar los servicios profesionales especializados para acompañar las actividades jurídicas relacionadas con la gestión contractual en las etapas precontractual, contractual y postcontractual del área administrativa de la Subdirección de Gestión Corporativa -SGC</t>
  </si>
  <si>
    <t xml:space="preserve"> Adición y prórroga No. 1 al contrato 052 de 2025 que tiene como objeto "Prestación de servicios profesionales para apoyar las actividades de estructuración de procesos contractuales del Área de Infraestructura de la Subdirección de Gestión Corporativa-SGC"</t>
  </si>
  <si>
    <t xml:space="preserve"> Adición y prórroga No. 1 al contrato 271  de 2025 que tiene como objeto "Prestación de servicios profesionales para apoyar las actividades de estructuración de procesos contractuales del Área de Infraestructura de la Subdirección de Gestión Corporativa-SGC"</t>
  </si>
  <si>
    <t xml:space="preserve"> Adición y prórroga No. 1 al contrato 135 de 2025 que tiene como objeto "Prestar servicios profesionales para realizar acompañamiento jurídico en la elaboración de los procesos contractuales adelantados por la Subdirección Gestión Corporativa - SGC"</t>
  </si>
  <si>
    <t xml:space="preserve"> Adición y prórroga No. 1 al contrato 346 de 2025 que tiene como objeto "Prestar servicios profesionales para realizar acompañamiento en los procesos contractuales adelantados por la Subdirección Gestión Corporativa -SGC"</t>
  </si>
  <si>
    <t xml:space="preserve"> Adición y prórroga No. 1 al contrato 459 de 2025 que tiene como objeto "Prestar los servicios profesionales jurídicos para apoyar las actividades propias, en procesos prediales que contribuyan al desarrollo de la infraestructura requerida por la entidad para la adecuada prestación del servicio-SGC"</t>
  </si>
  <si>
    <t xml:space="preserve"> Adición y prórroga No. 1 al contrato 456 de 2025 que tiene como objeto "Prestar los servicios profesionales técnicos para apoyar las actividades propias que contribuyan al desarrollo de la infraestructura requerida por la entidad para la adecuada prestación del servicio-SGC"</t>
  </si>
  <si>
    <t xml:space="preserve"> Adición y prórroga No. 1 al contrato 377 de 2025 que tiene como objeto "Prestar servicios profesionales como ingeniero mecánico para apoyar las actividades propias que contribuyan al desarrollo de la infraestructura requerida por la entidad para la adecuada prestación del servicio-SGC"</t>
  </si>
  <si>
    <t>Prestación de servicios profesionales especializados para desarrollar las actividades técnicas y administrativas del Área de Infraestructura de la Subdirección de Gestión Corporativa-SGC.</t>
  </si>
  <si>
    <t>Prestación de servicios de apoyo a la gestión a la Oficina de Control Disciplinario Interno de la UAECOB para el cumplimiento de las funciones de carácter administrativo.</t>
  </si>
  <si>
    <t>Renovación de equipos activos de red de la infraestructura tecnológica de la U.A.E. Cuerpo Oficial de Bomberos de Bogotá.</t>
  </si>
  <si>
    <t>Adquisición de elementos distintivos para reforzar los aprendizajes de los programas y campañas de la Subdirección de Gestión del Riesgo</t>
  </si>
  <si>
    <t>Contratar los  servicio de transporte para el desarrollo de las actividades, de los programas y campañas de prevención adelantados por  la Subdirección de Gestión del Riesgo.</t>
  </si>
  <si>
    <t>78111802
78111803</t>
  </si>
  <si>
    <t>Prestar servicios profesionales especializados a la Subdirección Operativa  en el fortalecimiento, articulación, seguimiento y gestión de los proyectos de inversión,  planes, indicadores del proceso de manejo  y en desarrollo  de la meta de renovación de equipos, herramientas, accesorios y elementos de protección personal para la UAECOB  a cargo de la Subdirección Operativa-S.O.</t>
  </si>
  <si>
    <t>Prestar servicios profesionales para apoyar jurídicamente el seguimiento y la revisión de derechos de petición y requerimientos que efectúen los entes de control, así como en la revisión de documentación referida a procesos de contratación de la dependencia y en desarrollo de la meta de renovación de equipos, herramientas, accesorios y elementos de protección personal para la UAECOB a cargo de la Subdirección Operativa-S.O.</t>
  </si>
  <si>
    <t>Prestación de servicios profesionales para apoyar en el seguimiento administrativo, operativo, control y monitoreo a los vehículos del parque automotor, que se encuentren o sean objeto de mantenimiento a cargo de la subdirección logística"</t>
  </si>
  <si>
    <t>Adición y prorroga al contrato 178-2025 cuyo objeto es: "Prestar servicios de apoyo en la gestión documental, física y digital, administrando y diligenciando las bases de datos, y demás documentos a cargo de la Subdirección logística. -SBLG".</t>
  </si>
  <si>
    <t>Adición y prorroga al contrato 29-2025 cuyo objeto es:  "prestación de servicios profesionales para la gestión administrativa de las herramientas tecnológicas de la Subdirección Logística asociados a la mesa logística - SBLG"</t>
  </si>
  <si>
    <t>Adición y prorroga al contrato 60-2025 cuyo objeto es: "prestación de servicios profesionales para la gestión, seguimiento y control administrativo, técnico y operativo del proceso de mantenimiento del parque automotor a cargo de la Subdirección Logística - SBLG".</t>
  </si>
  <si>
    <t>Adición y prorroga al contrato 47-2025 cuyo objeto es: "Prestación de servicios profesionales para la gestión, seguimiento y control administrativo, técnico y operativo del equipo menor a cargo de la Subdirección Logística (SBLG)".</t>
  </si>
  <si>
    <t>Adición y prorroga al contrato 466-2025 cuyo objeto es: "Prestar servicios profesionales en las actividades administrativas y financieras que requieran los procesos de la Subdirección Logística- SBLG"</t>
  </si>
  <si>
    <t>Adición y prorroga al contrato 79-2025 cuyo objeto es: "Prestación de servicios profesionales para la gestión, seguimiento y control administrativo, técnico y operativo del proceso de mantenimiento del parque automotor a cargo de la Subdirección Logística - SBLG".</t>
  </si>
  <si>
    <t xml:space="preserve">Adición y prorroga al contrato 471-2025 cuyo objeto es: "Prestación de servicios profesionales para apoyar la gestión financiera y presupuestal de los proyectos y planes a cargo de la Subdirección Logística - SBLG". </t>
  </si>
  <si>
    <t>Adición y prorroga al contrato 104-2025 cuyo objeto es: "Prestar servicios profesionales en la gestión, seguimiento y control administrativo, financiero y contractual la línea de insumos y suministros, para la operación durante las emergencias, eventos y capacitaciones a cargo de la Subdirección Logística - SBLG".</t>
  </si>
  <si>
    <t>Adición y prorroga al contrato 255-2025 cuyo objeto es: "Prestación de servicios profesionales, para apoyar la política de Compras y Contratación Pública, en la elaboración, tramite e impulso de los procesos de contratación en sus diferentes etapas a cargo de la Subdirección Logística - SBLG".</t>
  </si>
  <si>
    <t>Adición y prorroga al contrato 64-2025 cuyo objeto es: "Prestación de servicios profesionales en la gestión, seguimiento y control administrativo, financiero y contractual del proceso de mantenimiento del parque automotor a cargo de la Subdirección Logística - SBLG".</t>
  </si>
  <si>
    <t>Adición y prorroga al contrato 286-2025 cuyo objeto es: "Prestar servicio de apoyo a la gestión para asistir a la Subdirección Logística en el seguimiento técnico y administrativo de los mantenimientos requeridos en la Subdirección Logística - SBLG"</t>
  </si>
  <si>
    <t>Adición y prorroga al contrato 296-2025 cuyo objeto es: "Prestar servicio de apoyo a la gestión para asistir a la Subdirección Logística en el seguimiento técnico y administrativo de los mantenimientos requeridos en la Subdirección Logística - SBLG"</t>
  </si>
  <si>
    <t>Adición y prorroga al contrato 160-2025 cuyo objeto es: "Prestar servicios profesionales para el seguimiento y control logístico en la cadena de suministros e insumos en la atención de emergencias garantizando la entrega de los bienes y servicios de la Subdirección Logística. SBLG"</t>
  </si>
  <si>
    <t>Adición y prorroga al contrato 230-2025 cuyo objeto es: "Prestar servicios profesionales en materia administrativa,optimizando los procesos de la dependencia a través de la gestión de herramientas tecnológicas y documentales con las que se cuenten a la Subdirección Logística – SBLG".</t>
  </si>
  <si>
    <t>Adición y prorroga al contrato 406-2025 cuyo objeto es: "Prestar servicios de apoyo a la gestión en las actividades de soporte operacional de la UAECOB Subdirección Logística. SBLG"</t>
  </si>
  <si>
    <t>Adición y prorroga al contrato 190-2025 cuyo objeto es: "Prestar servicios profesionales para la gestión del Plan Estratégico de Seguridad Vial (PESV), participación en el comité correspondiente y el desarrollo de programas y actividades asignadas a la Subdirección Logística SBLG".</t>
  </si>
  <si>
    <t>Adición y prorroga al contrato 347-2025 cuyo objeto es: "Prestación de servicios de apoyo a la gestión en el proceso de mantenimiento del equipo menor a cargo de la Subdirección Logística -SBLG".</t>
  </si>
  <si>
    <t>Adición y prorroga al contrato 213-2025 cuyo objeto es: "Prestar servicios profesionales en la formulación e implementación de estrategias de comunicación, capacitación y gestión administrativa que promueva el uso y apropiación de los programas desarrollados en cada una de las lineas de la Subdirección Logística - SBLG"</t>
  </si>
  <si>
    <t>Adición y prorroga al contrato 246-2025 cuyo objeto es: "Prestar servicios profesionales en la definición y gestión de procedimientos, lineamientos ambientales y de SST de los procesos, así como del sistema de Gestión de Calidad en la Subdirección Logística – SBGL"</t>
  </si>
  <si>
    <t>Adición y prorroga al contrato 386-2025 cuyo objeto es: "Prestar servicios de apoyo a la gestión en actividades Técnicas, administrativas y documentales de la Subdirección Logística - SBLG"</t>
  </si>
  <si>
    <t>Adición y prorroga al contrato 258-2025 cuyo objeto es: "Prestar servicios profesionales en temas transversales de los procesos de planeación, logísticos, administrativos y financieros que se deriven de las competencias a cargo de la Subdirección Logística - . - SBLG"</t>
  </si>
  <si>
    <t>Adición y prorroga al contrato 150-2025 cuyo objeto es: "Prestación de servicio como conductor para apoyar en la gestión administrativa y logística de la Subdirección Logistica- SBLG".</t>
  </si>
  <si>
    <t>Adición y prorroga al contrato 290-2025 cuyo objeto es: "Prestar servicios de apoyo a la gestión en actividades administrativas y documentales que se desarrollen en la Subdirección Logística – SBLG".</t>
  </si>
  <si>
    <t>Adición y prorroga al contrato 152-2025 cuyo objeto es: "Prestación de servicio como conductor para apoyar en la gestión administrativa y logística de la Subdirección Logistica- SBLG".</t>
  </si>
  <si>
    <t>Adición y prorroga al contrato 451-2025 cuyo objeto es: "Prestar servicios profesionales para el trámite, revisión y validación de los documentos previos para pago que se generen con ocasión de la ejecución de los contratos a cargo de la subdirección logística. - SBLG"</t>
  </si>
  <si>
    <t>Adición y prorroga al contrato 168-2025 cuyo objeto es: "Prestar servicios de apoyo a la gestión de los suministros y consumibles realizando el seguimiento, control y trámites necesarios para la oportuna disponibilidad en la atención de emergencias -SBLG".</t>
  </si>
  <si>
    <t>Adición y prorroga al contrato 334-2025 cuyo objeto es: "Prestar servicios de apoyo en la gestión administrativa y documental de los procesos contractuales relacionados con el mantenimiento del parque automotor a cargo de la Subdirección Logística -SBLG".</t>
  </si>
  <si>
    <t>31261500; 31161500; 31161600; 31162300; 31162800; 31171500; 31171700; 39121600; 27121600;72101509; 26101700: 26101900; 15121500; 72101517; 72151511; 72154105 72154302; 73152108; 73152112</t>
  </si>
  <si>
    <t>Adición y prórroga al Contrato 329 de 2025 con objeto "Prestar servicios profesionales jurídicos en la Dirección General de la UAECOB en la revisión, gestión y seguimiento de temas de infraestructura, POT, plan maestro de equipamiento y procesos contractuales y estratégicos de la misionalidad de la Entidad"</t>
  </si>
  <si>
    <t>Adición y prórroga al Contrato 116 de 2025 con objeto "Prestar servicios profesionales especializados en la Dirección General de la UAECOB en la organización y liderazgo de los asuntos relacionados con cooperación técnica internacional y articulación interinstitucional de conformidad a la misionalidad de la entidad"</t>
  </si>
  <si>
    <t>Adición y prórroga al Contrato 134 de 2025 con objeto "Prestar servicios profesionales en la Dirección General para apoyar las actividades de cooperación técnica Internacional, seguimientos estrategicos y articulación interinstitucional de conformidad a la misionalidad de la entidad"</t>
  </si>
  <si>
    <t>Adición y prórroga al Contrato 417 de 2025 con objeto "Prestación de servicios profesionales en asuntos de comunicaciones y prensa para revisar los procesos de comunicación de entidad con el fin de evaluar su eficacia interna y externa y detectar ineficiencias en los canales de comunicación"</t>
  </si>
  <si>
    <t>Adición y prórroga al Contrato 172 de 2025 con objeto "Prestar servicios profesionales en la Dirección General para gestionar las  actividades de cooperación técnica internacional y articulación interinstitucional encaminadas a fortalecer e impulsar las metas de la Entidad"</t>
  </si>
  <si>
    <t>Adición y prórroga al Contrato 440 de 2025 con objeto "Prestación de servicios profesionales en asuntos de comunicaciones y prensa para detectar las necesidades de la Entidad y facilitar la inserción de nuevas estrategias de comunicación"</t>
  </si>
  <si>
    <t>Adición y prórroga al Contrato 437 de 2025 con objeto "Prestación de servicios profesionales en asuntos de comunicaciones y prensa para apoyar las labores periodísticas y de divulgación de información, de acuerdo con la misionalidad de la UAECOB"</t>
  </si>
  <si>
    <t>Adición y prórroga al Contrato 434 de 2025 con objeto "Prestación de servicios profesionales en asuntos de comunicaciones y prensa para apoyar las labores de reportería, periodismo y de divulgación de información y campañas, de acuerdo con la misionalidad de la UAECOB"</t>
  </si>
  <si>
    <t>Adición y prórroga al Contrato 024 de 2025 con objeto "Prestar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</si>
  <si>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Adición y prórroga al Contrato 025 de 2025 con objeto "Prestación de servicios profesionales en asuntos de comunicaciones y prensa para apoyar la divulgación y socialización de la información relacionada con la misionalidad de la UAECOB de manera interna y externa"</t>
  </si>
  <si>
    <t>Adición y prórroga al Contrato 042 de 2025 con objeto "Prestar servicios de apoyo a la gestión en la UAECOB, en asuntos administrativos y asistenciales requeridos, especificamente en el seguimiento de la información"</t>
  </si>
  <si>
    <t>80111600</t>
  </si>
  <si>
    <t>0</t>
  </si>
  <si>
    <t>15</t>
  </si>
  <si>
    <t>Adición y prórroga al Contrato 068 de 2025 con objeto "Prestar servicios profesionales especializados en la Dirección General de la UAECOB en la organización y liderazgo de los asuntos relacionados con comunicaciones de conformidad a la misionalidad de la entidad"</t>
  </si>
  <si>
    <t>Prestar servicios profesionales jurídicos en la Dirección General de la UAECOB en la revisión, gestión y seguimiento de temas a cargo de la dirección, contratación y estratégicos de la misionalidad de la Entidad</t>
  </si>
  <si>
    <t>prestación de servicios profesionales para las actividades de seguimiento, verificación  de las actividades relacionadas con la Subdirección Logística en los procesos, procedimientos  y en desarrollo  de la meta de renovación de equipos, herramientas, accesorios y elementos de protección personal para la UAECOB  a cargo de la Subdirección Operativa-S.O.</t>
  </si>
  <si>
    <t>Prestación de servicios de apoyo a la gestión como conductor para atender los requerimientos que se presenten en la Oficina Asesora de Planeación, así como los incidentes que puedan surgir en la Unidad Administrativa Especial Cuerpo Oficial de Bomberos de Bogotá.</t>
  </si>
  <si>
    <t>SGH - Prestar servicios profesionales para apoyar a la Subdirección de Gestión Humana de la UAE Cuerpo Oficial de Bomberos de Bogotá D.C, mediante el apoyo en la construcción del análisis de entornos  que integre los factores ambientales, tecnológicos, políticos y sociales que inciden en la gestión institucional, atendiendo a la fase diagnóstica del proceso de fortalecimiento institucional y de los programas de formación.</t>
  </si>
  <si>
    <t>SGH - Prestar servicios profesionales para apoyar a la Subdirección de Gestión Humana de la UAE Cuerpo Oficial de Bomberos de Bogotá D.C., mediante el apoyo a la estructuración y consolidación de capacidades de talento humano, tecnológicas y de modelo de operaciones, así como a los procesos de formalización laboral del empleo público en la fase diagnóstica del proceso de fortalecimiento institucional, contribuyendo al robustecimiento de los programas de formación y a la optimización de la gestión organizacional de la entidad.</t>
  </si>
  <si>
    <t>SGH- Prestar sus servicios profesionales para apoyar a la Subdirección de Gestión Humana de la UAE Cuerpo Oficial de Bomberos de Bogotá D.C., en la construcción de la propuesta de estructura organizacional en la fase de diseño y su articulación con el modelo de operaciones que contribuyan  al fortalecimiento de los programas de formación y a la optimización de la gestión organizacional de la entidad.</t>
  </si>
  <si>
    <t>Adición y prórroga al contrato 226-2025 cuyo objeto es: " SGH - Prestar servicios profesionales para desarrollar actividades jurídicas relacionadas con la academia bomberil, recobro de incapacidades y procesos administrativos de la Subdirección de Gestión Humana."</t>
  </si>
  <si>
    <t>Adición y prórroga al contrato 317-2025 cuyo objeto es: " SGH - Prestar servicios de apoyo en el sistema de gestión de seguridad y salud en el trabajo en la Subdirección de Gestión Humana de la UAE Cuerpo Oficial de Bomberos."</t>
  </si>
  <si>
    <t>Adición y prórroga al contrato 020-2025 cuyo objeto es: " SGH - Prestar sus servicios profesionales en la Subdirección de Gestión Humana en temas de desarrollo organizacional."</t>
  </si>
  <si>
    <t>Adición y prórroga al contrato 059-2025 cuyo objeto es: " SGH - Prestar servicios profesionales en la Subdirección de Gestión Humana de la UAE Cuerpo Oficial de Bomberos en temas de liquidación de demandas y conciliaciones."</t>
  </si>
  <si>
    <t>Adición y prórroga al contrato 394-2025 cuyo objeto es: " SGH - Prestar servicios profesionales para apoyar el programa de vigilancia epidemiológico al riesgo psicosocial y actividades de seguridad y salud en el trabajo en la Subdirección de Gestión Humana."</t>
  </si>
  <si>
    <t>Adición y prórroga al contrato 240-2025 cuyo objeto es: " SGH - Ejecutar actividades de apoyo a la gestión en  la Subdirección de Gestión Humana de la UAE Cuerpo Oficial de Bomberos de Bogotá D.C. en lo relacionado con los procesos de actualización, custodia y manejo del archivo de gestión de la Subdirección."</t>
  </si>
  <si>
    <t>Adición y prórroga al contrato 404-2025 cuyo objeto es: " SGH - Prestar Servicios de apoyo  a los procesos de archivo en  Subdirección de Gestión Humana de la UAE Cuerpo Oficial de Bomberos de Bogotá D.C. "</t>
  </si>
  <si>
    <t>Adición y prórroga al contrato 075-2025 cuyo objeto es: " SGH - Prestar sus servicios profesionales en el proceso de liquidación de demandas y conciliaciones administrativas para la Subdirección de Gestión Humana de la UAE Cuerpo Oficial de Bomberos."</t>
  </si>
  <si>
    <t>Adición y prórroga al contrato 090-2025 cuyo objeto es: " SGH - Prestar servicios profesionales en la Subdirección de Gestión Humana de la UAE Cuerpo Oficial de Bomberos en temas de liquidación de demandas y conciliaciones."</t>
  </si>
  <si>
    <t>Adición y prórroga al contrato 046-2025 cuyo objeto es: " SGH - Prestar sus servicios profesionales en comunicación interna y externa para la Subdirección de Gestión Humana de la UAE Cuerpo Oficial de Bomberos de Bogotá"</t>
  </si>
  <si>
    <t>Adición y prórroga al contrato 083-2025 cuyo objeto es: " SGH - Prestar servicios de apoyo a la gestión en cumplimiento de los planes institucionales de la Subdirección de Gestión Humana específicamente para desarrollo organizacional."</t>
  </si>
  <si>
    <t>Adición y prórroga al contrato 130-2025 cuyo objeto es: " SGH-  Prestar servicios profesionales en la Subdirección de Gestión Humana de la UAE Cuerpo Oficial de Bomberos de Bogotá en las áreas de calidad de vida y desarrollo organizacional"</t>
  </si>
  <si>
    <t>Adición y prórroga al contrato 092-2025 cuyo objeto es: " SGH - Prestar servicios profesionales en la Subdirección de Gestión Humana de la UAE Cuerpo Oficial de Bomberos en temas de Administración de Personal."</t>
  </si>
  <si>
    <t>Adición y prórroga al contrato 205-2025 cuyo objeto es: " SGH - Prestar servicios profesionales en la Subdirección de Gestión Humana en la estrategia de fortalecimiento institucional, realizando documentos de necesidades de diagnóstico organizacional de la Unidad Administrativa Especial Cuerpo Oficial de Bomberos de Bogotá."</t>
  </si>
  <si>
    <t xml:space="preserve">SGH - Prestar sus servicios profesionales jurídicos para apoyar a la Subdirección de Gestión Humana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 a cargo de la Academia de la entidad. </t>
  </si>
  <si>
    <t>Adición y prórroga al contrato 095-2025 cuyo objeto es: " SGH- Prestar servicios profesionales para apoyar en el seguimiento de indicadores, coordinar, controlar y ejercer seguimiento al desarrollo de actividades de manera transversal en los procesos a cargo de la Subdirección de Gestión Humana de la UAE Cuerpo Oficial de Bomberos de Bogotá D.C."</t>
  </si>
  <si>
    <t>Adición y prórroga al contrato 316-2025 cuyo objeto es: " SGH- Prestar servicios profesionales en la Subdirección de Gestión Humana de la UAE Cuerpo Oficial de Bomberos Bogotá D.C. en lo relacionado con la consolidación y análisis de base de datos y constitución del presupuesto"</t>
  </si>
  <si>
    <t>Adición y prórroga al contrato 435-2025 cuyo objeto es: " SGH - Prestar servicios profesionales para apoyar el programa de vigilancia epidemiológico al riesgo psicosocial y actividades de seguridad y salud en el trabajo en la Subdirección de Gestión Humana"</t>
  </si>
  <si>
    <t>Adición y prórroga al contrato 428-2025 cuyo objeto es: " SGH - Prestar servicios profesionales para apoyar el programa de vigilancia epidemiológico al riesgo psicosocial y actividades de seguridad y salud en el trabajo en la Subdirección de Gestión Humana"</t>
  </si>
  <si>
    <t>Adición y prórroga al contrato 200-2025 cuyo objeto es: " SGH - Prestar servicios de apoyo a la gestión en la Subdirección de Gestión Humana en las diferentes actividades logísticas relacionadas con  el proceso de Academia."</t>
  </si>
  <si>
    <t>Adición y prórroga al contrato 321-2025 cuyo objeto es: " SGH prestar servicios profesionales para acompañar a la Subdirección de Gestión Humana en el desarrollo de las actividades relacionadas con el seguimiento a la ejecución presupuestal en el marco de los procesos, procedimientos y contratos a cargo de la dependencia"</t>
  </si>
  <si>
    <t>Adición y prórroga al contrato 514-2025 cuyo objeto es: " SGH- Prestación de servicios profesionales para apoyar a la Subdirección Gestión Humana, en los trámites relacionados con la información financiera, contable y presupuestal que sirvan como base para la toma de decisiones dentro del marco normativo y administrativo de las etapas precontractuales, contractuales y postcontractuales de los procesos a cargo de la subdirección."</t>
  </si>
  <si>
    <t>Adición y prórroga al contrato 420-2025 cuyo objeto es: " SGH - Prestar servicios profesionales en el desarrollo de actividades relacionadas con la actualizacion de registro laborales del personal de la entidad, asi como apoyar en las actividades a cargo de desarrollo organizacional de la subdireccion de gestion humana."</t>
  </si>
  <si>
    <t>Adición y prórroga al contrato 453-2025 cuyo objeto es: " SGH - Prestar servicios profesionales para apoyar el programa de riesgo psicosocial y diferentes  actividades de seguridad y salud en el trabajo en la Subdirección de Gestión Humana"</t>
  </si>
  <si>
    <t>Adición y prórroga al contrato 523-2025 cuyo objeto es: " SGH -Prestar servicios profesionales para realizar una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t>
  </si>
  <si>
    <t>Adición y prórroga al contrato 180-2025 cuyo objeto es: " SGH - Prestar servicios profesionales en la Subdireccion de Gestion Humana de la UAE Cuerpo Oficial de Bomberos en el proceso de ausentismo, recobro de incapacidades y los subprocesos directamente relacionados "</t>
  </si>
  <si>
    <t>Adición y prórroga al contrato 147-2025 cuyo objeto es: " SGH - Prestar servicios profesionales para apoyar el programa de desórdenes musculoesqueléticos de la UAE Cuerpo Oficial de Bomberos de Bogotá"."</t>
  </si>
  <si>
    <t>Adición y prórroga al contrato 136-2025 cuyo objeto es: " SGH - Prestar servicios profesionales para la implementación y seguimiento del sistema de gestión de seguridad y salud en el trabajo en la Subdirección de Gestión Humana."</t>
  </si>
  <si>
    <t>Adición y prórroga al contrato 139-2025 cuyo objeto es: " SGH - Prestar servicios profesionales para apoyar en la construcción, revisión y actualización de las políticas, protocolos y procedimientos establecidos para el desarrollo del Talento Humano, con el fin de determinar su eficiencia y cumplimiento de la normatividad vigente para la subdirección de Gestión humana."</t>
  </si>
  <si>
    <t>Adición y prórroga al contrato 186-2025 cuyo objeto es: " SGH - Prestar servicios de apoyo  en  la Subdirección de Gestión Humana de la UAE Cuerpo Oficial de Bomberos de Bogotá D.C. en lo relacionado con los procesos de administración y aplicación de los instrumentos archivísticos vigentes en el archivo de gestión de la Subdirección."."</t>
  </si>
  <si>
    <t>Adición y prórroga al contrato 203-2025 cuyo objeto es: " SGH - Prestar servicios de apoyo para ejecutar actividades en la gestión de  la Subdirección de Gestión Humana de la UAE Cuerpo Oficial de Bomberos de Bogotá D.C. en lo relacionado con los procesos de actualización, custodia y manejo del archivo de gestión de la Subdirección."</t>
  </si>
  <si>
    <t>Adición y prórroga al contrato 129-2025 cuyo objeto es: " SGH - Prestar servicios profesionales con plena autonomia tecnica y administrativa para acompañar a la Subdireccion de Gestion Humana en la estructuracion y definicion de aspectos juridicos en las etapas precontractuales, contractuales y poscontractuales en el marco de los procesos y procedimientos a cargo de la dependencia"</t>
  </si>
  <si>
    <t>Adición y prórroga al contrato 397-2025 cuyo objeto es: " SGH-Prestar servicios profesionales para acompañar a la subdirección de gestión humana en el desarrollo de las actividades realizadas en el marco de la actuación del comité de mujer y género"</t>
  </si>
  <si>
    <t>Adición y prórroga al contrato 235-2025 cuyo objeto es: " SGH - Prestar servicios profesionales para acompañar a la Subdireccion de Gestion Humana en la planeacion, trámite y seguimiento de los aspectos presupuestales, financieros y contractuales a cargo de la dependencia"</t>
  </si>
  <si>
    <t>Adición y prórroga al contrato 208-2025 cuyo objeto es: " SGH-prestar servicios profesionales para acompañar a la subdirección de gestión humana en la construcción del plan educativo institucional y en los procesos y procedimientos de la escuela de formación bomberil - academia de la unidad administrativa especial-cuerpo oficial bomberos de Bogotá."</t>
  </si>
  <si>
    <t>1-200-I079  RB-Sobretasa Bomberil</t>
  </si>
  <si>
    <t>Prestar servicios de apoyo a la gestión al área de tecnologías de la información y las Comunicaciones de la UAECOB, en el desarrollo de actividades administrativas y técnicas orientadas al soporte, atención a los usuarios de la Entidad y al desarrollo de la infraestructura tecnológica.</t>
  </si>
  <si>
    <t>Contratar el servicio de acceso y soporte de la plataforma Wildfire Solution, para el fortalecimiento del los procesos de monitorio de incendios forestales y alertas tempranas de variabilidad climática, en cumplimiento de los objetivos misionales de la U.A.E Cuerpo Oficial de Bomberos</t>
  </si>
  <si>
    <t>81112501; 43232102; 43231512; 81111808; 81111805; 81112217</t>
  </si>
  <si>
    <t>Adquirir la plataforma de geolocalización ArcGIS para el fortalecimiento de los objetivos misionales de la U.A.E Cuerpo Oficial de bomberos</t>
  </si>
  <si>
    <t>Adquirir Elementos de Protección Personal, Equipos de Respiración Autónoma – ERA compuestos por piezas faciales (máscaras), botella (cilindro) y el arnés para la espalda compatibles con los equipos INTERSPIRO modelos S8 y S9 con los que se encuentran dotadas las diecisiete (17) estaciones operativas de la UAECOB”</t>
  </si>
  <si>
    <t>46182001
46182004
46182201</t>
  </si>
  <si>
    <t>Prestar servicios profesionales especializados como ingeniero electrónico para apoyar las actividades propias que contribuyan al desarrollo de la infraestructura requerida por la entidad para la adecuada prestación del servicio-SGC</t>
  </si>
  <si>
    <t>Prestación de servicios profesionales especializados para desarrollar las actividades técnicas y administrativas del Área de Infraestructura de la Subdirección de Gestión Corporativa-SGC</t>
  </si>
  <si>
    <t>Prestación de servicios profesionales especializados en el acompañamiento y asistencia al proceso de gestión documental de la UAE Cuerpo oficial de Bomberos. -SGC</t>
  </si>
  <si>
    <t>Adición No. 3 y Prórroga No. 4 del Contrato 357 de 2024 cuyo objeto es "Realizar el mantenimiento predictivo, preventivo, correctivo, mejoras y dotación a las instalaciones de las dependencias de la Unidad Administrativa Especial Cuerpo Oficial de Bomberos de Bogotá D.C. - SGC</t>
  </si>
  <si>
    <t>72102900;
72121400; 
72151700;
72154000;
72101500</t>
  </si>
  <si>
    <t>Adición No. 3 y Prórroga No 4 del Contrato 379 de 2024 - Interventoría técnica, administrativa, financiera, contable, jurídica y ambiental para la realización del mantenimiento predictivo preventivo, correctivo, mejoras y dotación a las instalaciones de las dependencias de la Unidad Administrativa Especial Cuerpo Oficial de Bomberos de Bogotá D.C. - SGC</t>
  </si>
  <si>
    <t>80101600; 
81101500; 
72101500; 
72121400</t>
  </si>
  <si>
    <t>Seleccionar un intermediario de seguros, legalmente establecido en Colombia para que preste a la Unidad Administrativa Especial Cuerpo Oficial de Bomberos - UAECOB sus servicios profesionales de asesoría, administración y manejo del programa de seguros, destinado a proteger a las personas, bienes e intereses patrimoniales de la entidad y aquellos por los que sea o fuere legalmente responsable.</t>
  </si>
  <si>
    <t xml:space="preserve"> -   </t>
  </si>
  <si>
    <t>Mantenimiento preventivo y/o correctivo,  y suministros de repuestos para los equipos de gimnasio de las diferentes instalaciones a cargo de la UAE Cuerpo Oficial de Bomberos. -SGC</t>
  </si>
  <si>
    <t>Adquisición de mobiliario y elementos para la dotación de las instalaciones de la UAE Cuerpo Oficial de Bomberos Bogotá- SGC</t>
  </si>
  <si>
    <t>53102710; 10131600; 10141600;
10191700; 20102000; 21102400;
23101500; 39111600; 41102500;
41111500; 42121600; 42143600;
42172000; 46181500; 46182000;
46191500;</t>
  </si>
  <si>
    <t>Adición y prórroga al contrato 549 de 2025 cuyo objeto es: "Prestar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</si>
  <si>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Adición y prórroga al contrato 531 de 2025 cuyo objeto es: "Prestar los servicios profesionales para apoyar las actividades propias de la gestión contractual a cargo de la Oficina Jurídica, en función de las necesidades identificadas por la entidad y con el propósito de garantizar el cumplimiento de su misionalidad".</t>
  </si>
  <si>
    <t>Adición y prórroga al contrato 556 de 2025 cuyo objeto es: "Prestar los servicios profesionales para realizar el acompañamiento administrativo y financiero en temas de liquidación y cierre de expedientes, como demás actuaciones administrativas requeridas de los procesos contractuales"</t>
  </si>
  <si>
    <t>Adición y prórroga al contrato 599 de 2025 cuyo objeto es: "Prestar servicios profesionales jurídicos para apoyar las actividades de defensa Judicial y de procesos penales que adelante la UAE Cuerpo Oficial de Bomberos de Bogotá"</t>
  </si>
  <si>
    <t>Adición y prórroga al contrato 516 de 2025 cuyo objeto es: "Prestar los servicios profesionales jurídicos especializados para apoyar el desarrollo de las funciones de la Oficina Jurídica"</t>
  </si>
  <si>
    <t>Adición y prórroga al contrato 581 de 2025 cuyo objeto es: "Prestar los servicios de apoyo para las gestiones administrativas requeridas en la Oficina Jurídica".</t>
  </si>
  <si>
    <t>Adición y prórroga al contrato 575 de 2025 cuyo objeto es: "Prestar los servicios de apoyo para las gestiones documentales y administrativas requerida por la Oficina  Jurídica".</t>
  </si>
  <si>
    <t>Adición y prórroga al contrato 558 de 2025 cuyo objeto es: "Prestar los servicios de apoyo para las gestiones documentales y administrativas requerida por la Oficina  Jurídica".</t>
  </si>
  <si>
    <t>Adición y prórroga al contrato 569 de 2025 cuyo objeto es: "Prestar los servicios profesionales para apoyar la depuración de la cartera de cobro coactivo, así como actividades propias de la defensa judicial de la Entidad y demas actiuaciones relacionadas que requiera la Oficina Jurídica"</t>
  </si>
  <si>
    <t>Adición y prórroga al contrato 576 de 2025 cuyo objeto es: "Prestación de servicios profesionales jurídicos para orientar y apoyar el trámite y la gestión de los procesos disciplinarios que se adelanten en la Oficina Jurídica de la Unidad Administrativa Especial Cuerpo Oficial de Bomberos Bogotá"</t>
  </si>
  <si>
    <t>Adición y prórroga al contrato 571 de 2025 cuyo objeto es: "Prestar los servicios profesionales jurídicos especializados para orientar y apoyar los procesos de contratación en sus diferentes etapas adelantados por la Oficina Jurídica, tendientes a garantizar las necesidades propias de la UAECOB"</t>
  </si>
  <si>
    <t>Adición y prórroga al contrato 585 de 2025 cuyo objeto es: "Prestar los servicios profesionales jurídicos especializados en la Oficina Jurídica que garantice la verificación de la legalidad, en apoyo a cada una de las actuaciones a cargo de esta Oficina".</t>
  </si>
  <si>
    <t>Adición y prórroga al contrato 545 de 2025 cuyo objeto es: "Prestar los servicios profesionales jurídicos para apoyar las actuaciones procesales y procedimentales de la Oficina Jurídica"</t>
  </si>
  <si>
    <t>Adición y prórroga al contrato 194 de 2025 SGH-Prestación de servicios profesionales para acompañar a la subdirección de gestión humana en el desarrollo de las actividades encaminadas al diseño de piezas comunicativas que se requieran en el marco de los procesos y procedimientos a cargo de la dependencia.</t>
  </si>
  <si>
    <t xml:space="preserve">SGH - Prestar los servicios de capacitación, formación y entrenamiento en el curso de Señalero, Aparejador de Cargas y Operador de Grúa Móvil para el personal operativo de la UAE Cuerpo Oficial de Bomberos de Bogotá en el marco del PIC. </t>
  </si>
  <si>
    <t>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t>
  </si>
  <si>
    <t>Adición y prórroga al contrato 039 de 2025 "Prestar los servicios profesionales  como abogado en la Oficina de Control Interno para el desarrollo del Plan Anual de Auditorías."</t>
  </si>
  <si>
    <t>Adición y prórroga al contrato 123 de 2025 "Prestar los servicios profesionales como contador publico en la Oficina de Control Interno para el desarrollo del Plan Anual de Auditorías."</t>
  </si>
  <si>
    <t>Adición y prórroga al contrato 128 de 2025 "Prestar los servicios profesionales  en la Oficina de Control Interno para el desarrollo del Plan Anual de Auditorías."</t>
  </si>
  <si>
    <t>Adición y prórroga al contrato 077 de 2025 "Prestar servicios de apoyo a la gestión como técnico   en la Oficina de Control Interno para ejecutar procesos y procedimientos administrativos y asistenciales teniendo en cuenta el Plan Anual de Auditorías."</t>
  </si>
  <si>
    <t>Adición y prórroga al contrato 272 de 2025 "Prestar los servicios profesionales  en la Oficina de Control Interno para el desarrollo del Plan Anual de Auditorías."</t>
  </si>
  <si>
    <t>Adición y prórroga al contrato 533 de 2025.  SGH "Prestar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t>
  </si>
  <si>
    <t>Adición y prórroga al contrato 536 de 2025.  SGH "Prestar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t>
  </si>
  <si>
    <t>Adición y prórroga al contrato 525 de 2025.  SGH "Prestar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t>
  </si>
  <si>
    <t>SGH - Adquirir elementos de protección personal para prevenir la aparición de enfermedades ocupacionales en el oido, del personal operativo de la UAE Cuerpo Oficial de Bomberos de Bogotá</t>
  </si>
  <si>
    <t>46181900;46181901</t>
  </si>
  <si>
    <t>Adición y prórroga al contrato 216-2025 cuyo objeto es: " SGH - Prestar servicios profesionales en la Subdirección de Gestión Humana, para el fortalecimiento transversal del proceso de Academia."</t>
  </si>
  <si>
    <t>Adición y prórroga al contrato 319-2025 cuyo objeto es: " SGH - Prestar sus servicios profesionales en los procesos de la Subdirección de Gestión Humana de la UAE Cuerpo Oficial de Bomberos."</t>
  </si>
  <si>
    <t>Contratar el mantenimiento y recarga de los extintores y otros elementos pertinentes para la U.A.E. Cuerpo Oficial de Bomberos de Bogotá. - SBLG</t>
  </si>
  <si>
    <t>72101509, 46191600, 46191506, 46191601</t>
  </si>
  <si>
    <t xml:space="preserve">Adición y prorroga al contrato 218-2025 cuyo objeto es : "Prestar servicios profesionales para apoyar en los diferentes procesos de planeación,  administrativos e inventario de la Subdirección Logística – SBLG". </t>
  </si>
  <si>
    <t>Adición y prorroga al contrato 555-2025 cuyo objeto es: "Suministrar combustible para los vehículos, y equipos especializados de la U.A.E. Cuerpo Oficial de Bomberos Bogotá dentro y fuera del perímetro del distrito capital de la  - SBLG".</t>
  </si>
  <si>
    <t>53101801
53101803
53101501
53101503</t>
  </si>
  <si>
    <t>prestación de servicios como apoyo para gestionar y ejecutar las actividades que dan soporte al proceso de comunicaciones en emergencias, del centro de coordinación y comunicaciones (c.c.c.) a cargo de la subdirección operativa. s.o</t>
  </si>
  <si>
    <t xml:space="preserve">56101900
60131500
50101904   
31132100  
31132300 </t>
  </si>
  <si>
    <t>Adición y prórroga No. 1 al contrato 597 de 2025  que tiene como objeto " Contratar la prestación del servicio de aseo y cafetería incluido insumos para la UAE Cuerpo Oficial de Bomberos -SGC"</t>
  </si>
  <si>
    <t>44121700;
44121800;
44121900;
44122000</t>
  </si>
  <si>
    <t xml:space="preserve">Prestar el servicio y mantenimiento de equipos de higienización, desodorización y aromatización para la UAECOB </t>
  </si>
  <si>
    <t>24131500;
52141500;
52151600;
 52152000;
52152300; 
52161500;</t>
  </si>
  <si>
    <t xml:space="preserve">Adquisición de contenedores y bidones con su respectiva señalización, los cuáles permitan garantizar la segregación de residuos  aprovechables, no aprovechables y peligrosos, generados por las Estaciones y Edificio Comando de la UAE Cuerpo Oficial de Bomberos de Bogotá en cumplimiento de la normatividad ambiental vigente- SGC </t>
  </si>
  <si>
    <t>72154000;
55121900;
60121400;
52101500;
55121700;</t>
  </si>
  <si>
    <t>Adquisición de elementos de menaje para la UAECOB-SGC</t>
  </si>
  <si>
    <t>Versión No. 16 - PLAN DISTRITAL DE DESARROLLO "BOGOTÁ CAMINA SEGURA"</t>
  </si>
  <si>
    <t>Adquisición de herramientas de corte para la atención de emergencias  para  la UAE Cuerpo Oficial de Bomberos de Bogota -S.O.</t>
  </si>
  <si>
    <t>23101512;
27111508;
27112709</t>
  </si>
  <si>
    <t>(Varios elementos)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</si>
</sst>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d/mm/yyyy;@"/>
    <numFmt numFmtId="165" formatCode="_-* #,##0_-;\-* #,##0_-;_-* &quot;-&quot;??_-;_-@_-"/>
    <numFmt numFmtId="166" formatCode="_-&quot;$&quot;\ * #,##0_-;\-&quot;$&quot;\ * #,##0_-;_-&quot;$&quot;\ * &quot;-&quot;??_-;_-@_-"/>
  </numFmts>
  <fonts count="28" x14ac:knownFonts="1">
    <font>
      <sz val="11"/>
      <color theme="1"/>
      <name val="Calibri"/>
      <family val="2"/>
      <scheme val="minor"/>
    </font>
    <font>
      <sz val="10"/>
      <name val="Arial"/>
      <family val="2"/>
    </font>
    <font>
      <b/>
      <sz val="11"/>
      <name val="Open Sans"/>
      <family val="2"/>
    </font>
    <font>
      <sz val="11"/>
      <name val="Tahoma"/>
      <family val="2"/>
    </font>
    <font>
      <b/>
      <sz val="11"/>
      <name val="Tahoma"/>
      <family val="2"/>
    </font>
    <font>
      <b/>
      <sz val="14"/>
      <name val="Tahoma"/>
      <family val="2"/>
    </font>
    <font>
      <sz val="11"/>
      <color theme="1"/>
      <name val="Calibri"/>
      <family val="2"/>
      <scheme val="minor"/>
    </font>
    <font>
      <b/>
      <sz val="11"/>
      <color theme="1"/>
      <name val="Calibri"/>
      <family val="2"/>
      <scheme val="minor"/>
    </font>
    <font>
      <b/>
      <i/>
      <sz val="11"/>
      <color theme="1"/>
      <name val="Calibri"/>
      <family val="2"/>
      <scheme val="minor"/>
    </font>
    <font>
      <sz val="12"/>
      <color theme="1"/>
      <name val="Tahoma"/>
      <family val="2"/>
    </font>
    <font>
      <sz val="11"/>
      <color theme="1"/>
      <name val="Open Sans"/>
      <family val="2"/>
    </font>
    <font>
      <b/>
      <sz val="12"/>
      <color theme="1"/>
      <name val="Tahoma"/>
      <family val="2"/>
    </font>
    <font>
      <b/>
      <sz val="11"/>
      <color theme="1"/>
      <name val="Open Sans"/>
      <family val="2"/>
    </font>
    <font>
      <b/>
      <sz val="11"/>
      <color theme="5" tint="-0.499984740745262"/>
      <name val="Tahoma"/>
      <family val="2"/>
    </font>
    <font>
      <sz val="11"/>
      <color theme="1"/>
      <name val="Tahoma"/>
      <family val="2"/>
    </font>
    <font>
      <sz val="11"/>
      <color rgb="FFFF0000"/>
      <name val="Tahoma"/>
      <family val="2"/>
    </font>
    <font>
      <b/>
      <sz val="11"/>
      <color theme="1"/>
      <name val="Tahoma"/>
      <family val="2"/>
    </font>
    <font>
      <b/>
      <sz val="11"/>
      <color rgb="FFFF0000"/>
      <name val="Tahoma"/>
      <family val="2"/>
    </font>
    <font>
      <sz val="11"/>
      <name val="Tahoma"/>
      <family val="2"/>
    </font>
    <font>
      <sz val="11"/>
      <name val="Tahoma"/>
      <family val="2"/>
    </font>
    <font>
      <sz val="11"/>
      <name val="Tahoma"/>
      <family val="2"/>
    </font>
    <font>
      <sz val="11"/>
      <name val="Tahoma"/>
      <family val="2"/>
    </font>
    <font>
      <sz val="11"/>
      <name val="Tahoma"/>
      <family val="2"/>
    </font>
    <font>
      <sz val="11"/>
      <name val="Tahoma"/>
      <family val="2"/>
    </font>
    <font>
      <sz val="11"/>
      <name val="Tahoma"/>
      <family val="2"/>
    </font>
    <font>
      <sz val="11"/>
      <name val="Tahoma"/>
      <family val="2"/>
    </font>
    <font>
      <sz val="11"/>
      <name val="Tahoma"/>
      <family val="2"/>
    </font>
    <font>
      <sz val="11"/>
      <name val="Tahoma"/>
      <family val="2"/>
    </font>
  </fonts>
  <fills count="8">
    <fill>
      <patternFill patternType="none"/>
    </fill>
    <fill>
      <patternFill patternType="gray125"/>
    </fill>
    <fill>
      <patternFill patternType="solid">
        <fgColor theme="7" tint="0.59999389629810485"/>
        <bgColor indexed="64"/>
      </patternFill>
    </fill>
    <fill>
      <patternFill patternType="solid">
        <fgColor rgb="FFCCECFF"/>
        <bgColor indexed="64"/>
      </patternFill>
    </fill>
    <fill>
      <patternFill patternType="solid">
        <fgColor theme="5" tint="0.399975585192419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7">
    <xf numFmtId="0" fontId="0" fillId="0" borderId="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xf numFmtId="0" fontId="1" fillId="0" borderId="0"/>
  </cellStyleXfs>
  <cellXfs count="361">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5" fontId="6" fillId="0" borderId="1" xfId="2" applyNumberFormat="1" applyFont="1" applyBorder="1"/>
    <xf numFmtId="43" fontId="6" fillId="0" borderId="0" xfId="2" applyFont="1"/>
    <xf numFmtId="43" fontId="6" fillId="0" borderId="1" xfId="2" applyFont="1" applyBorder="1"/>
    <xf numFmtId="43" fontId="7" fillId="0" borderId="1" xfId="2" applyFont="1" applyBorder="1"/>
    <xf numFmtId="165" fontId="7" fillId="0" borderId="1" xfId="2" applyNumberFormat="1" applyFont="1" applyBorder="1"/>
    <xf numFmtId="0" fontId="7" fillId="0" borderId="1" xfId="0" applyFont="1" applyBorder="1" applyAlignment="1">
      <alignment horizontal="center"/>
    </xf>
    <xf numFmtId="0" fontId="0" fillId="0" borderId="0" xfId="0" applyAlignment="1">
      <alignment horizontal="center"/>
    </xf>
    <xf numFmtId="1" fontId="7" fillId="0" borderId="1" xfId="2" applyNumberFormat="1" applyFont="1" applyBorder="1" applyAlignment="1">
      <alignment horizontal="center"/>
    </xf>
    <xf numFmtId="43" fontId="7" fillId="0" borderId="0" xfId="2" applyFont="1"/>
    <xf numFmtId="43" fontId="7" fillId="0" borderId="1" xfId="2" applyFont="1" applyBorder="1" applyAlignment="1">
      <alignment horizontal="center"/>
    </xf>
    <xf numFmtId="43" fontId="8" fillId="0" borderId="0" xfId="2" applyFont="1" applyAlignment="1"/>
    <xf numFmtId="0" fontId="9" fillId="0" borderId="0" xfId="0" applyFont="1"/>
    <xf numFmtId="0" fontId="9" fillId="0" borderId="0" xfId="0" applyFont="1" applyAlignment="1">
      <alignment horizontal="center"/>
    </xf>
    <xf numFmtId="0" fontId="9" fillId="0" borderId="0" xfId="0" applyFont="1" applyAlignment="1">
      <alignment horizontal="left"/>
    </xf>
    <xf numFmtId="0" fontId="2" fillId="0" borderId="1" xfId="0" applyFont="1" applyBorder="1" applyAlignment="1">
      <alignment horizontal="center" vertical="center" wrapText="1"/>
    </xf>
    <xf numFmtId="0" fontId="2" fillId="0" borderId="1" xfId="5" applyFont="1" applyBorder="1" applyAlignment="1">
      <alignment horizontal="center" vertical="center" wrapText="1"/>
    </xf>
    <xf numFmtId="0" fontId="2" fillId="0" borderId="0" xfId="0" applyFont="1" applyAlignment="1">
      <alignment horizontal="center" vertical="center" wrapText="1"/>
    </xf>
    <xf numFmtId="0" fontId="11" fillId="0" borderId="0" xfId="0" applyFont="1"/>
    <xf numFmtId="0" fontId="0" fillId="0" borderId="0" xfId="0" applyAlignment="1">
      <alignment vertical="center"/>
    </xf>
    <xf numFmtId="0" fontId="10"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vertical="center"/>
    </xf>
    <xf numFmtId="0" fontId="3" fillId="0" borderId="0" xfId="0" applyFont="1" applyAlignment="1" applyProtection="1">
      <alignment horizontal="center" vertical="center" wrapText="1"/>
      <protection locked="0"/>
    </xf>
    <xf numFmtId="37" fontId="4" fillId="0" borderId="0" xfId="0" applyNumberFormat="1" applyFont="1" applyAlignment="1" applyProtection="1">
      <alignment vertical="center" wrapText="1"/>
      <protection locked="0"/>
    </xf>
    <xf numFmtId="0" fontId="3" fillId="0" borderId="0" xfId="0" applyFont="1" applyAlignment="1" applyProtection="1">
      <alignment vertical="center" wrapText="1"/>
      <protection locked="0"/>
    </xf>
    <xf numFmtId="37" fontId="4" fillId="0" borderId="0" xfId="0" applyNumberFormat="1" applyFont="1" applyAlignment="1">
      <alignment vertical="center" wrapText="1"/>
    </xf>
    <xf numFmtId="0" fontId="3" fillId="0" borderId="0" xfId="0" applyFont="1" applyAlignment="1">
      <alignment vertical="center" wrapText="1"/>
    </xf>
    <xf numFmtId="0" fontId="13" fillId="0" borderId="0" xfId="0" applyFont="1" applyAlignment="1" applyProtection="1">
      <alignment horizontal="right" vertical="center"/>
      <protection locked="0"/>
    </xf>
    <xf numFmtId="0" fontId="13" fillId="0" borderId="0" xfId="0" applyFont="1" applyAlignment="1" applyProtection="1">
      <alignment horizontal="center" vertical="center"/>
      <protection locked="0"/>
    </xf>
    <xf numFmtId="165" fontId="4" fillId="0" borderId="0" xfId="2" applyNumberFormat="1" applyFont="1" applyFill="1" applyAlignment="1" applyProtection="1">
      <alignment horizontal="center" vertical="center" wrapText="1"/>
    </xf>
    <xf numFmtId="43" fontId="3" fillId="0" borderId="0" xfId="2" applyFont="1" applyAlignment="1" applyProtection="1">
      <alignment vertical="center" wrapText="1"/>
      <protection locked="0"/>
    </xf>
    <xf numFmtId="37" fontId="4" fillId="0" borderId="0" xfId="0" applyNumberFormat="1" applyFont="1" applyAlignment="1" applyProtection="1">
      <alignment horizontal="center" vertical="center" wrapText="1"/>
      <protection locked="0"/>
    </xf>
    <xf numFmtId="37" fontId="4" fillId="0" borderId="0" xfId="0" applyNumberFormat="1" applyFont="1" applyAlignment="1" applyProtection="1">
      <alignment vertical="center"/>
      <protection locked="0"/>
    </xf>
    <xf numFmtId="14" fontId="4" fillId="0" borderId="0" xfId="0" applyNumberFormat="1" applyFont="1" applyAlignment="1" applyProtection="1">
      <alignment horizontal="center" vertical="center" wrapText="1"/>
      <protection locked="0"/>
    </xf>
    <xf numFmtId="1" fontId="4" fillId="0" borderId="0" xfId="0" applyNumberFormat="1" applyFont="1" applyAlignment="1" applyProtection="1">
      <alignment horizontal="center" vertical="center" wrapText="1"/>
      <protection locked="0"/>
    </xf>
    <xf numFmtId="37" fontId="4" fillId="0" borderId="0" xfId="0" applyNumberFormat="1" applyFont="1" applyAlignment="1">
      <alignment horizontal="center" vertical="center" wrapText="1"/>
    </xf>
    <xf numFmtId="165" fontId="4" fillId="0" borderId="0" xfId="2" applyNumberFormat="1" applyFont="1" applyFill="1" applyBorder="1" applyAlignment="1" applyProtection="1">
      <alignment horizontal="center" vertical="center" wrapText="1"/>
      <protection locked="0"/>
    </xf>
    <xf numFmtId="165" fontId="14" fillId="0" borderId="0" xfId="2" applyNumberFormat="1" applyFont="1" applyFill="1" applyBorder="1" applyAlignment="1" applyProtection="1">
      <alignment horizontal="center" vertical="center" wrapText="1"/>
    </xf>
    <xf numFmtId="165" fontId="4" fillId="0" borderId="0" xfId="2" applyNumberFormat="1" applyFont="1" applyFill="1" applyBorder="1" applyAlignment="1" applyProtection="1">
      <alignment horizontal="center" vertical="center" wrapText="1"/>
    </xf>
    <xf numFmtId="0" fontId="14" fillId="0" borderId="0" xfId="0" applyFont="1" applyAlignment="1" applyProtection="1">
      <alignment horizontal="center" vertical="center" wrapText="1"/>
      <protection locked="0"/>
    </xf>
    <xf numFmtId="0" fontId="14" fillId="0" borderId="0" xfId="0" applyFont="1" applyAlignment="1" applyProtection="1">
      <alignment vertical="center" wrapText="1"/>
      <protection locked="0"/>
    </xf>
    <xf numFmtId="164" fontId="3" fillId="0" borderId="0" xfId="0" applyNumberFormat="1" applyFont="1" applyAlignment="1" applyProtection="1">
      <alignment vertical="center" wrapText="1"/>
      <protection locked="0"/>
    </xf>
    <xf numFmtId="14" fontId="3" fillId="0" borderId="0" xfId="0" applyNumberFormat="1" applyFont="1" applyAlignment="1" applyProtection="1">
      <alignment vertical="center" wrapText="1"/>
      <protection locked="0"/>
    </xf>
    <xf numFmtId="166" fontId="14" fillId="0" borderId="0" xfId="4" applyNumberFormat="1" applyFont="1" applyFill="1" applyBorder="1" applyAlignment="1" applyProtection="1">
      <alignment horizontal="center" vertical="center" wrapText="1"/>
      <protection locked="0"/>
    </xf>
    <xf numFmtId="166" fontId="14" fillId="0" borderId="0" xfId="4" applyNumberFormat="1" applyFont="1" applyFill="1" applyBorder="1" applyAlignment="1" applyProtection="1">
      <alignment horizontal="center" vertical="center" wrapText="1"/>
    </xf>
    <xf numFmtId="166" fontId="3" fillId="0" borderId="0" xfId="0" applyNumberFormat="1" applyFont="1" applyAlignment="1" applyProtection="1">
      <alignment vertical="center" wrapText="1"/>
      <protection locked="0"/>
    </xf>
    <xf numFmtId="0" fontId="3" fillId="0" borderId="1" xfId="2" applyNumberFormat="1" applyFont="1" applyFill="1" applyBorder="1" applyAlignment="1" applyProtection="1">
      <alignment horizontal="center" vertical="center" wrapText="1"/>
      <protection locked="0"/>
    </xf>
    <xf numFmtId="0" fontId="3" fillId="0" borderId="1" xfId="5" applyFont="1" applyBorder="1" applyAlignment="1" applyProtection="1">
      <alignment horizontal="center" vertical="center" wrapText="1"/>
      <protection locked="0"/>
    </xf>
    <xf numFmtId="1" fontId="3" fillId="0" borderId="1" xfId="2" applyNumberFormat="1" applyFont="1" applyFill="1" applyBorder="1" applyAlignment="1" applyProtection="1">
      <alignment horizontal="center" vertical="center"/>
      <protection locked="0"/>
    </xf>
    <xf numFmtId="165" fontId="3" fillId="0" borderId="1" xfId="2" applyNumberFormat="1" applyFont="1" applyFill="1" applyBorder="1" applyAlignment="1" applyProtection="1">
      <alignment horizontal="center" vertical="center" wrapText="1"/>
      <protection locked="0"/>
    </xf>
    <xf numFmtId="37" fontId="4" fillId="0" borderId="0" xfId="0" applyNumberFormat="1" applyFont="1" applyAlignment="1" applyProtection="1">
      <alignment horizontal="center" vertical="center"/>
      <protection locked="0"/>
    </xf>
    <xf numFmtId="0" fontId="12" fillId="0" borderId="1" xfId="0" applyFont="1" applyBorder="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vertical="center"/>
    </xf>
    <xf numFmtId="165" fontId="10" fillId="0" borderId="0" xfId="2" applyNumberFormat="1" applyFont="1" applyAlignment="1">
      <alignment vertical="center"/>
    </xf>
    <xf numFmtId="165" fontId="12" fillId="0" borderId="1" xfId="2" applyNumberFormat="1" applyFont="1" applyBorder="1" applyAlignment="1">
      <alignment horizontal="center" vertical="center"/>
    </xf>
    <xf numFmtId="165" fontId="10" fillId="0" borderId="1" xfId="2" applyNumberFormat="1" applyFont="1" applyBorder="1" applyAlignment="1">
      <alignment vertical="center"/>
    </xf>
    <xf numFmtId="165" fontId="12" fillId="0" borderId="1" xfId="2" applyNumberFormat="1" applyFont="1" applyBorder="1" applyAlignment="1">
      <alignment vertical="center"/>
    </xf>
    <xf numFmtId="165" fontId="12" fillId="0" borderId="0" xfId="2" applyNumberFormat="1" applyFont="1" applyAlignment="1">
      <alignment horizontal="center" vertical="center"/>
    </xf>
    <xf numFmtId="0" fontId="12" fillId="0" borderId="1" xfId="0" applyFont="1" applyBorder="1" applyAlignment="1">
      <alignment horizontal="center" vertical="center" wrapText="1"/>
    </xf>
    <xf numFmtId="14" fontId="14" fillId="0" borderId="0" xfId="2" applyNumberFormat="1" applyFont="1" applyFill="1" applyBorder="1" applyAlignment="1" applyProtection="1">
      <alignment horizontal="center" vertical="center" wrapText="1"/>
    </xf>
    <xf numFmtId="37" fontId="5" fillId="0" borderId="0" xfId="0" applyNumberFormat="1" applyFont="1" applyAlignment="1" applyProtection="1">
      <alignment vertical="center"/>
      <protection locked="0"/>
    </xf>
    <xf numFmtId="165" fontId="4" fillId="0" borderId="0" xfId="2" applyNumberFormat="1" applyFont="1" applyFill="1" applyBorder="1" applyAlignment="1" applyProtection="1">
      <alignment horizontal="right" vertical="center" wrapText="1"/>
      <protection locked="0"/>
    </xf>
    <xf numFmtId="43" fontId="14" fillId="0" borderId="0" xfId="2" applyFont="1" applyAlignment="1" applyProtection="1">
      <alignment vertical="center"/>
      <protection locked="0"/>
    </xf>
    <xf numFmtId="0" fontId="14" fillId="0" borderId="0" xfId="0" applyFont="1" applyAlignment="1" applyProtection="1">
      <alignment horizontal="center" vertical="center"/>
      <protection locked="0"/>
    </xf>
    <xf numFmtId="0" fontId="14" fillId="0" borderId="0" xfId="0" applyFont="1" applyAlignment="1" applyProtection="1">
      <alignment vertical="center"/>
      <protection locked="0"/>
    </xf>
    <xf numFmtId="1" fontId="14" fillId="0" borderId="0" xfId="0" applyNumberFormat="1" applyFont="1" applyAlignment="1" applyProtection="1">
      <alignment vertical="center"/>
      <protection locked="0"/>
    </xf>
    <xf numFmtId="165" fontId="14" fillId="0" borderId="0" xfId="2" applyNumberFormat="1" applyFont="1" applyAlignment="1" applyProtection="1">
      <alignment vertical="center"/>
      <protection locked="0"/>
    </xf>
    <xf numFmtId="0" fontId="14" fillId="0" borderId="0" xfId="0" applyFont="1" applyAlignment="1">
      <alignment vertical="center"/>
    </xf>
    <xf numFmtId="0" fontId="13" fillId="0" borderId="0" xfId="0" applyFont="1" applyAlignment="1">
      <alignment horizontal="right" vertical="center"/>
    </xf>
    <xf numFmtId="1" fontId="4" fillId="0" borderId="0" xfId="0" applyNumberFormat="1" applyFont="1" applyAlignment="1" applyProtection="1">
      <alignment vertical="center" wrapText="1"/>
      <protection locked="0"/>
    </xf>
    <xf numFmtId="1" fontId="3" fillId="0" borderId="0" xfId="0" applyNumberFormat="1" applyFont="1" applyAlignment="1" applyProtection="1">
      <alignment vertical="center" wrapText="1"/>
      <protection locked="0"/>
    </xf>
    <xf numFmtId="0" fontId="3" fillId="0" borderId="7" xfId="2" applyNumberFormat="1" applyFont="1" applyFill="1" applyBorder="1" applyAlignment="1" applyProtection="1">
      <alignment horizontal="center" vertical="center" wrapText="1"/>
      <protection locked="0"/>
    </xf>
    <xf numFmtId="0" fontId="12" fillId="0" borderId="0" xfId="0" applyFont="1"/>
    <xf numFmtId="0" fontId="10" fillId="0" borderId="0" xfId="0" applyFont="1"/>
    <xf numFmtId="43" fontId="10" fillId="0" borderId="0" xfId="2" applyFont="1"/>
    <xf numFmtId="43" fontId="10" fillId="0" borderId="0" xfId="0" applyNumberFormat="1" applyFont="1"/>
    <xf numFmtId="0" fontId="10" fillId="0" borderId="1" xfId="0" applyFont="1" applyBorder="1"/>
    <xf numFmtId="43" fontId="10" fillId="0" borderId="1" xfId="2" applyFont="1" applyBorder="1"/>
    <xf numFmtId="43" fontId="12" fillId="0" borderId="0" xfId="2" applyFont="1"/>
    <xf numFmtId="43" fontId="10" fillId="0" borderId="1" xfId="0" applyNumberFormat="1" applyFont="1" applyBorder="1"/>
    <xf numFmtId="43" fontId="12" fillId="0" borderId="1" xfId="2" applyFont="1" applyBorder="1"/>
    <xf numFmtId="43" fontId="12" fillId="0" borderId="1" xfId="2" applyFont="1" applyBorder="1" applyAlignment="1">
      <alignment horizontal="center" vertical="center"/>
    </xf>
    <xf numFmtId="165" fontId="10" fillId="3" borderId="1" xfId="2" applyNumberFormat="1" applyFont="1" applyFill="1" applyBorder="1" applyAlignment="1">
      <alignment vertical="center"/>
    </xf>
    <xf numFmtId="0" fontId="10" fillId="3" borderId="1" xfId="0" applyFont="1" applyFill="1" applyBorder="1" applyAlignment="1">
      <alignment vertical="center" wrapText="1"/>
    </xf>
    <xf numFmtId="0" fontId="10" fillId="3" borderId="1" xfId="0" applyFont="1" applyFill="1" applyBorder="1" applyAlignment="1">
      <alignment horizontal="center" vertical="center"/>
    </xf>
    <xf numFmtId="0" fontId="7" fillId="0" borderId="0" xfId="0" applyFont="1" applyAlignment="1">
      <alignment horizontal="center" vertical="center"/>
    </xf>
    <xf numFmtId="43" fontId="10" fillId="0" borderId="1" xfId="2" applyFont="1" applyFill="1" applyBorder="1"/>
    <xf numFmtId="1" fontId="3" fillId="0" borderId="1" xfId="4" applyNumberFormat="1" applyFont="1" applyFill="1" applyBorder="1" applyAlignment="1" applyProtection="1">
      <alignment horizontal="center" vertical="center" wrapText="1"/>
      <protection locked="0"/>
    </xf>
    <xf numFmtId="1" fontId="3" fillId="0" borderId="1" xfId="2" applyNumberFormat="1" applyFont="1" applyFill="1" applyBorder="1" applyAlignment="1" applyProtection="1">
      <alignment horizontal="center" vertical="center" wrapText="1"/>
      <protection locked="0"/>
    </xf>
    <xf numFmtId="165" fontId="0" fillId="2" borderId="0" xfId="2" applyNumberFormat="1" applyFont="1" applyFill="1" applyAlignment="1" applyProtection="1">
      <alignment horizontal="center" vertical="center" wrapText="1"/>
    </xf>
    <xf numFmtId="165" fontId="0" fillId="2" borderId="0" xfId="2" applyNumberFormat="1" applyFont="1" applyFill="1" applyAlignment="1" applyProtection="1">
      <alignment horizontal="center" vertical="center" wrapText="1"/>
      <protection locked="0"/>
    </xf>
    <xf numFmtId="43" fontId="14" fillId="0" borderId="0" xfId="2" applyFont="1" applyFill="1" applyAlignment="1" applyProtection="1">
      <alignment vertical="center"/>
      <protection locked="0"/>
    </xf>
    <xf numFmtId="165" fontId="14" fillId="0" borderId="0" xfId="2" applyNumberFormat="1" applyFont="1" applyFill="1" applyAlignment="1" applyProtection="1">
      <alignment vertical="center"/>
      <protection locked="0"/>
    </xf>
    <xf numFmtId="14" fontId="16" fillId="0" borderId="0" xfId="2" applyNumberFormat="1" applyFont="1" applyFill="1" applyBorder="1" applyAlignment="1" applyProtection="1">
      <alignment horizontal="center" vertical="center" wrapText="1"/>
      <protection locked="0"/>
    </xf>
    <xf numFmtId="43" fontId="0" fillId="0" borderId="0" xfId="2" applyFont="1"/>
    <xf numFmtId="43" fontId="4" fillId="0" borderId="0" xfId="2" applyFont="1" applyAlignment="1" applyProtection="1">
      <alignment vertical="center" wrapText="1"/>
      <protection locked="0"/>
    </xf>
    <xf numFmtId="43" fontId="5" fillId="0" borderId="0" xfId="2" applyFont="1" applyAlignment="1" applyProtection="1">
      <alignment vertical="center"/>
      <protection locked="0"/>
    </xf>
    <xf numFmtId="43" fontId="4" fillId="0" borderId="0" xfId="2" applyFont="1" applyAlignment="1" applyProtection="1">
      <alignment horizontal="center" vertical="center" wrapText="1"/>
      <protection locked="0"/>
    </xf>
    <xf numFmtId="43" fontId="3" fillId="0" borderId="0" xfId="2" applyFont="1" applyAlignment="1" applyProtection="1">
      <alignment horizontal="right" vertical="center" wrapText="1"/>
      <protection locked="0"/>
    </xf>
    <xf numFmtId="43" fontId="3" fillId="0" borderId="0" xfId="0" applyNumberFormat="1" applyFont="1" applyAlignment="1" applyProtection="1">
      <alignment vertical="center" wrapText="1"/>
      <protection locked="0"/>
    </xf>
    <xf numFmtId="165" fontId="13" fillId="0" borderId="0" xfId="0" applyNumberFormat="1" applyFont="1" applyAlignment="1">
      <alignment horizontal="center" vertical="center"/>
    </xf>
    <xf numFmtId="0" fontId="15" fillId="0" borderId="0" xfId="0" applyFont="1" applyAlignment="1" applyProtection="1">
      <alignment vertical="center"/>
      <protection locked="0"/>
    </xf>
    <xf numFmtId="0" fontId="15" fillId="0" borderId="0" xfId="0" applyFont="1" applyAlignment="1" applyProtection="1">
      <alignment vertical="center" wrapText="1"/>
      <protection locked="0"/>
    </xf>
    <xf numFmtId="165" fontId="15" fillId="0" borderId="1" xfId="2" applyNumberFormat="1" applyFont="1" applyFill="1" applyBorder="1" applyAlignment="1" applyProtection="1">
      <alignment horizontal="center" vertical="center" wrapText="1"/>
      <protection locked="0"/>
    </xf>
    <xf numFmtId="0" fontId="18" fillId="0" borderId="1" xfId="2" applyNumberFormat="1" applyFont="1" applyFill="1" applyBorder="1" applyAlignment="1" applyProtection="1">
      <alignment horizontal="center" vertical="center" wrapText="1"/>
      <protection locked="0"/>
    </xf>
    <xf numFmtId="1" fontId="18" fillId="0" borderId="1" xfId="2" applyNumberFormat="1" applyFont="1" applyFill="1" applyBorder="1" applyAlignment="1" applyProtection="1">
      <alignment horizontal="center" vertical="center"/>
      <protection locked="0"/>
    </xf>
    <xf numFmtId="165" fontId="18" fillId="0" borderId="1" xfId="2" applyNumberFormat="1" applyFont="1" applyFill="1" applyBorder="1" applyAlignment="1" applyProtection="1">
      <alignment horizontal="center" vertical="center" wrapText="1"/>
      <protection locked="0"/>
    </xf>
    <xf numFmtId="0" fontId="4" fillId="0" borderId="8" xfId="2" applyNumberFormat="1"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165" fontId="4" fillId="0" borderId="5" xfId="2" applyNumberFormat="1" applyFont="1" applyFill="1" applyBorder="1" applyAlignment="1" applyProtection="1">
      <alignment horizontal="center" vertical="center" wrapText="1"/>
      <protection locked="0"/>
    </xf>
    <xf numFmtId="0" fontId="4" fillId="0" borderId="5" xfId="5" applyFont="1" applyBorder="1" applyAlignment="1" applyProtection="1">
      <alignment horizontal="center" vertical="center" wrapText="1"/>
      <protection locked="0"/>
    </xf>
    <xf numFmtId="0" fontId="4" fillId="0" borderId="5" xfId="2" applyNumberFormat="1" applyFont="1" applyFill="1" applyBorder="1" applyAlignment="1" applyProtection="1">
      <alignment horizontal="center" vertical="center" wrapText="1"/>
      <protection locked="0"/>
    </xf>
    <xf numFmtId="1" fontId="4" fillId="0" borderId="5" xfId="0" applyNumberFormat="1" applyFont="1" applyBorder="1" applyAlignment="1" applyProtection="1">
      <alignment horizontal="center" vertical="center" wrapText="1"/>
      <protection locked="0"/>
    </xf>
    <xf numFmtId="14" fontId="4" fillId="0" borderId="5" xfId="0" applyNumberFormat="1" applyFont="1" applyBorder="1" applyAlignment="1" applyProtection="1">
      <alignment horizontal="center" vertical="center" wrapText="1"/>
      <protection locked="0"/>
    </xf>
    <xf numFmtId="14" fontId="4" fillId="0" borderId="5" xfId="4" applyNumberFormat="1" applyFont="1" applyFill="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17" fillId="0" borderId="5" xfId="0" applyFont="1" applyBorder="1" applyAlignment="1" applyProtection="1">
      <alignment horizontal="center" vertical="center" wrapText="1"/>
      <protection locked="0"/>
    </xf>
    <xf numFmtId="0" fontId="4" fillId="0" borderId="9" xfId="5" applyFont="1" applyBorder="1" applyAlignment="1" applyProtection="1">
      <alignment horizontal="center" vertical="center" wrapText="1"/>
      <protection locked="0"/>
    </xf>
    <xf numFmtId="0" fontId="4" fillId="0" borderId="0" xfId="0" applyFont="1" applyAlignment="1" applyProtection="1">
      <alignment vertical="center" wrapText="1"/>
      <protection locked="0"/>
    </xf>
    <xf numFmtId="165" fontId="14" fillId="0" borderId="1" xfId="2" applyNumberFormat="1" applyFont="1" applyFill="1" applyBorder="1" applyAlignment="1" applyProtection="1">
      <alignment horizontal="center" vertical="center" wrapText="1"/>
      <protection locked="0"/>
    </xf>
    <xf numFmtId="1" fontId="14" fillId="0" borderId="1" xfId="2" applyNumberFormat="1" applyFont="1" applyFill="1" applyBorder="1" applyAlignment="1" applyProtection="1">
      <alignment horizontal="center" vertical="center"/>
      <protection locked="0"/>
    </xf>
    <xf numFmtId="0" fontId="14" fillId="0" borderId="7" xfId="2" applyNumberFormat="1" applyFont="1" applyFill="1" applyBorder="1" applyAlignment="1" applyProtection="1">
      <alignment horizontal="center" vertical="center" wrapText="1"/>
      <protection locked="0"/>
    </xf>
    <xf numFmtId="43" fontId="15" fillId="0" borderId="0" xfId="0" applyNumberFormat="1" applyFont="1" applyAlignment="1" applyProtection="1">
      <alignment vertical="center" wrapText="1"/>
      <protection locked="0"/>
    </xf>
    <xf numFmtId="0" fontId="14" fillId="0" borderId="1" xfId="2" applyNumberFormat="1" applyFont="1" applyFill="1" applyBorder="1" applyAlignment="1" applyProtection="1">
      <alignment horizontal="center" vertical="center" wrapText="1"/>
      <protection locked="0"/>
    </xf>
    <xf numFmtId="1" fontId="14" fillId="0" borderId="1" xfId="4" applyNumberFormat="1" applyFont="1" applyFill="1" applyBorder="1" applyAlignment="1" applyProtection="1">
      <alignment horizontal="center" vertical="center" wrapText="1"/>
      <protection locked="0"/>
    </xf>
    <xf numFmtId="165" fontId="3" fillId="0" borderId="3" xfId="2" applyNumberFormat="1" applyFont="1" applyFill="1" applyBorder="1" applyAlignment="1" applyProtection="1">
      <alignment horizontal="center" vertical="center" wrapText="1"/>
      <protection locked="0"/>
    </xf>
    <xf numFmtId="0" fontId="3" fillId="0" borderId="10" xfId="2" applyNumberFormat="1" applyFont="1" applyFill="1" applyBorder="1" applyAlignment="1" applyProtection="1">
      <alignment horizontal="center" vertical="center" wrapText="1"/>
      <protection locked="0"/>
    </xf>
    <xf numFmtId="0" fontId="3" fillId="0" borderId="3" xfId="2" applyNumberFormat="1" applyFont="1" applyFill="1" applyBorder="1" applyAlignment="1" applyProtection="1">
      <alignment horizontal="center" vertical="center" wrapText="1"/>
      <protection locked="0"/>
    </xf>
    <xf numFmtId="1" fontId="3" fillId="0" borderId="3" xfId="4" applyNumberFormat="1" applyFont="1" applyFill="1" applyBorder="1" applyAlignment="1" applyProtection="1">
      <alignment horizontal="center" vertical="center" wrapText="1"/>
      <protection locked="0"/>
    </xf>
    <xf numFmtId="1" fontId="3" fillId="0" borderId="3" xfId="2" applyNumberFormat="1" applyFont="1" applyFill="1" applyBorder="1" applyAlignment="1" applyProtection="1">
      <alignment horizontal="center" vertical="center"/>
      <protection locked="0"/>
    </xf>
    <xf numFmtId="43" fontId="3" fillId="0" borderId="1" xfId="2" applyFont="1" applyFill="1" applyBorder="1" applyAlignment="1" applyProtection="1">
      <alignment horizontal="center" vertical="center" wrapText="1"/>
      <protection locked="0"/>
    </xf>
    <xf numFmtId="0" fontId="14" fillId="0" borderId="10" xfId="2" applyNumberFormat="1" applyFont="1" applyFill="1" applyBorder="1" applyAlignment="1" applyProtection="1">
      <alignment horizontal="center" vertical="center" wrapText="1"/>
      <protection locked="0"/>
    </xf>
    <xf numFmtId="0" fontId="14" fillId="0" borderId="3" xfId="2" applyNumberFormat="1" applyFont="1" applyFill="1" applyBorder="1" applyAlignment="1" applyProtection="1">
      <alignment horizontal="center" vertical="center" wrapText="1"/>
      <protection locked="0"/>
    </xf>
    <xf numFmtId="1" fontId="14" fillId="0" borderId="3" xfId="4" applyNumberFormat="1" applyFont="1" applyFill="1" applyBorder="1" applyAlignment="1" applyProtection="1">
      <alignment horizontal="center" vertical="center" wrapText="1"/>
      <protection locked="0"/>
    </xf>
    <xf numFmtId="1" fontId="14" fillId="0" borderId="3" xfId="2" applyNumberFormat="1" applyFont="1" applyFill="1" applyBorder="1" applyAlignment="1" applyProtection="1">
      <alignment horizontal="center" vertical="center"/>
      <protection locked="0"/>
    </xf>
    <xf numFmtId="165" fontId="14" fillId="0" borderId="3" xfId="2" applyNumberFormat="1" applyFont="1" applyFill="1" applyBorder="1" applyAlignment="1" applyProtection="1">
      <alignment horizontal="center" vertical="center" wrapText="1"/>
      <protection locked="0"/>
    </xf>
    <xf numFmtId="43" fontId="3" fillId="0" borderId="3" xfId="2" applyFont="1" applyFill="1" applyBorder="1" applyAlignment="1" applyProtection="1">
      <alignment horizontal="center" vertical="center" wrapText="1"/>
      <protection locked="0"/>
    </xf>
    <xf numFmtId="0" fontId="20" fillId="0" borderId="10" xfId="2" applyNumberFormat="1" applyFont="1" applyFill="1" applyBorder="1" applyAlignment="1" applyProtection="1">
      <alignment horizontal="center" vertical="center" wrapText="1"/>
      <protection locked="0"/>
    </xf>
    <xf numFmtId="165" fontId="20" fillId="0" borderId="1" xfId="2" applyNumberFormat="1" applyFont="1" applyFill="1" applyBorder="1" applyAlignment="1" applyProtection="1">
      <alignment horizontal="center" vertical="center" wrapText="1"/>
      <protection locked="0"/>
    </xf>
    <xf numFmtId="0" fontId="20" fillId="0" borderId="1" xfId="2" applyNumberFormat="1" applyFont="1" applyFill="1" applyBorder="1" applyAlignment="1" applyProtection="1">
      <alignment horizontal="center" vertical="center" wrapText="1"/>
      <protection locked="0"/>
    </xf>
    <xf numFmtId="43" fontId="21" fillId="0" borderId="1" xfId="2" applyFont="1" applyFill="1" applyBorder="1" applyAlignment="1" applyProtection="1">
      <alignment horizontal="center" vertical="center" wrapText="1"/>
      <protection locked="0"/>
    </xf>
    <xf numFmtId="165" fontId="21" fillId="0" borderId="1" xfId="2" applyNumberFormat="1" applyFont="1" applyFill="1" applyBorder="1" applyAlignment="1" applyProtection="1">
      <alignment horizontal="center" vertical="center" wrapText="1"/>
      <protection locked="0"/>
    </xf>
    <xf numFmtId="0" fontId="21" fillId="0" borderId="1" xfId="2" applyNumberFormat="1" applyFont="1" applyFill="1" applyBorder="1" applyAlignment="1" applyProtection="1">
      <alignment horizontal="center" vertical="center" wrapText="1"/>
      <protection locked="0"/>
    </xf>
    <xf numFmtId="43" fontId="20" fillId="0" borderId="1" xfId="2" applyFont="1" applyFill="1" applyBorder="1" applyAlignment="1" applyProtection="1">
      <alignment horizontal="center" vertical="center" wrapText="1"/>
      <protection locked="0"/>
    </xf>
    <xf numFmtId="0" fontId="0" fillId="0" borderId="0" xfId="0" pivotButton="1"/>
    <xf numFmtId="165" fontId="0" fillId="0" borderId="0" xfId="0" applyNumberFormat="1"/>
    <xf numFmtId="1" fontId="3" fillId="0" borderId="1" xfId="1" applyNumberFormat="1" applyFont="1" applyFill="1" applyBorder="1" applyAlignment="1" applyProtection="1">
      <alignment horizontal="center" vertical="center" wrapText="1"/>
      <protection locked="0"/>
    </xf>
    <xf numFmtId="0" fontId="23" fillId="0" borderId="10" xfId="2" applyNumberFormat="1" applyFont="1" applyFill="1" applyBorder="1" applyAlignment="1" applyProtection="1">
      <alignment horizontal="center" vertical="center" wrapText="1"/>
      <protection locked="0"/>
    </xf>
    <xf numFmtId="43" fontId="3" fillId="0" borderId="0" xfId="2" applyFont="1" applyFill="1" applyAlignment="1" applyProtection="1">
      <alignment vertical="center" wrapText="1"/>
      <protection locked="0"/>
    </xf>
    <xf numFmtId="37" fontId="5" fillId="0" borderId="0" xfId="0" applyNumberFormat="1" applyFont="1" applyAlignment="1" applyProtection="1">
      <alignment horizontal="center" vertical="center"/>
      <protection locked="0"/>
    </xf>
    <xf numFmtId="165" fontId="0" fillId="0" borderId="0" xfId="2" applyNumberFormat="1" applyFont="1" applyFill="1" applyAlignment="1" applyProtection="1">
      <alignment horizontal="center" vertical="center" wrapText="1"/>
      <protection locked="0"/>
    </xf>
    <xf numFmtId="43" fontId="0" fillId="0" borderId="0" xfId="2" applyFont="1" applyFill="1"/>
    <xf numFmtId="43" fontId="14" fillId="0" borderId="3" xfId="2" applyFont="1" applyFill="1" applyBorder="1" applyAlignment="1" applyProtection="1">
      <alignment horizontal="center" vertical="center" wrapText="1"/>
      <protection locked="0"/>
    </xf>
    <xf numFmtId="43" fontId="14" fillId="0" borderId="1" xfId="2" applyFont="1" applyFill="1" applyBorder="1" applyAlignment="1" applyProtection="1">
      <alignment horizontal="center" vertical="center" wrapText="1"/>
      <protection locked="0"/>
    </xf>
    <xf numFmtId="0" fontId="20" fillId="0" borderId="7" xfId="2" applyNumberFormat="1" applyFont="1" applyFill="1" applyBorder="1" applyAlignment="1" applyProtection="1">
      <alignment horizontal="center" vertical="center" wrapText="1"/>
      <protection locked="0"/>
    </xf>
    <xf numFmtId="0" fontId="24" fillId="0" borderId="7" xfId="2" applyNumberFormat="1" applyFont="1" applyFill="1" applyBorder="1" applyAlignment="1" applyProtection="1">
      <alignment horizontal="center" vertical="center" wrapText="1"/>
      <protection locked="0"/>
    </xf>
    <xf numFmtId="1" fontId="24" fillId="0" borderId="1" xfId="4" applyNumberFormat="1" applyFont="1" applyFill="1" applyBorder="1" applyAlignment="1" applyProtection="1">
      <alignment horizontal="center" vertical="center" wrapText="1"/>
      <protection locked="0"/>
    </xf>
    <xf numFmtId="1" fontId="24" fillId="0" borderId="1" xfId="2" applyNumberFormat="1" applyFont="1" applyFill="1" applyBorder="1" applyAlignment="1" applyProtection="1">
      <alignment horizontal="center" vertical="center"/>
      <protection locked="0"/>
    </xf>
    <xf numFmtId="43" fontId="24" fillId="0" borderId="1" xfId="2" applyFont="1" applyFill="1" applyBorder="1" applyAlignment="1" applyProtection="1">
      <alignment horizontal="center" vertical="center" wrapText="1"/>
      <protection locked="0"/>
    </xf>
    <xf numFmtId="165" fontId="24" fillId="0" borderId="1" xfId="2" applyNumberFormat="1" applyFont="1" applyFill="1" applyBorder="1" applyAlignment="1" applyProtection="1">
      <alignment horizontal="center" vertical="center" wrapText="1"/>
      <protection locked="0"/>
    </xf>
    <xf numFmtId="0" fontId="24" fillId="0" borderId="1" xfId="2" applyNumberFormat="1" applyFont="1" applyFill="1" applyBorder="1" applyAlignment="1" applyProtection="1">
      <alignment horizontal="center" vertical="center" wrapText="1"/>
      <protection locked="0"/>
    </xf>
    <xf numFmtId="0" fontId="24" fillId="0" borderId="10" xfId="2" applyNumberFormat="1" applyFont="1" applyFill="1" applyBorder="1" applyAlignment="1" applyProtection="1">
      <alignment horizontal="center" vertical="center" wrapText="1"/>
      <protection locked="0"/>
    </xf>
    <xf numFmtId="0" fontId="20" fillId="0" borderId="3" xfId="2" applyNumberFormat="1" applyFont="1" applyFill="1" applyBorder="1" applyAlignment="1" applyProtection="1">
      <alignment horizontal="center" vertical="center" wrapText="1"/>
      <protection locked="0"/>
    </xf>
    <xf numFmtId="0" fontId="23" fillId="0" borderId="3" xfId="2" applyNumberFormat="1" applyFont="1" applyFill="1" applyBorder="1" applyAlignment="1" applyProtection="1">
      <alignment horizontal="center" vertical="center" wrapText="1"/>
      <protection locked="0"/>
    </xf>
    <xf numFmtId="1" fontId="24" fillId="0" borderId="3" xfId="4" applyNumberFormat="1" applyFont="1" applyFill="1" applyBorder="1" applyAlignment="1" applyProtection="1">
      <alignment horizontal="center" vertical="center" wrapText="1"/>
      <protection locked="0"/>
    </xf>
    <xf numFmtId="1" fontId="20" fillId="0" borderId="3" xfId="4" applyNumberFormat="1" applyFont="1" applyFill="1" applyBorder="1" applyAlignment="1" applyProtection="1">
      <alignment horizontal="center" vertical="center" wrapText="1"/>
      <protection locked="0"/>
    </xf>
    <xf numFmtId="1" fontId="14" fillId="0" borderId="1" xfId="2" applyNumberFormat="1" applyFont="1" applyFill="1" applyBorder="1" applyAlignment="1" applyProtection="1">
      <alignment horizontal="center" vertical="center" wrapText="1"/>
      <protection locked="0"/>
    </xf>
    <xf numFmtId="1" fontId="24" fillId="0" borderId="3" xfId="2" applyNumberFormat="1" applyFont="1" applyFill="1" applyBorder="1" applyAlignment="1" applyProtection="1">
      <alignment horizontal="center" vertical="center"/>
      <protection locked="0"/>
    </xf>
    <xf numFmtId="1" fontId="20" fillId="0" borderId="3" xfId="2" applyNumberFormat="1" applyFont="1" applyFill="1" applyBorder="1" applyAlignment="1" applyProtection="1">
      <alignment horizontal="center" vertical="center"/>
      <protection locked="0"/>
    </xf>
    <xf numFmtId="43" fontId="24" fillId="0" borderId="3" xfId="2" applyFont="1" applyFill="1" applyBorder="1" applyAlignment="1" applyProtection="1">
      <alignment horizontal="center" vertical="center" wrapText="1"/>
      <protection locked="0"/>
    </xf>
    <xf numFmtId="43" fontId="20" fillId="0" borderId="3" xfId="2" applyFont="1" applyFill="1" applyBorder="1" applyAlignment="1" applyProtection="1">
      <alignment horizontal="center" vertical="center" wrapText="1"/>
      <protection locked="0"/>
    </xf>
    <xf numFmtId="165" fontId="24" fillId="0" borderId="3" xfId="2" applyNumberFormat="1" applyFont="1" applyFill="1" applyBorder="1" applyAlignment="1" applyProtection="1">
      <alignment horizontal="center" vertical="center" wrapText="1"/>
      <protection locked="0"/>
    </xf>
    <xf numFmtId="165" fontId="20" fillId="0" borderId="3" xfId="2" applyNumberFormat="1" applyFont="1" applyFill="1" applyBorder="1" applyAlignment="1" applyProtection="1">
      <alignment horizontal="center" vertical="center" wrapText="1"/>
      <protection locked="0"/>
    </xf>
    <xf numFmtId="0" fontId="24" fillId="0" borderId="3" xfId="2" applyNumberFormat="1" applyFont="1" applyFill="1" applyBorder="1" applyAlignment="1" applyProtection="1">
      <alignment horizontal="center" vertical="center" wrapText="1"/>
      <protection locked="0"/>
    </xf>
    <xf numFmtId="1" fontId="20" fillId="0" borderId="1" xfId="4" applyNumberFormat="1" applyFont="1" applyFill="1" applyBorder="1" applyAlignment="1" applyProtection="1">
      <alignment horizontal="center" vertical="center" wrapText="1"/>
      <protection locked="0"/>
    </xf>
    <xf numFmtId="1" fontId="23" fillId="0" borderId="3" xfId="4" applyNumberFormat="1" applyFont="1" applyFill="1" applyBorder="1" applyAlignment="1" applyProtection="1">
      <alignment horizontal="center" vertical="center" wrapText="1"/>
      <protection locked="0"/>
    </xf>
    <xf numFmtId="1" fontId="20" fillId="0" borderId="1" xfId="2" applyNumberFormat="1" applyFont="1" applyFill="1" applyBorder="1" applyAlignment="1" applyProtection="1">
      <alignment horizontal="center" vertical="center"/>
      <protection locked="0"/>
    </xf>
    <xf numFmtId="1" fontId="23" fillId="0" borderId="3" xfId="2" applyNumberFormat="1" applyFont="1" applyFill="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1" fontId="3" fillId="0" borderId="1" xfId="0" applyNumberFormat="1" applyFont="1" applyBorder="1" applyAlignment="1" applyProtection="1">
      <alignment horizontal="center" vertical="center" wrapText="1"/>
      <protection locked="0"/>
    </xf>
    <xf numFmtId="0" fontId="3" fillId="0" borderId="1" xfId="5" applyFont="1" applyBorder="1" applyAlignment="1">
      <alignment horizontal="center" vertical="center" wrapText="1"/>
    </xf>
    <xf numFmtId="0" fontId="15" fillId="0" borderId="1" xfId="5" applyFont="1" applyBorder="1" applyAlignment="1" applyProtection="1">
      <alignment horizontal="center" vertical="center" wrapText="1"/>
      <protection locked="0"/>
    </xf>
    <xf numFmtId="0" fontId="3" fillId="0" borderId="6" xfId="5"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4" fillId="0" borderId="1" xfId="5" applyFont="1" applyBorder="1" applyAlignment="1" applyProtection="1">
      <alignment horizontal="center" vertical="center" wrapText="1"/>
      <protection locked="0"/>
    </xf>
    <xf numFmtId="1" fontId="14" fillId="0" borderId="1" xfId="0" applyNumberFormat="1" applyFont="1" applyBorder="1" applyAlignment="1" applyProtection="1">
      <alignment horizontal="center" vertical="center" wrapText="1"/>
      <protection locked="0"/>
    </xf>
    <xf numFmtId="0" fontId="14" fillId="0" borderId="1" xfId="5" applyFont="1" applyBorder="1" applyAlignment="1">
      <alignment horizontal="center" vertical="center" wrapText="1"/>
    </xf>
    <xf numFmtId="0" fontId="14" fillId="0" borderId="6" xfId="5"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18" fillId="0" borderId="1" xfId="5" applyFont="1" applyBorder="1" applyAlignment="1" applyProtection="1">
      <alignment horizontal="center" vertical="center" wrapText="1"/>
      <protection locked="0"/>
    </xf>
    <xf numFmtId="1" fontId="18" fillId="0" borderId="1" xfId="0" applyNumberFormat="1" applyFont="1" applyBorder="1" applyAlignment="1" applyProtection="1">
      <alignment horizontal="center" vertical="center" wrapText="1"/>
      <protection locked="0"/>
    </xf>
    <xf numFmtId="0" fontId="18" fillId="0" borderId="1" xfId="5" applyFont="1" applyBorder="1" applyAlignment="1">
      <alignment horizontal="center" vertical="center" wrapText="1"/>
    </xf>
    <xf numFmtId="0" fontId="18" fillId="0" borderId="6" xfId="5" applyFont="1" applyBorder="1" applyAlignment="1" applyProtection="1">
      <alignment horizontal="center" vertical="center" wrapText="1"/>
      <protection locked="0"/>
    </xf>
    <xf numFmtId="0" fontId="15" fillId="0" borderId="1" xfId="5" applyFont="1" applyBorder="1" applyAlignment="1">
      <alignment horizontal="center" vertical="center" wrapText="1"/>
    </xf>
    <xf numFmtId="0" fontId="14" fillId="0" borderId="1" xfId="0" applyFont="1" applyBorder="1" applyAlignment="1" applyProtection="1">
      <alignment vertical="center" wrapText="1"/>
      <protection locked="0"/>
    </xf>
    <xf numFmtId="0" fontId="23" fillId="0" borderId="1"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1" fontId="3" fillId="0" borderId="3" xfId="0" applyNumberFormat="1" applyFont="1" applyBorder="1" applyAlignment="1" applyProtection="1">
      <alignment horizontal="center" vertical="center" wrapText="1"/>
      <protection locked="0"/>
    </xf>
    <xf numFmtId="0" fontId="3" fillId="0" borderId="3" xfId="5" applyFont="1" applyBorder="1" applyAlignment="1">
      <alignment horizontal="center" vertical="center" wrapText="1"/>
    </xf>
    <xf numFmtId="0" fontId="3" fillId="0" borderId="3" xfId="5" applyFont="1" applyBorder="1" applyAlignment="1" applyProtection="1">
      <alignment horizontal="center" vertical="center" wrapText="1"/>
      <protection locked="0"/>
    </xf>
    <xf numFmtId="0" fontId="15" fillId="0" borderId="3" xfId="5" applyFont="1" applyBorder="1" applyAlignment="1" applyProtection="1">
      <alignment horizontal="center" vertical="center" wrapText="1"/>
      <protection locked="0"/>
    </xf>
    <xf numFmtId="0" fontId="3" fillId="0" borderId="11" xfId="5"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3" xfId="5" applyFont="1" applyBorder="1" applyAlignment="1" applyProtection="1">
      <alignment horizontal="center" vertical="center" wrapText="1"/>
      <protection locked="0"/>
    </xf>
    <xf numFmtId="1" fontId="14" fillId="0" borderId="3" xfId="0" applyNumberFormat="1" applyFont="1" applyBorder="1" applyAlignment="1" applyProtection="1">
      <alignment horizontal="center" vertical="center" wrapText="1"/>
      <protection locked="0"/>
    </xf>
    <xf numFmtId="0" fontId="14" fillId="0" borderId="3" xfId="5" applyFont="1" applyBorder="1" applyAlignment="1">
      <alignment horizontal="center" vertical="center" wrapText="1"/>
    </xf>
    <xf numFmtId="0" fontId="14" fillId="0" borderId="11" xfId="5" applyFont="1" applyBorder="1" applyAlignment="1" applyProtection="1">
      <alignment horizontal="center" vertical="center" wrapText="1"/>
      <protection locked="0"/>
    </xf>
    <xf numFmtId="0" fontId="20" fillId="0" borderId="3" xfId="0" applyFont="1" applyBorder="1" applyAlignment="1" applyProtection="1">
      <alignment horizontal="center" vertical="center" wrapText="1"/>
      <protection locked="0"/>
    </xf>
    <xf numFmtId="0" fontId="20" fillId="0" borderId="3" xfId="5" applyFont="1" applyBorder="1" applyAlignment="1" applyProtection="1">
      <alignment horizontal="center" vertical="center" wrapText="1"/>
      <protection locked="0"/>
    </xf>
    <xf numFmtId="1" fontId="20" fillId="0" borderId="3" xfId="0" applyNumberFormat="1" applyFont="1" applyBorder="1" applyAlignment="1" applyProtection="1">
      <alignment horizontal="center" vertical="center" wrapText="1"/>
      <protection locked="0"/>
    </xf>
    <xf numFmtId="0" fontId="20" fillId="0" borderId="3" xfId="5" applyFont="1" applyBorder="1" applyAlignment="1">
      <alignment horizontal="center" vertical="center" wrapText="1"/>
    </xf>
    <xf numFmtId="0" fontId="20" fillId="0" borderId="11" xfId="5"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1" fontId="20" fillId="0" borderId="1" xfId="0" applyNumberFormat="1" applyFont="1" applyBorder="1" applyAlignment="1" applyProtection="1">
      <alignment horizontal="center" vertical="center" wrapText="1"/>
      <protection locked="0"/>
    </xf>
    <xf numFmtId="0" fontId="20" fillId="0" borderId="1" xfId="5" applyFont="1" applyBorder="1" applyAlignment="1" applyProtection="1">
      <alignment horizontal="center" vertical="center" wrapText="1"/>
      <protection locked="0"/>
    </xf>
    <xf numFmtId="0" fontId="20" fillId="0" borderId="1" xfId="5" applyFont="1" applyBorder="1" applyAlignment="1">
      <alignment horizontal="center" vertical="center" wrapText="1"/>
    </xf>
    <xf numFmtId="0" fontId="20" fillId="0" borderId="6" xfId="5" applyFont="1" applyBorder="1" applyAlignment="1" applyProtection="1">
      <alignment horizontal="center" vertical="center" wrapText="1"/>
      <protection locked="0"/>
    </xf>
    <xf numFmtId="0" fontId="22" fillId="0" borderId="1" xfId="2" applyNumberFormat="1" applyFont="1" applyFill="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21" fillId="0" borderId="1" xfId="5" applyFont="1" applyBorder="1" applyAlignment="1" applyProtection="1">
      <alignment horizontal="center" vertical="center" wrapText="1"/>
      <protection locked="0"/>
    </xf>
    <xf numFmtId="0" fontId="22" fillId="0" borderId="1" xfId="5" applyFont="1" applyBorder="1" applyAlignment="1">
      <alignment horizontal="center" vertical="center" wrapText="1"/>
    </xf>
    <xf numFmtId="0" fontId="23" fillId="0" borderId="3" xfId="0" applyFont="1" applyBorder="1" applyAlignment="1" applyProtection="1">
      <alignment horizontal="center" vertical="center" wrapText="1"/>
      <protection locked="0"/>
    </xf>
    <xf numFmtId="0" fontId="23" fillId="0" borderId="3" xfId="5" applyFont="1" applyBorder="1" applyAlignment="1" applyProtection="1">
      <alignment horizontal="center" vertical="center" wrapText="1"/>
      <protection locked="0"/>
    </xf>
    <xf numFmtId="1" fontId="23" fillId="0" borderId="3" xfId="0" applyNumberFormat="1" applyFont="1" applyBorder="1" applyAlignment="1" applyProtection="1">
      <alignment horizontal="center" vertical="center" wrapText="1"/>
      <protection locked="0"/>
    </xf>
    <xf numFmtId="0" fontId="23" fillId="0" borderId="3" xfId="5" applyFont="1" applyBorder="1" applyAlignment="1">
      <alignment horizontal="center" vertical="center" wrapText="1"/>
    </xf>
    <xf numFmtId="0" fontId="23" fillId="0" borderId="11" xfId="5" applyFont="1" applyBorder="1" applyAlignment="1" applyProtection="1">
      <alignment horizontal="center" vertical="center" wrapText="1"/>
      <protection locked="0"/>
    </xf>
    <xf numFmtId="0" fontId="23" fillId="0" borderId="1" xfId="5" applyFont="1" applyBorder="1" applyAlignment="1" applyProtection="1">
      <alignment horizontal="center" vertical="center" wrapText="1"/>
      <protection locked="0"/>
    </xf>
    <xf numFmtId="0" fontId="24" fillId="0" borderId="3" xfId="0" applyFont="1" applyBorder="1" applyAlignment="1" applyProtection="1">
      <alignment horizontal="center" vertical="center" wrapText="1"/>
      <protection locked="0"/>
    </xf>
    <xf numFmtId="1" fontId="24" fillId="0" borderId="3" xfId="0" applyNumberFormat="1" applyFont="1" applyBorder="1" applyAlignment="1" applyProtection="1">
      <alignment horizontal="center" vertical="center" wrapText="1"/>
      <protection locked="0"/>
    </xf>
    <xf numFmtId="0" fontId="24" fillId="0" borderId="3" xfId="5" applyFont="1" applyBorder="1" applyAlignment="1">
      <alignment horizontal="center" vertical="center" wrapText="1"/>
    </xf>
    <xf numFmtId="0" fontId="24" fillId="0" borderId="11" xfId="5"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1" fontId="24" fillId="0" borderId="1" xfId="0" applyNumberFormat="1" applyFont="1" applyBorder="1" applyAlignment="1" applyProtection="1">
      <alignment horizontal="center" vertical="center" wrapText="1"/>
      <protection locked="0"/>
    </xf>
    <xf numFmtId="0" fontId="24" fillId="0" borderId="1" xfId="5" applyFont="1" applyBorder="1" applyAlignment="1">
      <alignment horizontal="center" vertical="center" wrapText="1"/>
    </xf>
    <xf numFmtId="0" fontId="24" fillId="0" borderId="6" xfId="5" applyFont="1" applyBorder="1" applyAlignment="1" applyProtection="1">
      <alignment horizontal="center" vertical="center" wrapText="1"/>
      <protection locked="0"/>
    </xf>
    <xf numFmtId="0" fontId="24" fillId="0" borderId="1" xfId="5" applyFont="1" applyBorder="1" applyAlignment="1" applyProtection="1">
      <alignment horizontal="center" vertical="center" wrapText="1"/>
      <protection locked="0"/>
    </xf>
    <xf numFmtId="0" fontId="24" fillId="0" borderId="3" xfId="5" applyFont="1" applyBorder="1" applyAlignment="1" applyProtection="1">
      <alignment horizontal="center" vertical="center" wrapText="1"/>
      <protection locked="0"/>
    </xf>
    <xf numFmtId="0" fontId="25" fillId="0" borderId="1" xfId="2" applyNumberFormat="1" applyFont="1" applyFill="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165" fontId="25" fillId="0" borderId="1" xfId="2" applyNumberFormat="1" applyFont="1" applyFill="1" applyBorder="1" applyAlignment="1" applyProtection="1">
      <alignment horizontal="center" vertical="center" wrapText="1"/>
      <protection locked="0"/>
    </xf>
    <xf numFmtId="0" fontId="25" fillId="0" borderId="1" xfId="5" applyFont="1" applyBorder="1" applyAlignment="1" applyProtection="1">
      <alignment horizontal="center" vertical="center" wrapText="1"/>
      <protection locked="0"/>
    </xf>
    <xf numFmtId="0" fontId="25" fillId="0" borderId="6" xfId="5" applyFont="1" applyBorder="1" applyAlignment="1" applyProtection="1">
      <alignment horizontal="center" vertical="center" wrapText="1"/>
      <protection locked="0"/>
    </xf>
    <xf numFmtId="43" fontId="26" fillId="0" borderId="3" xfId="2" applyFont="1" applyFill="1" applyBorder="1" applyAlignment="1" applyProtection="1">
      <alignment horizontal="center" vertical="center" wrapText="1"/>
      <protection locked="0"/>
    </xf>
    <xf numFmtId="165" fontId="4" fillId="0" borderId="0" xfId="2" applyNumberFormat="1" applyFont="1" applyAlignment="1" applyProtection="1">
      <alignment vertical="center" wrapText="1"/>
      <protection locked="0"/>
    </xf>
    <xf numFmtId="165" fontId="5" fillId="0" borderId="0" xfId="2" applyNumberFormat="1" applyFont="1" applyAlignment="1" applyProtection="1">
      <alignment horizontal="center" vertical="center"/>
      <protection locked="0"/>
    </xf>
    <xf numFmtId="165" fontId="4" fillId="0" borderId="0" xfId="2" applyNumberFormat="1" applyFont="1" applyAlignment="1" applyProtection="1">
      <alignment horizontal="center" vertical="center" wrapText="1"/>
      <protection locked="0"/>
    </xf>
    <xf numFmtId="165" fontId="3" fillId="0" borderId="0" xfId="2" applyNumberFormat="1" applyFont="1" applyAlignment="1" applyProtection="1">
      <alignment horizontal="center" vertical="center" wrapText="1"/>
      <protection locked="0"/>
    </xf>
    <xf numFmtId="165" fontId="23" fillId="0" borderId="3" xfId="2" applyNumberFormat="1" applyFont="1" applyFill="1" applyBorder="1" applyAlignment="1" applyProtection="1">
      <alignment horizontal="center" vertical="center" wrapText="1"/>
      <protection locked="0"/>
    </xf>
    <xf numFmtId="0" fontId="3" fillId="4" borderId="1" xfId="5" applyFont="1" applyFill="1" applyBorder="1" applyAlignment="1" applyProtection="1">
      <alignment horizontal="center" vertical="center" wrapText="1"/>
      <protection locked="0"/>
    </xf>
    <xf numFmtId="0" fontId="14" fillId="4" borderId="1" xfId="5" applyFont="1" applyFill="1" applyBorder="1" applyAlignment="1" applyProtection="1">
      <alignment horizontal="center" vertical="center" wrapText="1"/>
      <protection locked="0"/>
    </xf>
    <xf numFmtId="0" fontId="14" fillId="4" borderId="1" xfId="5" applyFont="1" applyFill="1" applyBorder="1" applyAlignment="1">
      <alignment horizontal="center" vertical="center" wrapText="1"/>
    </xf>
    <xf numFmtId="0" fontId="15" fillId="5" borderId="1" xfId="5" applyFont="1" applyFill="1" applyBorder="1" applyAlignment="1" applyProtection="1">
      <alignment horizontal="center" vertical="center" wrapText="1"/>
      <protection locked="0"/>
    </xf>
    <xf numFmtId="0" fontId="14" fillId="4" borderId="7" xfId="2" applyNumberFormat="1" applyFont="1" applyFill="1" applyBorder="1" applyAlignment="1" applyProtection="1">
      <alignment horizontal="center" vertical="center" wrapText="1"/>
      <protection locked="0"/>
    </xf>
    <xf numFmtId="0" fontId="14" fillId="4" borderId="1" xfId="2" applyNumberFormat="1" applyFont="1" applyFill="1" applyBorder="1" applyAlignment="1" applyProtection="1">
      <alignment horizontal="center" vertical="center" wrapText="1"/>
      <protection locked="0"/>
    </xf>
    <xf numFmtId="0" fontId="14" fillId="4" borderId="1" xfId="0" applyFont="1" applyFill="1" applyBorder="1" applyAlignment="1" applyProtection="1">
      <alignment horizontal="center" vertical="center" wrapText="1"/>
      <protection locked="0"/>
    </xf>
    <xf numFmtId="1" fontId="14" fillId="4" borderId="1" xfId="4" applyNumberFormat="1" applyFont="1" applyFill="1" applyBorder="1" applyAlignment="1" applyProtection="1">
      <alignment horizontal="center" vertical="center" wrapText="1"/>
      <protection locked="0"/>
    </xf>
    <xf numFmtId="1" fontId="14" fillId="4" borderId="1" xfId="0" applyNumberFormat="1" applyFont="1" applyFill="1" applyBorder="1" applyAlignment="1" applyProtection="1">
      <alignment horizontal="center" vertical="center" wrapText="1"/>
      <protection locked="0"/>
    </xf>
    <xf numFmtId="1" fontId="14" fillId="4" borderId="1" xfId="2" applyNumberFormat="1" applyFont="1" applyFill="1" applyBorder="1" applyAlignment="1" applyProtection="1">
      <alignment horizontal="center" vertical="center"/>
      <protection locked="0"/>
    </xf>
    <xf numFmtId="165" fontId="14" fillId="4" borderId="1" xfId="2" applyNumberFormat="1" applyFont="1" applyFill="1" applyBorder="1" applyAlignment="1" applyProtection="1">
      <alignment horizontal="center" vertical="center" wrapText="1"/>
      <protection locked="0"/>
    </xf>
    <xf numFmtId="165" fontId="3" fillId="4" borderId="1" xfId="2" applyNumberFormat="1" applyFont="1" applyFill="1" applyBorder="1" applyAlignment="1" applyProtection="1">
      <alignment horizontal="center" vertical="center" wrapText="1"/>
      <protection locked="0"/>
    </xf>
    <xf numFmtId="0" fontId="14" fillId="4" borderId="6" xfId="5" applyFont="1" applyFill="1" applyBorder="1" applyAlignment="1" applyProtection="1">
      <alignment horizontal="center" vertical="center" wrapText="1"/>
      <protection locked="0"/>
    </xf>
    <xf numFmtId="0" fontId="3" fillId="4" borderId="7" xfId="2" applyNumberFormat="1" applyFont="1" applyFill="1" applyBorder="1" applyAlignment="1" applyProtection="1">
      <alignment horizontal="center" vertical="center" wrapText="1"/>
      <protection locked="0"/>
    </xf>
    <xf numFmtId="0" fontId="3" fillId="4" borderId="1" xfId="2" applyNumberFormat="1"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1" fontId="3" fillId="4" borderId="1" xfId="4" applyNumberFormat="1" applyFont="1" applyFill="1" applyBorder="1" applyAlignment="1" applyProtection="1">
      <alignment horizontal="center" vertical="center" wrapText="1"/>
      <protection locked="0"/>
    </xf>
    <xf numFmtId="1" fontId="3" fillId="4" borderId="1" xfId="0" applyNumberFormat="1" applyFont="1" applyFill="1" applyBorder="1" applyAlignment="1" applyProtection="1">
      <alignment horizontal="center" vertical="center" wrapText="1"/>
      <protection locked="0"/>
    </xf>
    <xf numFmtId="1" fontId="3" fillId="4" borderId="1" xfId="2" applyNumberFormat="1" applyFont="1" applyFill="1" applyBorder="1" applyAlignment="1" applyProtection="1">
      <alignment horizontal="center" vertical="center"/>
      <protection locked="0"/>
    </xf>
    <xf numFmtId="0" fontId="3" fillId="4" borderId="1" xfId="5" applyFont="1" applyFill="1" applyBorder="1" applyAlignment="1">
      <alignment horizontal="center" vertical="center" wrapText="1"/>
    </xf>
    <xf numFmtId="0" fontId="3" fillId="4" borderId="6" xfId="5" applyFont="1" applyFill="1" applyBorder="1" applyAlignment="1" applyProtection="1">
      <alignment horizontal="center" vertical="center" wrapText="1"/>
      <protection locked="0"/>
    </xf>
    <xf numFmtId="43" fontId="3" fillId="4" borderId="1" xfId="2" applyFont="1" applyFill="1" applyBorder="1" applyAlignment="1" applyProtection="1">
      <alignment horizontal="center" vertical="center" wrapText="1"/>
      <protection locked="0"/>
    </xf>
    <xf numFmtId="0" fontId="24" fillId="4" borderId="1" xfId="2" applyNumberFormat="1" applyFont="1" applyFill="1" applyBorder="1" applyAlignment="1" applyProtection="1">
      <alignment horizontal="center" vertical="center" wrapText="1"/>
      <protection locked="0"/>
    </xf>
    <xf numFmtId="0" fontId="24" fillId="4" borderId="1" xfId="0" applyFont="1" applyFill="1" applyBorder="1" applyAlignment="1" applyProtection="1">
      <alignment horizontal="center" vertical="center" wrapText="1"/>
      <protection locked="0"/>
    </xf>
    <xf numFmtId="0" fontId="24" fillId="4" borderId="1" xfId="5" applyFont="1" applyFill="1" applyBorder="1" applyAlignment="1" applyProtection="1">
      <alignment horizontal="center" vertical="center" wrapText="1"/>
      <protection locked="0"/>
    </xf>
    <xf numFmtId="1" fontId="24" fillId="4" borderId="1" xfId="0" applyNumberFormat="1" applyFont="1" applyFill="1" applyBorder="1" applyAlignment="1" applyProtection="1">
      <alignment horizontal="center" vertical="center" wrapText="1"/>
      <protection locked="0"/>
    </xf>
    <xf numFmtId="1" fontId="24" fillId="4" borderId="1" xfId="2" applyNumberFormat="1" applyFont="1" applyFill="1" applyBorder="1" applyAlignment="1" applyProtection="1">
      <alignment horizontal="center" vertical="center"/>
      <protection locked="0"/>
    </xf>
    <xf numFmtId="165" fontId="24" fillId="4" borderId="1" xfId="2" applyNumberFormat="1" applyFont="1" applyFill="1" applyBorder="1" applyAlignment="1" applyProtection="1">
      <alignment horizontal="center" vertical="center" wrapText="1"/>
      <protection locked="0"/>
    </xf>
    <xf numFmtId="43" fontId="24" fillId="4" borderId="1" xfId="2" applyFont="1" applyFill="1" applyBorder="1" applyAlignment="1" applyProtection="1">
      <alignment horizontal="center" vertical="center" wrapText="1"/>
      <protection locked="0"/>
    </xf>
    <xf numFmtId="0" fontId="24" fillId="4" borderId="1" xfId="5" applyFont="1" applyFill="1" applyBorder="1" applyAlignment="1">
      <alignment horizontal="center" vertical="center" wrapText="1"/>
    </xf>
    <xf numFmtId="0" fontId="24" fillId="4" borderId="6" xfId="5" applyFont="1" applyFill="1" applyBorder="1" applyAlignment="1" applyProtection="1">
      <alignment horizontal="center" vertical="center" wrapText="1"/>
      <protection locked="0"/>
    </xf>
    <xf numFmtId="43" fontId="14" fillId="4" borderId="1" xfId="2" applyFont="1" applyFill="1" applyBorder="1" applyAlignment="1" applyProtection="1">
      <alignment horizontal="center" vertical="center" wrapText="1"/>
      <protection locked="0"/>
    </xf>
    <xf numFmtId="0" fontId="26" fillId="0" borderId="10" xfId="2" applyNumberFormat="1" applyFont="1" applyFill="1" applyBorder="1" applyAlignment="1" applyProtection="1">
      <alignment horizontal="center" vertical="center" wrapText="1"/>
      <protection locked="0"/>
    </xf>
    <xf numFmtId="0" fontId="26" fillId="0" borderId="3" xfId="2" applyNumberFormat="1" applyFont="1" applyFill="1" applyBorder="1" applyAlignment="1" applyProtection="1">
      <alignment horizontal="center" vertical="center" wrapText="1"/>
      <protection locked="0"/>
    </xf>
    <xf numFmtId="0" fontId="26" fillId="0" borderId="3" xfId="0" applyFont="1" applyBorder="1" applyAlignment="1" applyProtection="1">
      <alignment horizontal="center" vertical="center" wrapText="1"/>
      <protection locked="0"/>
    </xf>
    <xf numFmtId="0" fontId="26" fillId="0" borderId="3" xfId="5" applyFont="1" applyBorder="1" applyAlignment="1" applyProtection="1">
      <alignment horizontal="center" vertical="center" wrapText="1"/>
      <protection locked="0"/>
    </xf>
    <xf numFmtId="1" fontId="26" fillId="0" borderId="3" xfId="4" applyNumberFormat="1" applyFont="1" applyFill="1" applyBorder="1" applyAlignment="1" applyProtection="1">
      <alignment horizontal="center" vertical="center" wrapText="1"/>
      <protection locked="0"/>
    </xf>
    <xf numFmtId="1" fontId="26" fillId="0" borderId="3" xfId="0" applyNumberFormat="1" applyFont="1" applyBorder="1" applyAlignment="1" applyProtection="1">
      <alignment horizontal="center" vertical="center" wrapText="1"/>
      <protection locked="0"/>
    </xf>
    <xf numFmtId="1" fontId="26" fillId="0" borderId="3" xfId="2" applyNumberFormat="1" applyFont="1" applyFill="1" applyBorder="1" applyAlignment="1" applyProtection="1">
      <alignment horizontal="center" vertical="center"/>
      <protection locked="0"/>
    </xf>
    <xf numFmtId="165" fontId="26" fillId="0" borderId="3" xfId="2" applyNumberFormat="1" applyFont="1" applyFill="1" applyBorder="1" applyAlignment="1" applyProtection="1">
      <alignment horizontal="center" vertical="center" wrapText="1"/>
      <protection locked="0"/>
    </xf>
    <xf numFmtId="0" fontId="26" fillId="0" borderId="3" xfId="5" applyFont="1" applyBorder="1" applyAlignment="1">
      <alignment horizontal="center" vertical="center" wrapText="1"/>
    </xf>
    <xf numFmtId="0" fontId="26" fillId="0" borderId="11" xfId="5" applyFont="1" applyBorder="1" applyAlignment="1" applyProtection="1">
      <alignment horizontal="center" vertical="center" wrapText="1"/>
      <protection locked="0"/>
    </xf>
    <xf numFmtId="43" fontId="0" fillId="0" borderId="0" xfId="0" applyNumberFormat="1"/>
    <xf numFmtId="0" fontId="13" fillId="0" borderId="0" xfId="0" applyFont="1" applyAlignment="1" applyProtection="1">
      <alignment horizontal="right" vertical="center"/>
      <protection locked="0"/>
    </xf>
    <xf numFmtId="0" fontId="3" fillId="0" borderId="0" xfId="0" applyFont="1" applyAlignment="1" applyProtection="1">
      <alignment horizontal="center" vertical="center" wrapText="1"/>
      <protection locked="0"/>
    </xf>
    <xf numFmtId="37" fontId="5" fillId="0" borderId="0" xfId="0" applyNumberFormat="1" applyFont="1" applyAlignment="1" applyProtection="1">
      <alignment horizontal="center" vertical="center"/>
      <protection locked="0"/>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0" fillId="0" borderId="1" xfId="0" applyBorder="1" applyAlignment="1">
      <alignment horizontal="center"/>
    </xf>
    <xf numFmtId="0" fontId="7" fillId="0" borderId="1" xfId="0" applyFont="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43" fontId="8" fillId="0" borderId="0" xfId="2" applyFont="1" applyBorder="1" applyAlignment="1">
      <alignment horizontal="center"/>
    </xf>
    <xf numFmtId="0" fontId="0" fillId="0" borderId="1" xfId="0" applyBorder="1" applyAlignment="1">
      <alignment horizontal="left"/>
    </xf>
    <xf numFmtId="0" fontId="7" fillId="0" borderId="2" xfId="0" applyFont="1" applyBorder="1" applyAlignment="1">
      <alignment horizontal="center"/>
    </xf>
    <xf numFmtId="43" fontId="8" fillId="0" borderId="0" xfId="2" applyFont="1" applyAlignment="1">
      <alignment horizontal="center"/>
    </xf>
    <xf numFmtId="43" fontId="7" fillId="0" borderId="1" xfId="2" applyFont="1" applyBorder="1" applyAlignment="1">
      <alignment horizontal="center"/>
    </xf>
    <xf numFmtId="0" fontId="24" fillId="4" borderId="7" xfId="2" applyNumberFormat="1" applyFont="1" applyFill="1" applyBorder="1" applyAlignment="1" applyProtection="1">
      <alignment horizontal="center" vertical="center" wrapText="1"/>
      <protection locked="0"/>
    </xf>
    <xf numFmtId="0" fontId="27" fillId="4" borderId="7" xfId="2" applyNumberFormat="1" applyFont="1" applyFill="1" applyBorder="1" applyAlignment="1" applyProtection="1">
      <alignment horizontal="center" vertical="center" wrapText="1"/>
      <protection locked="0"/>
    </xf>
    <xf numFmtId="0" fontId="19" fillId="0" borderId="1" xfId="2" applyNumberFormat="1" applyFont="1" applyFill="1" applyBorder="1" applyAlignment="1" applyProtection="1">
      <alignment horizontal="center" vertical="center" wrapText="1"/>
      <protection locked="0"/>
    </xf>
    <xf numFmtId="0" fontId="25" fillId="0" borderId="10" xfId="2" applyNumberFormat="1" applyFont="1" applyFill="1" applyBorder="1" applyAlignment="1" applyProtection="1">
      <alignment horizontal="center" vertical="center" wrapText="1"/>
      <protection locked="0"/>
    </xf>
    <xf numFmtId="0" fontId="19" fillId="0" borderId="7" xfId="2" applyNumberFormat="1" applyFont="1" applyFill="1" applyBorder="1" applyAlignment="1" applyProtection="1">
      <alignment horizontal="center" vertical="center" wrapText="1"/>
      <protection locked="0"/>
    </xf>
    <xf numFmtId="0" fontId="21" fillId="0" borderId="3" xfId="2" applyNumberFormat="1" applyFont="1" applyFill="1" applyBorder="1" applyAlignment="1" applyProtection="1">
      <alignment horizontal="center" vertical="center" wrapText="1"/>
      <protection locked="0"/>
    </xf>
    <xf numFmtId="0" fontId="26" fillId="4" borderId="1" xfId="2" applyNumberFormat="1" applyFont="1" applyFill="1" applyBorder="1" applyAlignment="1" applyProtection="1">
      <alignment horizontal="center" vertical="center" wrapText="1"/>
      <protection locked="0"/>
    </xf>
    <xf numFmtId="0" fontId="27" fillId="4" borderId="1" xfId="2" applyNumberFormat="1" applyFont="1" applyFill="1" applyBorder="1" applyAlignment="1" applyProtection="1">
      <alignment horizontal="center" vertical="center" wrapText="1"/>
      <protection locked="0"/>
    </xf>
    <xf numFmtId="0" fontId="21" fillId="0" borderId="3" xfId="0" applyFont="1" applyBorder="1" applyAlignment="1" applyProtection="1">
      <alignment horizontal="center" vertical="center" wrapText="1"/>
      <protection locked="0"/>
    </xf>
    <xf numFmtId="0" fontId="27" fillId="4" borderId="1" xfId="0"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25" fillId="0" borderId="3" xfId="0" applyFont="1" applyBorder="1" applyAlignment="1" applyProtection="1">
      <alignment horizontal="center" vertical="center" wrapText="1"/>
      <protection locked="0"/>
    </xf>
    <xf numFmtId="0" fontId="21" fillId="0" borderId="3" xfId="5" applyFont="1" applyBorder="1" applyAlignment="1" applyProtection="1">
      <alignment horizontal="center" vertical="center" wrapText="1"/>
      <protection locked="0"/>
    </xf>
    <xf numFmtId="0" fontId="27" fillId="4" borderId="1" xfId="5" applyFont="1" applyFill="1" applyBorder="1" applyAlignment="1" applyProtection="1">
      <alignment horizontal="center" vertical="center" wrapText="1"/>
      <protection locked="0"/>
    </xf>
    <xf numFmtId="0" fontId="19" fillId="0" borderId="1" xfId="5" applyFont="1" applyBorder="1" applyAlignment="1" applyProtection="1">
      <alignment horizontal="center" vertical="center" wrapText="1"/>
      <protection locked="0"/>
    </xf>
    <xf numFmtId="1" fontId="24" fillId="4" borderId="1" xfId="4" applyNumberFormat="1" applyFont="1" applyFill="1" applyBorder="1" applyAlignment="1" applyProtection="1">
      <alignment horizontal="center" vertical="center" wrapText="1"/>
      <protection locked="0"/>
    </xf>
    <xf numFmtId="1" fontId="27" fillId="4" borderId="1" xfId="4" applyNumberFormat="1" applyFont="1" applyFill="1" applyBorder="1" applyAlignment="1" applyProtection="1">
      <alignment horizontal="center" vertical="center" wrapText="1"/>
      <protection locked="0"/>
    </xf>
    <xf numFmtId="1" fontId="19" fillId="0" borderId="1" xfId="4" applyNumberFormat="1" applyFont="1" applyFill="1" applyBorder="1" applyAlignment="1" applyProtection="1">
      <alignment horizontal="center" vertical="center" wrapText="1"/>
      <protection locked="0"/>
    </xf>
    <xf numFmtId="1" fontId="25" fillId="0" borderId="3" xfId="4" applyNumberFormat="1" applyFont="1" applyFill="1" applyBorder="1" applyAlignment="1" applyProtection="1">
      <alignment horizontal="center" vertical="center" wrapText="1"/>
      <protection locked="0"/>
    </xf>
    <xf numFmtId="1" fontId="27" fillId="4" borderId="1" xfId="0" applyNumberFormat="1" applyFont="1" applyFill="1" applyBorder="1" applyAlignment="1" applyProtection="1">
      <alignment horizontal="center" vertical="center" wrapText="1"/>
      <protection locked="0"/>
    </xf>
    <xf numFmtId="1" fontId="19" fillId="0" borderId="1" xfId="0" applyNumberFormat="1" applyFont="1" applyBorder="1" applyAlignment="1" applyProtection="1">
      <alignment horizontal="center" vertical="center" wrapText="1"/>
      <protection locked="0"/>
    </xf>
    <xf numFmtId="1" fontId="25" fillId="0" borderId="3" xfId="0" applyNumberFormat="1" applyFont="1" applyBorder="1" applyAlignment="1" applyProtection="1">
      <alignment horizontal="center" vertical="center" wrapText="1"/>
      <protection locked="0"/>
    </xf>
    <xf numFmtId="1" fontId="27" fillId="4" borderId="1" xfId="2" applyNumberFormat="1" applyFont="1" applyFill="1" applyBorder="1" applyAlignment="1" applyProtection="1">
      <alignment horizontal="center" vertical="center"/>
      <protection locked="0"/>
    </xf>
    <xf numFmtId="1" fontId="19" fillId="0" borderId="1" xfId="2" applyNumberFormat="1" applyFont="1" applyFill="1" applyBorder="1" applyAlignment="1" applyProtection="1">
      <alignment horizontal="center" vertical="center"/>
      <protection locked="0"/>
    </xf>
    <xf numFmtId="1" fontId="25" fillId="0" borderId="3" xfId="2" applyNumberFormat="1" applyFont="1" applyFill="1" applyBorder="1" applyAlignment="1" applyProtection="1">
      <alignment horizontal="center" vertical="center"/>
      <protection locked="0"/>
    </xf>
    <xf numFmtId="165" fontId="27" fillId="4" borderId="1" xfId="2" applyNumberFormat="1" applyFont="1" applyFill="1" applyBorder="1" applyAlignment="1" applyProtection="1">
      <alignment horizontal="center" vertical="center" wrapText="1"/>
      <protection locked="0"/>
    </xf>
    <xf numFmtId="165" fontId="19" fillId="0" borderId="1" xfId="2" applyNumberFormat="1" applyFont="1" applyFill="1" applyBorder="1" applyAlignment="1" applyProtection="1">
      <alignment horizontal="center" vertical="center" wrapText="1"/>
      <protection locked="0"/>
    </xf>
    <xf numFmtId="165" fontId="25" fillId="0" borderId="3" xfId="2" applyNumberFormat="1" applyFont="1" applyFill="1" applyBorder="1" applyAlignment="1" applyProtection="1">
      <alignment horizontal="center" vertical="center" wrapText="1"/>
      <protection locked="0"/>
    </xf>
    <xf numFmtId="43" fontId="21" fillId="0" borderId="3" xfId="2" applyFont="1" applyFill="1" applyBorder="1" applyAlignment="1" applyProtection="1">
      <alignment horizontal="center" vertical="center" wrapText="1"/>
      <protection locked="0"/>
    </xf>
    <xf numFmtId="43" fontId="26" fillId="4" borderId="1" xfId="2" applyFont="1" applyFill="1" applyBorder="1" applyAlignment="1" applyProtection="1">
      <alignment horizontal="center" vertical="center" wrapText="1"/>
      <protection locked="0"/>
    </xf>
    <xf numFmtId="43" fontId="19" fillId="0" borderId="1" xfId="2" applyFont="1" applyFill="1" applyBorder="1" applyAlignment="1" applyProtection="1">
      <alignment horizontal="center" vertical="center" wrapText="1"/>
      <protection locked="0"/>
    </xf>
    <xf numFmtId="43" fontId="27" fillId="4" borderId="1" xfId="2" applyFont="1" applyFill="1" applyBorder="1" applyAlignment="1" applyProtection="1">
      <alignment horizontal="center" vertical="center" wrapText="1"/>
      <protection locked="0"/>
    </xf>
    <xf numFmtId="43" fontId="23" fillId="0" borderId="3" xfId="2" applyFont="1" applyFill="1" applyBorder="1" applyAlignment="1" applyProtection="1">
      <alignment horizontal="center" vertical="center" wrapText="1"/>
      <protection locked="0"/>
    </xf>
    <xf numFmtId="165" fontId="21" fillId="0" borderId="3" xfId="2" applyNumberFormat="1" applyFont="1" applyFill="1" applyBorder="1" applyAlignment="1" applyProtection="1">
      <alignment horizontal="center" vertical="center" wrapText="1"/>
      <protection locked="0"/>
    </xf>
    <xf numFmtId="165" fontId="26" fillId="4" borderId="1" xfId="2" applyNumberFormat="1" applyFont="1" applyFill="1" applyBorder="1" applyAlignment="1" applyProtection="1">
      <alignment horizontal="center" vertical="center" wrapText="1"/>
      <protection locked="0"/>
    </xf>
    <xf numFmtId="0" fontId="27" fillId="4" borderId="1" xfId="5" applyFont="1" applyFill="1" applyBorder="1" applyAlignment="1">
      <alignment horizontal="center" vertical="center" wrapText="1"/>
    </xf>
    <xf numFmtId="0" fontId="19" fillId="0" borderId="1" xfId="5" applyFont="1" applyBorder="1" applyAlignment="1">
      <alignment horizontal="center" vertical="center" wrapText="1"/>
    </xf>
    <xf numFmtId="0" fontId="25" fillId="0" borderId="3" xfId="5" applyFont="1" applyBorder="1" applyAlignment="1">
      <alignment horizontal="center" vertical="center" wrapText="1"/>
    </xf>
    <xf numFmtId="0" fontId="15" fillId="6" borderId="1" xfId="5" applyFont="1" applyFill="1" applyBorder="1" applyAlignment="1" applyProtection="1">
      <alignment horizontal="center" vertical="center" wrapText="1"/>
      <protection locked="0"/>
    </xf>
    <xf numFmtId="0" fontId="15" fillId="7" borderId="1" xfId="5" applyFont="1" applyFill="1" applyBorder="1" applyAlignment="1" applyProtection="1">
      <alignment horizontal="center" vertical="center" wrapText="1"/>
      <protection locked="0"/>
    </xf>
    <xf numFmtId="0" fontId="27" fillId="4" borderId="6" xfId="5" applyFont="1" applyFill="1" applyBorder="1" applyAlignment="1" applyProtection="1">
      <alignment horizontal="center" vertical="center" wrapText="1"/>
      <protection locked="0"/>
    </xf>
  </cellXfs>
  <cellStyles count="7">
    <cellStyle name="Currency" xfId="1" xr:uid="{00000000-0005-0000-0000-000000000000}"/>
    <cellStyle name="Millares" xfId="2" builtinId="3"/>
    <cellStyle name="Millares 2" xfId="3" xr:uid="{00000000-0005-0000-0000-000002000000}"/>
    <cellStyle name="Moneda" xfId="4" builtinId="4"/>
    <cellStyle name="Normal" xfId="0" builtinId="0"/>
    <cellStyle name="Normal 2" xfId="5" xr:uid="{00000000-0005-0000-0000-000005000000}"/>
    <cellStyle name="Normal 2 10" xfId="6" xr:uid="{00000000-0005-0000-0000-000006000000}"/>
  </cellStyles>
  <dxfs count="89">
    <dxf>
      <fill>
        <patternFill patternType="solid">
          <fgColor rgb="FFF4B084"/>
          <bgColor rgb="FF000000"/>
        </patternFill>
      </fill>
    </dxf>
    <dxf>
      <fill>
        <patternFill patternType="solid">
          <fgColor rgb="FFF4B084"/>
          <bgColor rgb="FF000000"/>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ill>
        <patternFill patternType="none">
          <fgColor indexed="64"/>
          <bgColor auto="1"/>
        </patternFill>
      </fill>
    </dxf>
  </dxfs>
  <tableStyles count="0" defaultTableStyle="TableStyleMedium2" defaultPivotStyle="PivotStyleLight16"/>
  <colors>
    <mruColors>
      <color rgb="FF00FFFF"/>
      <color rgb="FFFFCCFF"/>
      <color rgb="FFC3B6E2"/>
      <color rgb="FF00FF00"/>
      <color rgb="FFFFFF99"/>
      <color rgb="FF66FFCC"/>
      <color rgb="FFCCFF99"/>
      <color rgb="FF66FF66"/>
      <color rgb="FFFF8181"/>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652691</xdr:colOff>
      <xdr:row>1</xdr:row>
      <xdr:rowOff>34925</xdr:rowOff>
    </xdr:from>
    <xdr:to>
      <xdr:col>2</xdr:col>
      <xdr:colOff>1968500</xdr:colOff>
      <xdr:row>5</xdr:row>
      <xdr:rowOff>366347</xdr:rowOff>
    </xdr:to>
    <xdr:pic>
      <xdr:nvPicPr>
        <xdr:cNvPr id="1241" name="Imagen 12">
          <a:extLst>
            <a:ext uri="{FF2B5EF4-FFF2-40B4-BE49-F238E27FC236}">
              <a16:creationId xmlns:a16="http://schemas.microsoft.com/office/drawing/2014/main" id="{00000000-0008-0000-0100-0000D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2626" b="15536"/>
        <a:stretch>
          <a:fillRect/>
        </a:stretch>
      </xdr:blipFill>
      <xdr:spPr bwMode="auto">
        <a:xfrm>
          <a:off x="652691" y="1881310"/>
          <a:ext cx="3132886" cy="7716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5952.690913541664" createdVersion="8" refreshedVersion="8" minRefreshableVersion="3" recordCount="1088" xr:uid="{1AFDCEF0-5F74-4ADB-8DDC-AA243C28E44A}">
  <cacheSource type="worksheet">
    <worksheetSource name="PAA"/>
  </cacheSource>
  <cacheFields count="28">
    <cacheField name="Id" numFmtId="0">
      <sharedItems containsSemiMixedTypes="0" containsString="0" containsNumber="1" containsInteger="1" minValue="20250001" maxValue="20251179"/>
    </cacheField>
    <cacheField name="Proyecto y nombre " numFmtId="0">
      <sharedItems containsBlank="1" count="4">
        <s v="8126-Fortalecimiento institucional de la UAECOB para un gobierno confiable Bogotá D.C."/>
        <s v="8173-Modernización de las capacidades del Cuerpo Oficial de Bomberos Bogotá D.C."/>
        <s v="131- Funcionamiento"/>
        <m u="1"/>
      </sharedItems>
    </cacheField>
    <cacheField name="Dependencia " numFmtId="0">
      <sharedItems/>
    </cacheField>
    <cacheField name="Responsable" numFmtId="0">
      <sharedItems/>
    </cacheField>
    <cacheField name="Objeto" numFmtId="0">
      <sharedItems longText="1"/>
    </cacheField>
    <cacheField name="Tipo de Contratación" numFmtId="0">
      <sharedItems/>
    </cacheField>
    <cacheField name="Código UNSPSC (cada código separado por ;)" numFmtId="1">
      <sharedItems containsMixedTypes="1" containsNumber="1" containsInteger="1" minValue="15101500" maxValue="90121800" longText="1"/>
    </cacheField>
    <cacheField name="Mes inicio de ejecución" numFmtId="1">
      <sharedItems containsMixedTypes="1" containsNumber="1" containsInteger="1" minValue="0" maxValue="12"/>
    </cacheField>
    <cacheField name="plazo ejec Meses" numFmtId="1">
      <sharedItems containsMixedTypes="1" containsNumber="1" minValue="0" maxValue="20"/>
    </cacheField>
    <cacheField name="mas plazo ejec Días (si aplica)" numFmtId="1">
      <sharedItems containsMixedTypes="1" containsNumber="1" containsInteger="1" minValue="0" maxValue="29"/>
    </cacheField>
    <cacheField name="Valor Programado" numFmtId="165">
      <sharedItems containsMixedTypes="1" containsNumber="1" minValue="0" maxValue="6850311197"/>
    </cacheField>
    <cacheField name="Fuente de Recursos" numFmtId="0">
      <sharedItems count="5">
        <s v="1-100-I087 VA-Sobretasa Bomberil"/>
        <s v="1-100-F001 VA-Recursos distrito"/>
        <s v="1-601-F001 PAS-Otros distrito"/>
        <s v="1-200-I079  RB-Sobretasa Bomberil"/>
        <s v="N/A"/>
      </sharedItems>
    </cacheField>
    <cacheField name="Modalidad de Selección" numFmtId="165">
      <sharedItems/>
    </cacheField>
    <cacheField name="Meta Proyecto de Inversión" numFmtId="0">
      <sharedItems longText="1"/>
    </cacheField>
    <cacheField name="Bogotá camina segura" numFmtId="0">
      <sharedItems/>
    </cacheField>
    <cacheField name="Sector_Programa MGA" numFmtId="0">
      <sharedItems/>
    </cacheField>
    <cacheField name="BPIN (AÑO+COD_PROYECTO)" numFmtId="0">
      <sharedItems containsMixedTypes="1" containsNumber="1" containsInteger="1" minValue="20240207" maxValue="20240255"/>
    </cacheField>
    <cacheField name="Producto PMR" numFmtId="0">
      <sharedItems/>
    </cacheField>
    <cacheField name="Descripción Producto PMR" numFmtId="0">
      <sharedItems/>
    </cacheField>
    <cacheField name="PMR conca" numFmtId="0">
      <sharedItems/>
    </cacheField>
    <cacheField name="Producto MGA" numFmtId="0">
      <sharedItems/>
    </cacheField>
    <cacheField name="Descripción Producto MGA" numFmtId="0">
      <sharedItems/>
    </cacheField>
    <cacheField name="concatenarMGA" numFmtId="0">
      <sharedItems/>
    </cacheField>
    <cacheField name="PM MGA conca" numFmtId="0">
      <sharedItems/>
    </cacheField>
    <cacheField name="Código de proyecto de inversión, asociado a productos PMR y MGA" numFmtId="0">
      <sharedItems/>
    </cacheField>
    <cacheField name="codigo PEP" numFmtId="0">
      <sharedItems/>
    </cacheField>
    <cacheField name="POSPRE" numFmtId="0">
      <sharedItems/>
    </cacheField>
    <cacheField name="Si Secop / No Secop"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88">
  <r>
    <n v="20250001"/>
    <x v="0"/>
    <s v="Oficina de Control Interno"/>
    <s v="Jaime Hernando Arias Patiño"/>
    <s v="Prestar los servicios profesionales  como abogado en la Oficina de Control Interno para el desarrollo del Plan Anual de Auditorías."/>
    <s v="25 - contrato de prestacion de servicios profesionales"/>
    <n v="80111600"/>
    <s v="1"/>
    <n v="10"/>
    <n v="0"/>
    <n v="76650001"/>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02"/>
    <x v="0"/>
    <s v="Oficina de Control Interno"/>
    <s v="Jaime Hernando Arias Patiño"/>
    <s v="Prestar los servicios profesionales como contador publico en la Oficina de Control Interno para el desarrollo del Plan Anual de Auditorías."/>
    <s v="25 - contrato de prestacion de servicios profesionales"/>
    <n v="80111600"/>
    <n v="1"/>
    <n v="10"/>
    <n v="0"/>
    <n v="76650001"/>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03"/>
    <x v="0"/>
    <s v="Oficina de Control Interno"/>
    <s v="Jaime Hernando Arias Patiño"/>
    <s v="Prestar los servicios profesionales  en la Oficina de Control Interno para el desarrollo del Plan Anual de Auditorías."/>
    <s v="25 - contrato de prestacion de servicios profesionales"/>
    <n v="80111600"/>
    <n v="2"/>
    <n v="7"/>
    <n v="11"/>
    <n v="56674097"/>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04"/>
    <x v="0"/>
    <s v="Oficina de Control Interno"/>
    <s v="Jaime Hernando Arias Patiño"/>
    <s v="Prestar los servicios profesionales  en la Oficina de Control Interno para el desarrollo del Plan Anual de Auditorías."/>
    <s v="25 - contrato de prestacion de servicios profesionales"/>
    <n v="80111600"/>
    <n v="1"/>
    <n v="10"/>
    <n v="0"/>
    <n v="46285827"/>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05"/>
    <x v="0"/>
    <s v="Oficina de Control Interno"/>
    <s v="Jaime Hernando Arias Patiño"/>
    <s v="Prestar servicios de apoyo a la gestión como técnico   en la Oficina de Control Interno para ejecutar procesos y procedimientos administrativos y asistenciales teniendo en cuenta el Plan Anual de Auditorías."/>
    <s v="26 - contrato de prestacion de servicios de apoyo a la gestion"/>
    <n v="80111600"/>
    <n v="1"/>
    <n v="10"/>
    <n v="0"/>
    <n v="38240074"/>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06"/>
    <x v="0"/>
    <s v="Oficina Juridica"/>
    <s v="Monica Perez Barragan"/>
    <s v="Prestar los servicios profesionales jurídicos especializados para orientar y apoyar los procesos de contratación en sus diferentes etapas adelantados por la Oficina Jurídica, tendientes a garantizar las necesidades propias de la UAECOB"/>
    <s v="25 - contrato de prestacion de servicios profesionales"/>
    <n v="80111600"/>
    <n v="2"/>
    <n v="11"/>
    <n v="0"/>
    <n v="57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07"/>
    <x v="0"/>
    <s v="Oficina Juridica"/>
    <s v="Monica Perez Barragan"/>
    <s v="Prestar los servicios profesionales jurídicos especializados en la Oficina Jurídica que garantice la verificación de la legalidad, en apoyo a cada una de las actuaciones a cargo de esta Oficina."/>
    <s v="25 - contrato de prestacion de servicios profesionales"/>
    <n v="80111600"/>
    <n v="2"/>
    <n v="11"/>
    <n v="0"/>
    <n v="42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08"/>
    <x v="0"/>
    <s v="Oficina Juridica"/>
    <s v="Monica Perez Barragan"/>
    <s v="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
    <s v="25 - contrato de prestacion de servicios profesionales"/>
    <n v="80111600"/>
    <n v="2"/>
    <n v="11"/>
    <n v="0"/>
    <n v="51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09"/>
    <x v="0"/>
    <s v="Oficina Juridica"/>
    <s v="Monica Perez Barragan"/>
    <s v="Prestar servicios profesionales para apoyar en la estructuración de las acciones de mejora, seguimiento  a la gestión contractual de la Entidad y demás procedimientos, en el marco de las funciones de la Oficina Jurídica"/>
    <s v="25 - contrato de prestacion de servicios profesionales"/>
    <n v="80111600"/>
    <n v="2"/>
    <n v="11"/>
    <n v="0"/>
    <n v="54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10"/>
    <x v="0"/>
    <s v="Oficina Juridica"/>
    <s v="Monica Perez Barragan"/>
    <s v="Prestar servicios profesionales para apoyar en la estructuración de las acciones de mejora, elaboración de informes y soporte de las funciones administrativas y de mejora"/>
    <s v="25 - contrato de prestacion de servicios profesionales"/>
    <n v="80111600"/>
    <n v="2"/>
    <n v="11"/>
    <n v="0"/>
    <n v="294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11"/>
    <x v="0"/>
    <s v="Oficina Juridica"/>
    <s v="Monica Perez Barragan"/>
    <s v="Prestar los servicios profesionales jurídicos especializados para apoyar el desarrollo de las funciones de la Oficina Jurídica"/>
    <s v="25 - contrato de prestacion de servicios profesionales"/>
    <n v="80111600"/>
    <n v="2"/>
    <n v="11"/>
    <n v="0"/>
    <n v="33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12"/>
    <x v="0"/>
    <s v="Oficina Juridica"/>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45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13"/>
    <x v="0"/>
    <s v="Oficina Juridica"/>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51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14"/>
    <x v="0"/>
    <s v="Oficina Juridica"/>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45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15"/>
    <x v="0"/>
    <s v="Oficina Juridica"/>
    <s v="Monica Perez Barragan"/>
    <s v="Prestar servicios profesionales jurídicos para orientar y apoyar los procesos de contratación gestionados por la Oficina Jurídica, en el marco de las actividades propias de la gestión contractual, con el objetivo de garantizar el cumplimiento de las necesidades de la UAECOB."/>
    <s v="25 - contrato de prestacion de servicios profesionales"/>
    <n v="80111600"/>
    <n v="2"/>
    <n v="11"/>
    <n v="0"/>
    <n v="42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16"/>
    <x v="0"/>
    <s v="Oficina Juridica"/>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39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17"/>
    <x v="0"/>
    <s v="Oficina Juridica"/>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30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18"/>
    <x v="0"/>
    <s v="Oficina Juridica"/>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30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19"/>
    <x v="0"/>
    <s v="Oficina Juridica"/>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372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20"/>
    <x v="0"/>
    <s v="Oficina Juridica"/>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372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21"/>
    <x v="0"/>
    <s v="Oficina Juridica"/>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372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22"/>
    <x v="0"/>
    <s v="Oficina Juridica"/>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5 - contrato de prestacion de servicios profesionales"/>
    <n v="80111600"/>
    <n v="2"/>
    <n v="11"/>
    <n v="0"/>
    <n v="19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23"/>
    <x v="0"/>
    <s v="Oficina Juridica"/>
    <s v="Monica Perez Barragan"/>
    <s v="Prestar los servicios profesionales para realizar el acompañamiento administrativo y financiero en temas de liquidación y cierre de expedientes, como demás actuaciones administrativas requeridas de los procesos contractuales"/>
    <s v="25 - contrato de prestacion de servicios profesionales"/>
    <n v="80111600"/>
    <n v="2"/>
    <n v="11"/>
    <n v="0"/>
    <n v="501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24"/>
    <x v="0"/>
    <s v="Oficina Juridica"/>
    <s v="Monica Perez Barragan"/>
    <s v="Prestar los servicios profesionales especializados para la representación judicial  de la Entidad y la prevención del daño antijurídico."/>
    <s v="25 - contrato de prestacion de servicios profesionales"/>
    <n v="80111600"/>
    <n v="2"/>
    <n v="11"/>
    <n v="0"/>
    <n v="283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25"/>
    <x v="0"/>
    <s v="Oficina Juridica"/>
    <s v="Monica Perez Barragan"/>
    <s v="Prestar los servicios de apoyo para las gestiones administrativas requeridas en la Oficina Jurídica."/>
    <s v="25 - contrato de prestacion de servicios profesionales"/>
    <n v="80111600"/>
    <n v="2"/>
    <n v="11"/>
    <n v="0"/>
    <n v="204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27"/>
    <x v="0"/>
    <s v="Oficina Juridica"/>
    <s v="Monica Perez Barragan"/>
    <s v="Prestar los servicios de apoyo para las gestiones documentales y administrativas requerida por la Oficina  Jurídica."/>
    <s v="26 - contrato de prestacion de servicios de apoyo a la gestion"/>
    <n v="80111600"/>
    <n v="2"/>
    <n v="11"/>
    <n v="0"/>
    <n v="204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28"/>
    <x v="0"/>
    <s v="Oficina Juridica"/>
    <s v="Monica Perez Barragan"/>
    <s v="Prestar los servicios de apoyo para las gestiones documentales y administrativas requerida por la Oficina  Jurídica."/>
    <s v="26 - contrato de prestacion de servicios de apoyo a la gestion"/>
    <n v="80111600"/>
    <n v="2"/>
    <n v="11"/>
    <n v="0"/>
    <n v="204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29"/>
    <x v="0"/>
    <s v="Oficina Juridica"/>
    <s v="Monica Perez Barragan"/>
    <s v="Prestar los servicios profesionales para apoyar la gestión de la información y presupuestal y elaborar los informes reglamentarios que la Oficina Jurídica debe presentar a los entes de control, respuestas a la ciudadanía y otros informes que den cuanta de su gestión."/>
    <s v="25 - contrato de prestacion de servicios profesionales"/>
    <n v="80111600"/>
    <n v="2"/>
    <n v="11"/>
    <n v="0"/>
    <n v="42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30"/>
    <x v="0"/>
    <s v="Oficina Juridica"/>
    <s v="Monica Perez Barragan"/>
    <s v="Prestar servicios profesionales jurídicos para apoyar las actividades de defensa Judicial y de procesos penales que adelante la UAE Cuerpo Oficial de Bomberos de Bogotá"/>
    <s v="25 - contrato de prestacion de servicios profesionales"/>
    <n v="80111600"/>
    <n v="2"/>
    <n v="11"/>
    <n v="0"/>
    <n v="39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31"/>
    <x v="0"/>
    <s v="Oficina Juridica"/>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2"/>
    <n v="11"/>
    <n v="0"/>
    <n v="28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32"/>
    <x v="0"/>
    <s v="Oficina Juridica"/>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2"/>
    <n v="11"/>
    <n v="0"/>
    <n v="19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33"/>
    <x v="0"/>
    <s v="Oficina Juridica"/>
    <s v="Monica Perez Barragan"/>
    <s v="Prestar los servicios profesionales para apoyar la depuración de la cartera de cobro coactivo, así como actividades propias de la defensa judicial de la Entidad y demas actiuaciones relacionadas que requiera la Oficina Jurídica"/>
    <s v="25 - contrato de prestacion de servicios profesionales"/>
    <n v="80111600"/>
    <n v="2"/>
    <n v="11"/>
    <n v="0"/>
    <n v="39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34"/>
    <x v="0"/>
    <s v="Oficina Juridica"/>
    <s v="Monica Perez Barragan"/>
    <s v="Prestación de servicios profesionales jurídicos para orientar y apoyar el trámite y la gestión de los procesos disciplinarios que se adelanten en la Oficina Jurídica de la Unidad Administrativa Especial Cuerpo Oficial de Bomberos Bogotá"/>
    <s v="25 - contrato de prestacion de servicios profesionales"/>
    <n v="80111600"/>
    <n v="2"/>
    <n v="11"/>
    <n v="0"/>
    <n v="45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35"/>
    <x v="0"/>
    <s v="Oficina de Control Disciplinario Interno"/>
    <s v="Yenire Yohansy Lozano Ascanio"/>
    <s v="Prestar servicios profesionales jurídicos especializados en la Oficina de Control Disciplinario Interno de la entidad para orientar y apoyar la gestión de los procesos disciplinarios en etapa de instrucción."/>
    <s v="25 - contrato de prestacion de servicios profesionales"/>
    <n v="80111600"/>
    <n v="1"/>
    <n v="7"/>
    <n v="0"/>
    <n v="546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36"/>
    <x v="0"/>
    <s v="Oficina de Control Disciplinario Interno"/>
    <s v="Yenire Yohansy Lozano Ascanio"/>
    <s v="Prestar los servicios profesionales jurídicos especializados en la Oficina de Control Disciplinario Interno de la entidad relacionados con los procesos disciplinarios que se deban tramitar en esa dependencia en etapa de instrucción."/>
    <s v="25 - contrato de prestacion de servicios profesionales"/>
    <n v="80111600"/>
    <n v="1"/>
    <n v="10"/>
    <n v="0"/>
    <n v="85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37"/>
    <x v="0"/>
    <s v="Oficina de Control Disciplinario Interno"/>
    <s v="Yenire Yohansy Lozano Ascanio"/>
    <s v="Prestar servicios profesionales jurídicos en la Oficina de Control Disciplinario Interno de la entidad para apoyar la gestión de los procesos contractuales, administrativos, y las actuaciones disciplinarias que deban susrtirse en etapa de instrucción."/>
    <s v="25 - contrato de prestacion de servicios profesionales"/>
    <n v="80111600"/>
    <n v="1"/>
    <n v="10"/>
    <n v="0"/>
    <n v="75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38"/>
    <x v="0"/>
    <s v="Oficina de Control Disciplinario Interno"/>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2"/>
    <n v="6"/>
    <n v="0"/>
    <n v="39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39"/>
    <x v="0"/>
    <s v="Oficina de Control Disciplinario Interno"/>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2"/>
    <n v="6"/>
    <n v="0"/>
    <n v="39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40"/>
    <x v="0"/>
    <s v="Oficina de Control Disciplinario Interno"/>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2"/>
    <n v="6"/>
    <n v="0"/>
    <n v="39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41"/>
    <x v="0"/>
    <s v="Oficina de Control Disciplinario Interno"/>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3"/>
    <n v="4"/>
    <n v="0"/>
    <n v="26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42"/>
    <x v="0"/>
    <s v="Oficina de Control Disciplinario Interno"/>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1"/>
    <n v="10"/>
    <n v="0"/>
    <n v="19493333"/>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43"/>
    <x v="0"/>
    <s v="Oficina de Control Disciplinario Interno"/>
    <s v="Yenire Yohansy Lozano Ascanio"/>
    <s v="Prestar servicios profesionales para ejercer las labores de secretaría común y actividades jurídicas que requieren las actuaciones disciplinarias en etapa de instrucción adelantadas por la Oficina de Control Disciplinario Interno."/>
    <s v="25 - contrato de prestacion de servicios profesionales"/>
    <n v="80111600"/>
    <n v="3"/>
    <n v="4"/>
    <n v="0"/>
    <n v="20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44"/>
    <x v="0"/>
    <s v="Oficina de Control Disciplinario Interno"/>
    <s v="Yenire Yohansy Lozano Ascanio"/>
    <s v="Prestación de servicios de apoyo técnico a la gestión a la Oficina de Control Disciplinario Interno de la UAECOB para el cumplimiento de las funciones asignadas a esta dependencia, especialmente en las que requieran tareas de carácter administrativo"/>
    <s v="26 - contrato de prestacion de servicios de apoyo a la gestion"/>
    <n v="80111600"/>
    <n v="2"/>
    <n v="6"/>
    <n v="0"/>
    <n v="198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45"/>
    <x v="0"/>
    <s v="Oficina de Control Disciplinario Interno"/>
    <s v="Yenire Yohansy Lozano Ascanio"/>
    <s v="Prestar servicios profesionales para apoyar a la Oficina de Control Disciplinario Interno de la Unidad Administrativa Especial Cuerpo Oficial de Bomberos de Bogotá en la planeación y ejecución de una estrategia de prevención de conductas constitutivas de faltas disciplinarias, que incluye la realización de capacitaciones y la asesoría en temas jurídicos."/>
    <s v="25 - contrato de prestacion de servicios profesionales"/>
    <n v="80111600"/>
    <n v="2"/>
    <n v="8"/>
    <n v="0"/>
    <n v="48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46"/>
    <x v="0"/>
    <s v="Oficina Asesora de Planeación"/>
    <s v="Manuel Eduardo Castillo Guzman"/>
    <s v="Prestación de servicios de apoyo a la gestión como conductor para atender los diferentes requerimientos e incidentes en la Oficina Asesora de Planeación"/>
    <s v="25 - contrato de prestacion de servicios profesionales"/>
    <n v="80111600"/>
    <n v="2"/>
    <n v="9"/>
    <n v="0"/>
    <n v="33781662"/>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50047"/>
    <x v="0"/>
    <s v="Oficina Asesora de Planeación"/>
    <s v="Manuel Eduardo Castillo Guzman"/>
    <s v="Prestar servicios profesionales para apoyar a la Oficina Asesora de Planeación en el seguimiento, reporte y gestión de los proyectos, planes y programas de la entidad, en el marco de la política de gestión presupuestal y eficiencia del gasto público, dentro del Modelo Integrado de Planeación y Gestión MIPG"/>
    <s v="25 - contrato de prestacion de servicios profesionales"/>
    <n v="80111600"/>
    <n v="3"/>
    <n v="10"/>
    <n v="0"/>
    <n v="650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50048"/>
    <x v="0"/>
    <s v="Oficina Asesora de Planeación"/>
    <s v="Manuel Eduardo Castillo Guzman"/>
    <s v="Prestación de servicios de apoyo en el desarrollo de las actividades encaminadas al control de la documentación de acuerdo a los lineamientos de las políticas de planeación institucional y gestión documental en el marco del Modelo Integrado de Planeación y Gestión MIPG."/>
    <s v="26 - contrato de prestacion de servicios de apoyo a la gestion"/>
    <n v="80111600"/>
    <n v="2"/>
    <n v="9"/>
    <n v="0"/>
    <n v="40417344"/>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50049"/>
    <x v="0"/>
    <s v="Oficina Asesora de Planeación"/>
    <s v="Manuel Eduardo Castillo Guzman"/>
    <s v="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
    <s v="25 - contrato de prestacion de servicios profesionales"/>
    <n v="80111600"/>
    <n v="2"/>
    <n v="11"/>
    <n v="0"/>
    <n v="1045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50050"/>
    <x v="0"/>
    <s v="Oficina Asesora de Planeación"/>
    <s v="Manuel Eduardo Castillo Guzman"/>
    <s v="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
    <s v="25 - contrato de prestacion de servicios profesionales"/>
    <n v="80111600"/>
    <n v="2"/>
    <n v="6"/>
    <n v="0"/>
    <n v="420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50051"/>
    <x v="0"/>
    <s v="Oficina Asesora de Planeación"/>
    <s v="Manuel Eduardo Castillo Guzman"/>
    <s v="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
    <s v="25 - contrato de prestacion de servicios profesionales"/>
    <n v="80111600"/>
    <n v="2"/>
    <n v="7"/>
    <n v="0"/>
    <n v="511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50052"/>
    <x v="0"/>
    <s v="Oficina Asesora de Planeación"/>
    <s v="Manuel Eduardo Castillo Guzman"/>
    <s v="Prestación de servicios profesionales para el desarrollo de actividades orientadas al sostenimiento y seguimiento de los componentes del Programa de Transparencia y Ética Pública, así como de las políticas públicas establecidas, en cumplimiento de los lineamientos del Modelo Integrado de Planeación y Gestión (MIPG), liderado por la Oficina Asesora de Planeación."/>
    <s v="25 - contrato de prestacion de servicios profesionales"/>
    <n v="80111600"/>
    <n v="2"/>
    <n v="11"/>
    <n v="0"/>
    <n v="93500000"/>
    <x v="0"/>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053"/>
    <x v="0"/>
    <s v="Oficina Asesora de Planeación"/>
    <s v="Manuel Eduardo Castillo Guzman"/>
    <s v="Prestación de servicios profesionales para el desarrollo de las actividades asignadas, orientadas a la implementación del Sistema de Gestión de la Calidad y de las políticas establecidas en el marco del Modelo Integrado de Planeación y Gestión (MIPG), liderado por la Oficina Asesora de Planeación._x000a_"/>
    <s v="25 - contrato de prestacion de servicios profesionales"/>
    <n v="80111600"/>
    <n v="2"/>
    <n v="7"/>
    <n v="0"/>
    <n v="525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50054"/>
    <x v="0"/>
    <s v="Oficina Asesora de Planeación"/>
    <s v="Manuel Eduardo Castillo Guzman"/>
    <s v="Prestar servicios de apoyo a la gestión para la ejecución de actividades asistenciales, administrativas y de gestión documental en la Oficina Asesora de Planeación."/>
    <s v="26 - contrato de prestacion de servicios de apoyo a la gestion"/>
    <n v="80111600"/>
    <n v="2"/>
    <n v="6"/>
    <n v="0"/>
    <n v="240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50055"/>
    <x v="0"/>
    <s v="Oficina Asesora de Planeación"/>
    <s v="Manuel Eduardo Castillo Guzman"/>
    <s v="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
    <s v="25 - contrato de prestacion de servicios profesionales"/>
    <n v="80111600"/>
    <n v="2"/>
    <n v="7"/>
    <n v="0"/>
    <n v="595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056"/>
    <x v="0"/>
    <s v="Oficina Asesora de Planeación"/>
    <s v="Manuel Eduardo Castillo Guzman"/>
    <s v="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
    <s v="25 - contrato de prestacion de servicios profesionales"/>
    <n v="80111600"/>
    <n v="2"/>
    <n v="10"/>
    <n v="0"/>
    <n v="730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50057"/>
    <x v="0"/>
    <s v="Oficina Asesora de Planeación"/>
    <s v="Manuel Eduardo Castillo Guzman"/>
    <s v="Prestación de servicios profesionales para la implementación de la metodología de la administración de los riesgos institucionales, asi como las actividades que se designen encaminadas a la implementación de las políticas del Modelo Integrado de Planeación y Gestión  MIPG."/>
    <s v="25 - contrato de prestacion de servicios profesionales"/>
    <n v="80111600"/>
    <n v="2"/>
    <n v="6"/>
    <n v="0"/>
    <n v="39000000"/>
    <x v="0"/>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058"/>
    <x v="0"/>
    <s v="Oficina Asesora de Planeación"/>
    <s v="Manuel Eduardo Castillo Guzman"/>
    <s v="Prestación de servicios profesionales en el apoyo jurídico, relacionado a la gestión contractual y administrativa de la Oficina Asesora de Planeación de acuerdo con los lineamientos internos en el marco del Modelo Integrado de Planeación y Gestión  MIPG."/>
    <s v="25 - contrato de prestacion de servicios profesionales"/>
    <n v="80111600"/>
    <n v="3"/>
    <n v="7"/>
    <n v="0"/>
    <n v="455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2199 Otros servicios jurídicos n.c.p."/>
    <s v="Si Secop "/>
  </r>
  <r>
    <n v="20250059"/>
    <x v="0"/>
    <s v="Oficina Asesora de Planeación"/>
    <s v="Manuel Eduardo Castillo Guzman"/>
    <s v="Prestación de servicios profesionales dentro del marco de las políticas de gestión, así como la implementación y seguimiento del Modelo Integrado de Gestión - MIPG, fortaleciendo las acciones en la UAECOB para la mejora continua."/>
    <s v="25 - contrato de prestacion de servicios profesionales"/>
    <n v="80111600"/>
    <n v="2"/>
    <n v="11"/>
    <n v="0"/>
    <n v="1045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060"/>
    <x v="0"/>
    <s v="Oficina Asesora de Planeación"/>
    <s v="Manuel Eduardo Castillo Guzman"/>
    <s v="Prestación de servicios profesionales para desarrollar actividades asignadas, orientadas a implementar las políticas de Planeación Institucional, así como al seguimiento y evaluación del desempeño institucional dentro del marco del Modelo Integrado de Planeación y Gestión"/>
    <s v="25 - contrato de prestacion de servicios profesionales"/>
    <n v="80111600"/>
    <n v="2"/>
    <n v="6"/>
    <n v="0"/>
    <n v="11433334"/>
    <x v="0"/>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061"/>
    <x v="0"/>
    <s v="Oficina Asesora de Planeación"/>
    <s v="Manuel Eduardo Castillo Guzman"/>
    <s v="Prestación de servicios profesionales en el desarrollo de las actividades que se designen para el seguimiento del plan de mejoramiento de la Oficina Asesora de Planeación, así como la implementación de las políticas del Modelo Integrado de Planeación y Gestión MIPG."/>
    <s v="25 - contrato de prestacion de servicios profesionales"/>
    <n v="80111600"/>
    <n v="2"/>
    <n v="6"/>
    <n v="0"/>
    <n v="42000000"/>
    <x v="0"/>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062"/>
    <x v="0"/>
    <s v="Oficina Asesora de Planeación"/>
    <s v="Manuel Eduardo Castillo Guzman"/>
    <s v="Prestar servicios profesionales para coordinar y ejercer seguimiento a la Implementación del Sistema de Gestión de la Calidad así como a las políticas que componen el modelo de gestión -MIPG que se definan por la Oficina Asesora de Planeación."/>
    <s v="25 - contrato de prestacion de servicios profesionales"/>
    <n v="80111600"/>
    <n v="2"/>
    <n v="11"/>
    <n v="0"/>
    <n v="935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063"/>
    <x v="0"/>
    <s v="Oficina Asesora de Planeación"/>
    <s v="Manuel Eduardo Castillo Guzman"/>
    <s v="Prestar servicios asistenciales en el desarrollo de actividades relacionadas con la gestión administrativa en la Oficina Asesora de Planeación de la Unidad Administrativa Especial Cuerpo Oficial de Bomberos de Bogotá."/>
    <s v="26 - contrato de prestacion de servicios de apoyo a la gestion"/>
    <n v="80111600"/>
    <n v="2"/>
    <n v="9"/>
    <n v="0"/>
    <n v="40417344"/>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064"/>
    <x v="0"/>
    <s v="Oficina Asesora de Planeación"/>
    <s v="Manuel Eduardo Castillo Guzman"/>
    <s v="Prestación de servicios profesionales para el desarrollo de actividades orientadas a implementar las políticas establecidas en el marco del Modelo Integrado de Planeación y Gestión (MIPG), liderado por la Oficina Asesora de Planeación."/>
    <s v="25 - contrato de prestacion de servicios profesionales"/>
    <n v="80111600"/>
    <n v="3"/>
    <n v="10"/>
    <n v="0"/>
    <n v="650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065"/>
    <x v="0"/>
    <s v="Oficina Asesora de Planeación"/>
    <s v="Manuel Eduardo Castillo Guzman"/>
    <s v="Prestación de servicios profesionales para el desarrollo de actividades designadas en el marco del Modelo Integrado de Planeación y Gestión (MIPG), orientadas a brindar soporte en el área que lo requiera."/>
    <s v="25 - contrato de prestacion de servicios profesionales"/>
    <n v="80111600"/>
    <n v="3"/>
    <n v="6"/>
    <n v="0"/>
    <n v="350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067"/>
    <x v="0"/>
    <s v="Dirección"/>
    <s v="Paula Ximena Henao Escobar"/>
    <s v="Prestación de servicios profesionales jurídicos en virtud de las funciones asignadas a la Dirección General de la UAECOB, para apoyar los procesos contractuales y actividades administrativas requeridas."/>
    <s v="25 - contrato de prestacion de servicios profesionales"/>
    <n v="80111600"/>
    <n v="2"/>
    <n v="11"/>
    <n v="0"/>
    <n v="572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68"/>
    <x v="0"/>
    <s v="Dirección"/>
    <s v="Paula Ximena Henao Escobar"/>
    <s v="Prestar servicios profesionales jurídicos en la Dirección General de la UAECOB en la revisión, gestión y seguimiento de temas a cargo de la dirección, contratación y estratégicos de la misionalidad de la Entidad"/>
    <s v="25 - contrato de prestacion de servicios profesionales"/>
    <n v="80111600"/>
    <n v="10"/>
    <n v="3"/>
    <n v="0"/>
    <n v="24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69"/>
    <x v="0"/>
    <s v="Dirección"/>
    <s v="Paula Ximena Henao Escobar"/>
    <s v="Prestar servicios profesionales a la Dirección General en actividades de articulación interinstitucional entre las diferentes dependencias, entidades del sector, y demás que estén relacionadas con la misionalidad de la UAECOB."/>
    <s v="25 - contrato de prestacion de servicios profesionales"/>
    <n v="80111600"/>
    <n v="2"/>
    <n v="11"/>
    <n v="0"/>
    <n v="82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70"/>
    <x v="0"/>
    <s v="Dirección"/>
    <s v="Paula Ximena Henao Escobar"/>
    <s v="Prestar servicios profesionales especializados en el desarrollo de las actividades y de los diferentes procesos que tiene a su cargo y bajo su seguimiento la Dirección General de la UAE Cuerpo Oficial de Bomberos de Bogotá."/>
    <s v="25 - contrato de prestacion de servicios profesionales"/>
    <n v="80111600"/>
    <n v="2"/>
    <n v="11"/>
    <n v="0"/>
    <n v="1078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71"/>
    <x v="0"/>
    <s v="Dirección"/>
    <s v="Paula Ximena Henao Escobar"/>
    <s v="Prestar servicios profesionales jurídicos en el desarrollo de las actividades y de los diferentes procesos de la Dirección General de la UAE Cuerpo Oficial de Bomberos de Bogotá"/>
    <s v="25 - contrato de prestacion de servicios profesionales"/>
    <n v="80111600"/>
    <n v="2"/>
    <n v="11"/>
    <n v="0"/>
    <n v="110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72"/>
    <x v="0"/>
    <s v="Dirección"/>
    <s v="Paula Ximena Henao Escobar"/>
    <s v="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s v="25 - contrato de prestacion de servicios profesionales"/>
    <n v="80111600"/>
    <n v="2"/>
    <n v="11"/>
    <n v="0"/>
    <n v="572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73"/>
    <x v="0"/>
    <s v="Dirección"/>
    <s v="Paula Ximena Henao Escobar"/>
    <s v="Prestar servicios de apoyo a la gestión en la UAECOB, en asuntos administrativos y asistenciales requeridos, especificamente en el seguimiento de la información."/>
    <s v="26 - contrato de prestacion de servicios de apoyo a la gestion"/>
    <n v="80111600"/>
    <n v="2"/>
    <n v="11"/>
    <n v="0"/>
    <n v="484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74"/>
    <x v="0"/>
    <s v="Dirección"/>
    <s v="Paula Ximena Henao Escobar"/>
    <s v="Prestar servicios profesionales para acompañar a la Dirección General en materia de modernización, gestión del conocimiento e innovación, estándares nacionales e internacionales y en mejora continua a la Unidad Administrativa Especial Cuerpo Oficial Bomberos Bogotá"/>
    <s v="25 - contrato de prestacion de servicios profesionales"/>
    <n v="80111600"/>
    <n v="2"/>
    <n v="6"/>
    <n v="0"/>
    <n v="588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75"/>
    <x v="0"/>
    <s v="Dirección"/>
    <s v="Paula Ximena Henao Escobar"/>
    <s v="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
    <s v="25 - contrato de prestacion de servicios profesionales"/>
    <n v="80111600"/>
    <n v="2"/>
    <n v="6"/>
    <n v="0"/>
    <n v="588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76"/>
    <x v="0"/>
    <s v="Dirección comunicaciones y Prensa"/>
    <s v="Paula Ximena Henao Escobar"/>
    <s v="Prestar servicios profesionales especializados en la Dirección General de la UAECOB en la organización y liderazgo de los asuntos relacionados con comunicaciones de conformidad a la misionalidad de la entidad."/>
    <s v="25 - contrato de prestacion de servicios profesionales"/>
    <n v="80111600"/>
    <n v="2"/>
    <n v="11"/>
    <n v="0"/>
    <n v="1155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77"/>
    <x v="0"/>
    <s v="Dirección comunicaciones y Prensa"/>
    <s v="Paula Ximena Henao Escobar"/>
    <s v="Prestación de servicios profesionales en la Dirección en comunicaciones y prensa, para apoyar la difusión de la información al público interno y externo de la UAECOB."/>
    <s v="25 - contrato de prestacion de servicios profesionales"/>
    <n v="80111600"/>
    <n v="2"/>
    <n v="11"/>
    <n v="0"/>
    <n v="66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78"/>
    <x v="0"/>
    <s v="Dirección comunicaciones y Prensa"/>
    <s v="Paula Ximena Henao Escobar"/>
    <s v="Prestar servicios de apoyo para la gestión en asuntos de comunicaciones y prensa en la Dirección General, y demás acciones encaminadas al cumplimiento de las estrategias comunicacionales de la UAECOB"/>
    <s v="26 - contrato de prestacion de servicios de apoyo a la gestion"/>
    <n v="80111600"/>
    <n v="2"/>
    <n v="11"/>
    <n v="0"/>
    <n v="484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79"/>
    <x v="0"/>
    <s v="Dirección comunicaciones y Prensa"/>
    <s v="Paula Ximena Henao Escobar"/>
    <s v="Prestación de servicios profesionales en asuntos de comunicaciones y prensa para apoyar la divulgación y socialización de la información relacionada con la misionalidad de la UAECOB de manera interna y externa"/>
    <s v="25 - contrato de prestacion de servicios profesionales"/>
    <n v="80111600"/>
    <n v="2"/>
    <n v="11"/>
    <n v="0"/>
    <n v="66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80"/>
    <x v="0"/>
    <s v="Dirección comunicaciones y Prensa"/>
    <s v="Paula Ximena Henao Escobar"/>
    <s v="Prestar servicios profesionales para apoyar el desarrollo de estrategias de la dirección general, en asuntos relacionados con comunicaciones y prensa, encaminadas al posicionamiento, imagen y divulgación corporativa de la entidad y dirigidas a sus públicos internos"/>
    <s v="25 - contrato de prestacion de servicios profesionales"/>
    <n v="80111600"/>
    <n v="2"/>
    <n v="11"/>
    <n v="0"/>
    <n v="88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81"/>
    <x v="0"/>
    <s v="Dirección comunicaciones y Prensa"/>
    <s v="Paula Ximena Henao Escobar"/>
    <s v="&quot;Prestar servicios profesionales en la Dirección General para  el manejo de redes sociales de la entidad y apoyo periodistico requerido en el marco de la estrategia de comunicaciones y prensa de la UEACOB&quot;."/>
    <s v="25 - contrato de prestacion de servicios profesionales"/>
    <n v="80111600"/>
    <n v="2"/>
    <n v="11"/>
    <n v="0"/>
    <n v="66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82"/>
    <x v="0"/>
    <s v="Dirección"/>
    <s v="Paula Ximena Henao Escobar"/>
    <s v="Prestar servicios profesionales en la Dirección General para apoyar las actividades de cooperación técnica Internacional, seguimientos estrategicos y articulación interinstitucional de conformidad a la misionalidad de la entidad."/>
    <s v="25 - contrato de prestacion de servicios profesionales"/>
    <n v="80111600"/>
    <n v="2"/>
    <n v="8"/>
    <n v="0"/>
    <n v="60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83"/>
    <x v="0"/>
    <s v="Dirección comunicaciones y Prensa"/>
    <s v="Paula Ximena Henao Escobar"/>
    <s v="Prestar servicios profesionales en la Dirección General para el manejo de redes sociales, divulgación, socialización de información y apoyo periodístico, requerido en el marco de la estrategia de comunicaciones y prensa de la UAECOB."/>
    <s v="25 - contrato de prestacion de servicios profesionales"/>
    <n v="80111600"/>
    <n v="2"/>
    <n v="10"/>
    <n v="0"/>
    <n v="52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84"/>
    <x v="0"/>
    <s v="Dirección comunicaciones y Prensa"/>
    <s v="Paula Ximena Henao Escobar"/>
    <s v="Prestación de servicios profesionales para apoyar a la Dirección en la elaboración, diseño y diagramación de piezas requeridas para los planes, programas, proyectos y procedimientos"/>
    <s v="25 - contrato de prestacion de servicios profesionales"/>
    <n v="80111600"/>
    <n v="2"/>
    <n v="11"/>
    <n v="0"/>
    <n v="66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85"/>
    <x v="0"/>
    <s v="Dirección comunicaciones y Prensa"/>
    <s v="Paula Ximena Henao Escobar"/>
    <s v="Prestar apoyo técnico en la Dirección, en asuntos de comunicaciones y prensa, para la producción, diseño y edición de material audiovisual de la UAECOB."/>
    <s v="26 - contrato de prestacion de servicios de apoyo a la gestion"/>
    <n v="80111600"/>
    <n v="3"/>
    <n v="10"/>
    <n v="0"/>
    <n v="44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86"/>
    <x v="0"/>
    <s v="Dirección comunicaciones y Prensa"/>
    <s v="Paula Ximena Henao Escobar"/>
    <s v="Prestar servicios profesionales especializados a la Dirección General de la UAECOB en la construcción ,acompañamiento, seguimiento y fortalecimiento de las estrategias de comunicación que adelante la entidad dentro del Distrito Capital"/>
    <s v="25 - contrato de prestacion de servicios profesionales"/>
    <n v="80111600"/>
    <n v="2"/>
    <n v="11"/>
    <n v="0"/>
    <n v="1078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87"/>
    <x v="0"/>
    <s v="Dirección comunicaciones y Prensa"/>
    <s v="Paula Ximena Henao Escobar"/>
    <s v="Prestación de servicios profesionales en asuntos de comunicaciones y prensa para apoyar las labores de reportería, periodismo y de divulgación de información y campañas, de acuerdo con la misionalidad de la UAECOB"/>
    <s v="25 - contrato de prestacion de servicios profesionales"/>
    <n v="80111600"/>
    <n v="2"/>
    <n v="6"/>
    <n v="0"/>
    <n v="312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88"/>
    <x v="0"/>
    <s v="Dirección comunicaciones y Prensa"/>
    <s v="Paula Ximena Henao Escobar"/>
    <s v="Prestación de servicios profesionales en asuntos de comunicaciones y prensa para apoyar la creación y divulgación audiovisual relacionada con la misionalidad de la UAECOB."/>
    <s v="25 - contrato de prestacion de servicios profesionales"/>
    <n v="80111600"/>
    <n v="3"/>
    <n v="10"/>
    <n v="0"/>
    <n v="52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89"/>
    <x v="0"/>
    <s v="Dirección comunicaciones y Prensa"/>
    <s v="Paula Ximena Henao Escobar"/>
    <s v="Prestación de servicios profesionales en asuntos de comunicaciones y prensa para detectar las necesidades de la Entidad y facilitar la inserción de nuevas estrategias de comunicación"/>
    <s v="25 - contrato de prestacion de servicios profesionales"/>
    <n v="80111600"/>
    <n v="3"/>
    <n v="6"/>
    <n v="0"/>
    <n v="408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90"/>
    <x v="0"/>
    <s v="Dirección comunicaciones y Prensa"/>
    <s v="Paula Ximena Henao Escobar"/>
    <s v="Prestación de servicios como conductor en los diferentes recorridos de carácter operativo que se requieran en la Dirección General."/>
    <s v="26 - contrato de prestacion de servicios de apoyo a la gestion"/>
    <n v="80111600"/>
    <n v="2"/>
    <n v="11"/>
    <n v="0"/>
    <n v="385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91"/>
    <x v="0"/>
    <s v="Dirección comunicaciones y Prensa"/>
    <s v="Paula Ximena Henao Escobar"/>
    <s v="Prestación de servicios profesionales en asuntos de comunicaciones y prensa para apoyar las labores periodísticas y de divulgación de información, de acuerdo con la misionalidad de la UAECOB."/>
    <s v="25 - contrato de prestacion de servicios profesionales"/>
    <n v="80111600"/>
    <n v="2"/>
    <n v="6"/>
    <n v="0"/>
    <n v="312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92"/>
    <x v="0"/>
    <s v="Dirección comunicaciones y Prensa"/>
    <s v="Paula Ximena Henao Escobar"/>
    <s v="Prestación de servicios profesionales en asuntos de comunicaciones y prensa para revisar los procesos de comunicación de entidad con el fin de evaluar su eficacia interna y externa y detectar ineficiencias en los canales de comunicación"/>
    <s v="25 - contrato de prestacion de servicios profesionales"/>
    <n v="80111600"/>
    <n v="3"/>
    <n v="6"/>
    <n v="0"/>
    <n v="552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93"/>
    <x v="0"/>
    <s v="Dirección"/>
    <s v="Paula Ximena Henao Escobar"/>
    <s v="Prestar servicios como conductor a la UAECOB, para facilitar el transporte de recurso humano y demás que le sean indicados en la Dirección General en concordancia al marco de sus funciones."/>
    <s v="26 - contrato de prestacion de servicios de apoyo a la gestion"/>
    <n v="80111600"/>
    <n v="5"/>
    <n v="7"/>
    <n v="0"/>
    <n v="24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94"/>
    <x v="0"/>
    <s v="Dirección comunicaciones y Prensa"/>
    <s v="Paula Ximena Henao Escobar"/>
    <s v="Prestación de servicios de profesionales a la gestión en la Dirección para el acompañamiento en las labores administrativas en asuntos de Comunicaciones y Prensa de la UAECOB"/>
    <s v="25 - contrato de prestacion de servicios profesionales"/>
    <n v="80111600"/>
    <n v="2"/>
    <n v="6"/>
    <n v="0"/>
    <n v="30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95"/>
    <x v="0"/>
    <s v="Dirección"/>
    <s v="Paula Ximena Henao Escobar"/>
    <s v="Prestar servicios profesionales especializados en el desarrollo de las actividades estrategicas de la Dirección General de la UAE Cuerpo Oficial de Bomberos de Bogotá"/>
    <s v="25 - contrato de prestacion de servicios profesionales"/>
    <n v="80111600"/>
    <n v="2"/>
    <n v="9"/>
    <n v="0"/>
    <n v="90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96"/>
    <x v="0"/>
    <s v="Dirección"/>
    <s v="Paula Ximena Henao Escobar"/>
    <s v="Prestar servicios profesionales jurídicos en la Dirección General de la UAECOB en la revisión, gestión y seguimiento de temas de infraestructura, POT, plan maestro de equipamiento y procesos contractuales y estratégicos de la misionalidad de la Entidad"/>
    <s v="25 - contrato de prestacion de servicios profesionales"/>
    <n v="80111600"/>
    <n v="2"/>
    <n v="6"/>
    <n v="0"/>
    <n v="552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97"/>
    <x v="1"/>
    <s v="Sub. Gestión Humana"/>
    <s v="Jose Andres Ponce Caicedo"/>
    <s v="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
    <s v="25 - contrato de prestacion de servicios profesionales"/>
    <n v="80111600"/>
    <n v="1"/>
    <n v="11"/>
    <n v="0"/>
    <n v="66725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098"/>
    <x v="1"/>
    <s v="Sub. Gestión Humana"/>
    <s v="Jose Andres Ponce Caicedo"/>
    <s v="SGH - Prestar servicios profesionales especializados para desarrollar actividades jurídicas en atención a los distintos requerimientos de la Subdirección de Gestión Humana."/>
    <s v="25 - contrato de prestacion de servicios profesionales"/>
    <n v="80111600"/>
    <n v="1"/>
    <n v="11"/>
    <n v="0"/>
    <n v="66725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2199 Otros servicios jurídicos n.c.p."/>
    <s v="Si Secop "/>
  </r>
  <r>
    <n v="20250099"/>
    <x v="1"/>
    <s v="Sub. Gestión Humana"/>
    <s v="Jose Andres Ponce Caicedo"/>
    <s v="SGH - Prestar servicios profesionales para desarrollar actividades jurídicas en atención a los distintos requerimientos de la Subdirección de Gestión Humana."/>
    <s v="25 - contrato de prestacion de servicios profesionales"/>
    <n v="80111600"/>
    <n v="2"/>
    <n v="10"/>
    <n v="0"/>
    <n v="504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2199 Otros servicios jurídicos n.c.p."/>
    <s v="Si Secop "/>
  </r>
  <r>
    <n v="20250100"/>
    <x v="1"/>
    <s v="Sub. Gestión Humana"/>
    <s v="Jose Andres Ponce Caicedo"/>
    <s v="SGH - Prestar servicios profesionales para desarrollar actividades jurídicas relacionadas con la academia bomberil, recobro de incapacidades y procesos administrativos de la Subdirección de Gestión Humana."/>
    <s v="25 - contrato de prestacion de servicios profesionales"/>
    <n v="80111600"/>
    <n v="2"/>
    <n v="11"/>
    <n v="0"/>
    <n v="504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2199 Otros servicios jurídicos n.c.p."/>
    <s v="Si Secop "/>
  </r>
  <r>
    <n v="20250101"/>
    <x v="1"/>
    <s v="Sub. Gestión Humana"/>
    <s v="Jose Andres Ponce Caicedo"/>
    <s v="SGH - Prestar servicios profesionales en la Subdirección de Gestión Humana, para el fortalecimiento transversal del proceso de Academia."/>
    <s v="25 - contrato de prestacion de servicios profesionales"/>
    <n v="80111600"/>
    <n v="2"/>
    <n v="11"/>
    <n v="0"/>
    <n v="384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02"/>
    <x v="1"/>
    <s v="Sub. Gestión Humana"/>
    <s v="Jose Andres Ponce Caicedo"/>
    <s v="SGH - Prestar sus servicios profesionales en los procesos de la Subdirección de Gestión Humana de la UAE Cuerpo Oficial de Bomberos."/>
    <s v="25 - contrato de prestacion de servicios profesionales"/>
    <n v="80111600"/>
    <n v="3"/>
    <n v="10"/>
    <n v="0"/>
    <n v="46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03"/>
    <x v="1"/>
    <s v="Sub. Gestión Humana"/>
    <s v="Jose Andres Ponce Caicedo"/>
    <s v="SGH - Prestar servicios profesionales para apoyar el programa de desórdenes musculo esqueléticos de la UAE Cuerpo Oficial de Bomberos de Bogotá."/>
    <s v="25 - contrato de prestacion de servicios profesionales"/>
    <n v="80111600"/>
    <n v="2"/>
    <n v="8"/>
    <n v="0"/>
    <n v="31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04"/>
    <x v="1"/>
    <s v="Sub. Gestión Humana"/>
    <s v="Jose Andres Ponce Caicedo"/>
    <s v="SGH - Prestar servicios de apoyo en el sistema de gestión de seguridad y salud en el trabajo en la Subdirección de Gestión Humana de la UAE Cuerpo Oficial de Bomberos."/>
    <s v="26 - contrato de prestacion de servicios de apoyo a la gestion"/>
    <n v="80111600"/>
    <n v="2"/>
    <n v="8"/>
    <n v="0"/>
    <n v="32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05"/>
    <x v="1"/>
    <s v="Sub. Gestión Humana"/>
    <s v="Jose Andres Ponce Caicedo"/>
    <s v="SGH - Prestar sus servicios profesionales en la Subdirección de Gestión Humana en temas de desarrollo organizacional."/>
    <s v="25 - contrato de prestacion de servicios profesionales"/>
    <n v="80111600"/>
    <n v="2"/>
    <n v="11"/>
    <n v="0"/>
    <n v="567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06"/>
    <x v="1"/>
    <s v="Sub. Gestión Humana"/>
    <s v="Jose Andres Ponce Caicedo"/>
    <s v="SGH - Prestar sus servicios profesionales en la gestión contractual y presupuestal de la Subdirección de Gestión Humana de la UAE Cuerpo Oficial de Bomberos."/>
    <s v="25 - contrato de prestacion de servicios profesionales"/>
    <n v="80111600"/>
    <n v="2"/>
    <n v="11"/>
    <n v="0"/>
    <n v="38793333"/>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07"/>
    <x v="1"/>
    <s v="Sub. Gestión Humana"/>
    <s v="Jose Andres Ponce Caicedo"/>
    <s v="SGH - Prestar servicios profesionales a la Subdirección de Gestión Humana para el fortalecimiento y seguimiento del proceso de la escuela de formación bomberil y su relacionamiento con el sistema de seguridad y salud en el trabajo"/>
    <s v="25 - contrato de prestacion de servicios profesionales"/>
    <n v="80111600"/>
    <n v="2"/>
    <n v="11"/>
    <n v="0"/>
    <n v="511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08"/>
    <x v="1"/>
    <s v="Sub. Gestión Humana"/>
    <s v="Jose Andres Ponce Caicedo"/>
    <s v="SGH - Prestar servicios profesionales en la Subdirección de Gestión Humana de la UAE Cuerpo Oficial de Bomberos en temas de liquidación de demandas y conciliaciones."/>
    <s v="25 - contrato de prestacion de servicios profesionales"/>
    <n v="80111600"/>
    <n v="2"/>
    <n v="11"/>
    <n v="0"/>
    <n v="40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09"/>
    <x v="1"/>
    <s v="Sub. Gestión Humana"/>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37375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10"/>
    <x v="1"/>
    <s v="Sub. Gestión Humana"/>
    <s v="Jose Andres Ponce Caicedo"/>
    <s v="SGH - Prestar servicios profesionales para apoyar el seguimiento del sistema de gestión de seguridad y salud en el trabajo en la Subdirección de Gestión Humana."/>
    <s v="25 - contrato de prestacion de servicios profesionales"/>
    <n v="80111600"/>
    <n v="2"/>
    <n v="11"/>
    <n v="0"/>
    <n v="384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11"/>
    <x v="1"/>
    <s v="Sub. Gestión Humana"/>
    <s v="Jose Andres Ponce Caicedo"/>
    <s v="SGH - Ejecutar actividades de apoyo a la gestión en  la Subdirección de Gestión Humana de la UAE Cuerpo Oficial de Bomberos de Bogotá D.C. en lo relacionado con los procesos de actualización, custodia y manejo del archivo de gestión de la Subdirección."/>
    <s v="26 - contrato de prestacion de servicios de apoyo a la gestion"/>
    <n v="80111600"/>
    <n v="2"/>
    <n v="11"/>
    <n v="0"/>
    <n v="30515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12"/>
    <x v="1"/>
    <s v="Sub. Gestión Humana"/>
    <s v="Jose Andres Ponce Caicedo"/>
    <s v="SGH - Prestar Servicios de apoyo  a los procesos de archivo en  Subdirección de Gestión Humana de la UAE Cuerpo Oficial de Bomberos de Bogotá D.C. "/>
    <s v="26 - contrato de prestacion de servicios de apoyo a la gestion"/>
    <n v="80111600"/>
    <n v="3"/>
    <n v="10"/>
    <n v="0"/>
    <n v="220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13"/>
    <x v="1"/>
    <s v="Sub. Gestión Humana"/>
    <s v="Jose Andres Ponce Caicedo"/>
    <s v="SGH - Prestar sus servicios profesionales en el proceso de liquidación de demandas y conciliaciones administrativas para la Subdirección de Gestión Humana de la UAE Cuerpo Oficial de Bomberos."/>
    <s v="25 - contrato de prestacion de servicios profesionales"/>
    <n v="80111600"/>
    <n v="2"/>
    <n v="11"/>
    <n v="0"/>
    <n v="5092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15"/>
    <x v="1"/>
    <s v="Sub. Gestión Humana"/>
    <s v="Jose Andres Ponce Caicedo"/>
    <s v="SGH - Prestar servicios profesionales en la Subdirección de Gestión Humana de la UAE Cuerpo Oficial de Bomberos en temas de liquidación de demandas y conciliaciones."/>
    <s v="25 - contrato de prestacion de servicios profesionales"/>
    <n v="80111600"/>
    <n v="2"/>
    <n v="11"/>
    <n v="0"/>
    <n v="382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16"/>
    <x v="1"/>
    <s v="Sub. Gestión Humana"/>
    <s v="Jose Andres Ponce Caicedo"/>
    <s v="SGH - Prestar sus servicios profesionales en comunicación interna y externa para la Subdirección de Gestión Humana de la UAE Cuerpo Oficial de Bomberos de Bogotá"/>
    <s v="25 - contrato de prestacion de servicios profesionales"/>
    <n v="80111600"/>
    <n v="2"/>
    <n v="11"/>
    <n v="0"/>
    <n v="544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17"/>
    <x v="1"/>
    <s v="Sub. Gestión Humana"/>
    <s v="Jose Andres Ponce Caicedo"/>
    <s v="SGH - Prestar servicios de apoyo a la gestión en cumplimiento de los planes institucionales de la Subdirección de Gestión Humana específicamente para desarrollo organizacional."/>
    <s v="26 - contrato de prestacion de servicios de apoyo a la gestion"/>
    <n v="80111600"/>
    <n v="2"/>
    <n v="11"/>
    <n v="0"/>
    <n v="27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18"/>
    <x v="1"/>
    <s v="Sub. Gestión Humana"/>
    <s v="Jose Andres Ponce Caicedo"/>
    <s v="SGH-  Prestar servicios profesionales en la Subdirección de Gestión Humana de la UAE Cuerpo Oficial de Bomberos de Bogotá en las áreas de calidad de vida y desarrollo organizacional"/>
    <s v="25 - contrato de prestacion de servicios profesionales"/>
    <n v="80111600"/>
    <n v="2"/>
    <n v="11"/>
    <n v="0"/>
    <n v="40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19"/>
    <x v="1"/>
    <s v="Sub. Gestión Humana"/>
    <s v="Jose Andres Ponce Caicedo"/>
    <s v="SGH - Prestar servicios profesionales en la Subdirección de Gestión Humana de la UAE Cuerpo Oficial de Bomberos en temas de Administración de Personal."/>
    <s v="25 - contrato de prestacion de servicios profesionales"/>
    <n v="80111600"/>
    <n v="2"/>
    <n v="11"/>
    <n v="0"/>
    <n v="4806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21"/>
    <x v="1"/>
    <s v="Sub. Gestión Humana"/>
    <s v="Jose Andres Ponce Caicedo"/>
    <s v="SGH - Prestar servicios profesionales en la Subdirección de Gestión Humana en la estrategia de fortalecimiento institucional, realizando documentos de necesidades de diagnóstico organizacional de la Unidad Administrativa Especial Cuerpo Oficial de Bomberos de Bogotá."/>
    <s v="25 - contrato de prestacion de servicios profesionales"/>
    <n v="80111600"/>
    <n v="2"/>
    <n v="11"/>
    <n v="0"/>
    <n v="6474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22"/>
    <x v="1"/>
    <s v="Sub. Gestión Humana"/>
    <s v="Jose Andres Ponce Caicedo"/>
    <s v="SGH - Prestar servicios profesionales en la Subdirección de Gestión Humana en lo referente a la gestión financiera, presupuestal y análisis de las situaciones administrativas derivada del procedimiento de nómina de la entidad"/>
    <s v="25 - contrato de prestacion de servicios profesionales"/>
    <n v="80111600"/>
    <n v="4"/>
    <n v="8"/>
    <n v="0"/>
    <n v="632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23"/>
    <x v="1"/>
    <s v="Sub. Gestión Humana"/>
    <s v="Jose Andres Ponce Caicedo"/>
    <s v="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
    <s v="26 - contrato de prestacion de servicios de apoyo a la gestion"/>
    <n v="80111600"/>
    <n v="3"/>
    <n v="10"/>
    <n v="0"/>
    <n v="72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24"/>
    <x v="1"/>
    <s v="Sub. Gestión Humana"/>
    <s v="Jose Andres Ponce Caicedo"/>
    <s v="SGH - Prestar servicios profesionales juridicos para desarrollar actividades en la Subdireccion de Gestion Humana y el area de academia, que contemple el fortalecimiento de los programas de formación y capacitación de la UAE Cuerpo Oficial de Bomberos de Bogotá"/>
    <s v="25 - contrato de prestacion de servicios profesionales"/>
    <n v="80111600"/>
    <n v="3"/>
    <n v="10"/>
    <n v="0"/>
    <n v="273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2199 Otros servicios jurídicos n.c.p."/>
    <s v="Si Secop "/>
  </r>
  <r>
    <n v="20250125"/>
    <x v="1"/>
    <s v="Sub. Gestión Humana"/>
    <s v="Jose Andres Ponce Caicedo"/>
    <s v="SGH- Prestar servicios profesionales para apoyar en el seguimiento de indicadores, coordinar, controlar y ejercer seguimiento al desarrollo de actividades de manera transversal en los procesos a cargo de la Subdirección de Gestión Humana de la UAE Cuerpo Oficial de Bomberos de Bogotá D.C."/>
    <s v="25 - contrato de prestacion de servicios profesionales"/>
    <n v="80111600"/>
    <n v="2"/>
    <n v="11"/>
    <n v="0"/>
    <n v="63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26"/>
    <x v="1"/>
    <s v="Sub. Gestión Humana"/>
    <s v="Jose Andres Ponce Caicedo"/>
    <s v="SGH- Prestar servicios profesionales en la Subdirección de Gestión Humana de la UAE Cuerpo Oficial de Bomberos Bogotá D.C. en lo relacionado con la consolidación y análisis de base de datos y constitución del presupuesto"/>
    <s v="25 - contrato de prestacion de servicios profesionales"/>
    <n v="80111600"/>
    <n v="3"/>
    <n v="10"/>
    <n v="0"/>
    <n v="546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27"/>
    <x v="1"/>
    <s v="Sub. Gestión Humana"/>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37375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28"/>
    <x v="1"/>
    <s v="Sub. Gestión Humana"/>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37375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29"/>
    <x v="1"/>
    <s v="Sub. Gestión Humana"/>
    <s v="Jose Andres Ponce Caicedo"/>
    <s v="SGH - Prestar servicios profesionales para desarrollar actividades jurídicas relacionadas con los procesos de seguridad social y las diferentes situaciones administrativas de la Subdirección de Gestión Humana de la UAE Cuerpo oficial de Bomberos."/>
    <s v="25 - contrato de prestacion de servicios profesionales"/>
    <n v="80111600"/>
    <n v="4"/>
    <n v="9"/>
    <n v="0"/>
    <n v="63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2199 Otros servicios jurídicos n.c.p."/>
    <s v="Si Secop "/>
  </r>
  <r>
    <n v="20250130"/>
    <x v="1"/>
    <s v="Sub. Gestión Humana"/>
    <s v="Jose Andres Ponce Caicedo"/>
    <s v="SGH - Prestar servicios de apoyo a la gestión en la Subdirección de Gestión Humana en las diferentes actividades logísticas relacionadas con  el proceso de Academia."/>
    <s v="26 - contrato de prestacion de servicios de apoyo a la gestion"/>
    <n v="80111600"/>
    <n v="2"/>
    <n v="11"/>
    <n v="0"/>
    <n v="26272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32"/>
    <x v="1"/>
    <s v="Sub. Gestión Humana"/>
    <s v="Jose Andres Ponce Caicedo"/>
    <s v="SGH prestar servicios profesionales para acompañar a la Subdirección de Gestión Humana en el desarrollo de las actividades relacionadas con el seguimiento a la ejecución presupuestal en el marco de los procesos, procedimientos y contratos a cargo de la dependencia"/>
    <s v="25 - contrato de prestacion de servicios profesionales"/>
    <n v="80111600"/>
    <n v="2"/>
    <n v="11"/>
    <n v="0"/>
    <n v="584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33"/>
    <x v="1"/>
    <s v="Sub. Gestión Humana"/>
    <s v="Jose Andres Ponce Caicedo"/>
    <s v="SGH – Prestar servicios profesionales en las diferentes actividades del  sistema de gestión de seguridad y salud en el trabajo y en vigilancia epidemiológica de la Subdirección de Gestión Humana. "/>
    <s v="25 - contrato de prestacion de servicios profesionales"/>
    <n v="80111600"/>
    <n v="3"/>
    <n v="10"/>
    <n v="0"/>
    <n v="49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35"/>
    <x v="1"/>
    <s v="Sub. Gestión Humana"/>
    <s v="Jose Andres Ponce Caicedo"/>
    <s v="SGH- Prestación de servicios profesionales para apoyar a la Subdirección Gestión Humana, en los trámites relacionados con la información financiera, contable y presupuestal que sirvan como base para la toma de decisiones dentro del marco normativo y administrativo de las etapas precontractuales, contractuales y postcontractuales de los procesos a cargo de la subdirección."/>
    <s v="25 - contrato de prestacion de servicios profesionales"/>
    <n v="80111600"/>
    <n v="3"/>
    <n v="10"/>
    <n v="0"/>
    <n v="25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36"/>
    <x v="1"/>
    <s v="Sub. Gestión Humana"/>
    <s v="Jose Andres Ponce Caicedo"/>
    <s v="SGH - Prestar servicios profesionales en el desarrollo de actividades relacionadas con la actualizacion de registro laborales del personal de la entidad, asi como apoyar en las actividades a cargo de desarrollo organizacional de la subdireccion de gestion humana."/>
    <s v="25 - contrato de prestacion de servicios profesionales"/>
    <n v="80111600"/>
    <n v="3"/>
    <n v="10"/>
    <n v="0"/>
    <n v="38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38"/>
    <x v="1"/>
    <s v="Sub. Gestión Humana"/>
    <s v="Jose Andres Ponce Caicedo"/>
    <s v="SGH - Prestación de servicios de apoyo a la gestión para acompañar a la Subdirección de Gestión Humana y a la Academia de la UAE Cuerpo Oficial de Bomberos de Bogotá D.C., en la proyección y elaboración de actas técnicas de las sesiones llevadas a cabo, tales como, la comisión de personal, consejo académico relacionado con los temas de formación y capacitación del personal administrativo y operativo, entre otros. en los que la dependencia ejerza la secretaria técnica y los procesos académicos lo ameriten."/>
    <s v="26 - contrato de prestacion de servicios de apoyo a la gestion"/>
    <n v="80111600"/>
    <n v="3"/>
    <n v="10"/>
    <n v="0"/>
    <n v="128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39"/>
    <x v="1"/>
    <s v="Sub. Gestión Humana"/>
    <s v="Jose Andres Ponce Caicedo"/>
    <s v="SGH - Prestar servicios profesionales para apoyar el programa de riesgo psicosocial y diferentes  actividades de seguridad y salud en el trabajo en la Subdirección de Gestión Humana"/>
    <s v="25 - contrato de prestacion de servicios profesionales"/>
    <n v="80111600"/>
    <n v="3"/>
    <n v="10"/>
    <n v="0"/>
    <n v="402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42"/>
    <x v="1"/>
    <s v="Sub. Gestión Humana"/>
    <s v="Jose Andres Ponce Caicedo"/>
    <s v="SGH - Prestar los servicios de capacitación, formación y entrenamiento en cursos especializados  para el personal operativo de la UAE Cuerpo Oficial de Bomberos  de Bogotá en el marco del PIC"/>
    <s v="03 - contrato de prestacion de servicios"/>
    <s v="86101600, 86101700, 86101800, 86111600, 86141500,  86121800, 80111500,86131800"/>
    <n v="9"/>
    <n v="4"/>
    <n v="0"/>
    <n v="187868635"/>
    <x v="0"/>
    <s v="02 - selec. abrev. menor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43"/>
    <x v="1"/>
    <s v="Sub. Gestión Humana"/>
    <s v="Jose Andres Ponce Caicedo"/>
    <s v="SGH - Prestar los servicios de  capacitación, formación y entrenamiento para los cursos instructor de fuego nivel II  - Proboard, para el personal operativo de la UAE Cuerpo Oficial de Bomberos  de Bogotá en el marco del PIC"/>
    <s v="03 - contrato de prestacion de servicios"/>
    <s v="86101600, 86101700, 86101800, 86111600, 86141500,  86121800, 80111500"/>
    <n v="5"/>
    <n v="4"/>
    <n v="0"/>
    <n v="116618999"/>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44"/>
    <x v="1"/>
    <s v="Sub. Gestión Humana"/>
    <s v="Jose Andres Ponce Caicedo"/>
    <s v="SGH - Prestar los servicios de capacitación, formación y entrenamiento para el curso especializado de Buzo de Seguridad Pública, dirigido al personal operativo de la UAE Cuerpo Oficial de Bomberos de Bogotá, con el fin de fortalecer las competencias necesarias para el desarrollo de los procesos misionales de la Entidad. "/>
    <s v="11 - orden de prestacion de servicios"/>
    <s v="86101600, 86101700, 86101800, 86111600, 86141500,  86121800, 80111500"/>
    <n v="9"/>
    <n v="2"/>
    <n v="0"/>
    <n v="0"/>
    <x v="0"/>
    <s v="02 - selec. abrev. menor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46"/>
    <x v="1"/>
    <s v="Sub. Gestión Humana"/>
    <s v="Jose Andres Ponce Caicedo"/>
    <s v="SGH - Adquisición de EPP - Elementos de protección personal  APH - Atención prehospitalaria  Y MANIQUIES para el desarrollo del entrenamiento y actividades propios de la Academia UAE Cuerpo Oficial de Bomberos de Bogotá"/>
    <s v="06 - contrato de compraventa"/>
    <s v=" 46201001; 42172201; 42171610; 42171612; 46181504; 46181537; 46201002; 42301502"/>
    <n v="7"/>
    <n v="2"/>
    <n v="0"/>
    <n v="36317435"/>
    <x v="0"/>
    <s v="04 - contratación mínima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47"/>
    <x v="1"/>
    <s v="Sub. Gestión Humana"/>
    <s v="Jose Andres Ponce Caicedo"/>
    <s v="SGH - Adquisición de elementos, herramientas y accesorios para  EQUIPAMIENTO DE MAQUINAS E INCENDIOS necesario para el desarrollo de entrenamiento de la Academia UAE Cuerpo Oficial de Bomberos de Bogotá"/>
    <s v="06 - contrato de compraventa"/>
    <s v="46161707,46191605, 46191609, 27111604, 46191603, 30191501, 46161715"/>
    <n v="6"/>
    <n v="4"/>
    <n v="0"/>
    <n v="23881100"/>
    <x v="0"/>
    <s v="04 - contratación mínima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48"/>
    <x v="1"/>
    <s v="Sub. Gestión Humana"/>
    <s v="Jose Andres Ponce Caicedo"/>
    <s v="SGH - Suministro de elementos para la adecuación de escenarios prácticos y simulados para cursos especializados, entrenamiento misional, capacitación en el puesto de trabajo para el personal operativo y administrativo de la Unidad Administrativa Especial Cuerpo Oficial de Bomberos, en el marco de los programas de capacitación, formación y entrenamiento"/>
    <s v="08 - contrato de suministro"/>
    <s v="72121100, 24101600, 30131500, 31371300, 30101500, 30101700, 30103600, 95121633, 30103619, 73121600, 73121500, 30101704, 30101504"/>
    <n v="4"/>
    <n v="4"/>
    <n v="0"/>
    <n v="110000000"/>
    <x v="0"/>
    <s v="17 - acuerdo marco de precios"/>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49"/>
    <x v="1"/>
    <s v="Sub. Gestión Humana"/>
    <s v="Jose Andres Ponce Caicedo"/>
    <s v="SGH -Prestar servicios profesionales para realizar un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
    <s v="25 - contrato de prestacion de servicios profesionales"/>
    <n v="80111600"/>
    <n v="5"/>
    <n v="4"/>
    <n v="0"/>
    <n v="36458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50"/>
    <x v="1"/>
    <s v="Sub. Gestión Humana"/>
    <s v="Jose Andres Ponce Caicedo"/>
    <s v="SGH - Garantizar los Recursos para movilización del Personal para emergencias"/>
    <s v="03 - contrato de prestacion de servicios"/>
    <n v="90121800"/>
    <n v="2"/>
    <n v="11"/>
    <n v="0"/>
    <n v="100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51"/>
    <x v="1"/>
    <s v="Sub. Gestión Humana"/>
    <s v="Jose Andres Ponce Caicedo"/>
    <s v="SGH - Garantizar los recursos para viáticos y tiquetes del personal"/>
    <s v="03 - contrato de prestacion de servicios"/>
    <n v="90121800"/>
    <n v="2"/>
    <n v="11"/>
    <n v="0"/>
    <n v="318534718"/>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52"/>
    <x v="2"/>
    <s v="Sub. Gestión Humana"/>
    <s v="Jose Andres Ponce Caicedo"/>
    <s v="SGH -Contratar la realización de los exámenes Médicos Ocupacionales para el personal de la UAE Cuerpo Oficial de Bomberos de Bogotá"/>
    <s v="03 - contrato de prestacion de servicios"/>
    <s v="85121503;85121603;85121604;85121608;85121610;85121611;85121612;85121702;85122201"/>
    <n v="3"/>
    <n v="9"/>
    <n v="0"/>
    <n v="750000000"/>
    <x v="1"/>
    <s v="02 - selec. abrev. menor cuantía"/>
    <s v="No aplica"/>
    <s v="NA"/>
    <s v="NA"/>
    <s v="NA"/>
    <s v="N/A"/>
    <s v="N/A"/>
    <s v="N/A-N/A"/>
    <s v="N/A"/>
    <s v="N/A"/>
    <s v="N/A_N/A"/>
    <s v="N/A-N/A N/A_N/A"/>
    <s v="NANANAN/AN/A"/>
    <s v="N/A"/>
    <s v="No Aplica"/>
    <s v="Si Secop "/>
  </r>
  <r>
    <n v="20250153"/>
    <x v="2"/>
    <s v="Sub. Gestión Humana"/>
    <s v="Jose Andres Ponce Caicedo"/>
    <s v="INCENTIVOS"/>
    <s v="12 - resolucion"/>
    <s v="N/A"/>
    <n v="9"/>
    <n v="9"/>
    <n v="0"/>
    <n v="179741000"/>
    <x v="1"/>
    <s v="91 - n/a acto administrativo (resolución, decreto, acuerdo, etc.)"/>
    <s v="No aplica"/>
    <s v="NA"/>
    <s v="NA"/>
    <s v="NA"/>
    <s v="N/A"/>
    <s v="N/A"/>
    <s v="N/A-N/A"/>
    <s v="N/A"/>
    <s v="N/A"/>
    <s v="N/A_N/A"/>
    <s v="N/A-N/A N/A_N/A"/>
    <s v="NANANAN/AN/A"/>
    <s v="N/A"/>
    <s v="No Aplica"/>
    <s v="Si Secop "/>
  </r>
  <r>
    <n v="20250154"/>
    <x v="2"/>
    <s v="Sub. Gestión Humana"/>
    <s v="Jose Andres Ponce Caicedo"/>
    <s v="SGH - Contratar la Prestación de Servicios para desarrollar el Plan de Bienestar de la UAE Cuerpo Oficial de Bomberos para la Vigencia 2025"/>
    <s v="03 - contrato de prestacion de servicios"/>
    <s v="90101600;90111600;90141700;90151700"/>
    <n v="3"/>
    <n v="8"/>
    <n v="0"/>
    <n v="1620259000"/>
    <x v="1"/>
    <s v="09 - contratación directa"/>
    <s v="No aplica"/>
    <s v="NA"/>
    <s v="NA"/>
    <s v="NA"/>
    <s v="N/A"/>
    <s v="N/A"/>
    <s v="N/A-N/A"/>
    <s v="N/A"/>
    <s v="N/A"/>
    <s v="N/A_N/A"/>
    <s v="N/A-N/A N/A_N/A"/>
    <s v="NANANAN/AN/A"/>
    <s v="N/A"/>
    <s v="No Aplica"/>
    <s v="Si Secop "/>
  </r>
  <r>
    <n v="20250156"/>
    <x v="1"/>
    <s v="Sub. Logística"/>
    <s v="Omer Mauricio Rivera Ruiz"/>
    <s v="Adición y prórroga  Contrato  394-2024 cuyo objeto es: &quot;Prestar el servicio de instalación, alineación, balanceo y conexos, incluyendo el suministro de llantas a los vehículos del parque automotor de la U.A.E. Cuerpo Oficial de Bomberos de Bogotá - SBLG&quot;"/>
    <s v="03 - contrato de prestacion de servicios"/>
    <n v="25172500"/>
    <n v="6"/>
    <n v="12"/>
    <n v="0"/>
    <n v="95000000"/>
    <x v="0"/>
    <s v="03 - selec. abrev. subasta invers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n v="20250157"/>
    <x v="1"/>
    <s v="Sub. Logística"/>
    <s v="Omer Mauricio Rivera Ruiz"/>
    <s v="Prestar el servicio de mantenimiento preventivo y correctivo, incluyendo el suministro de repuestos, insumos y mano de obra especializada para las motobombas forestales FOX, propiedad de la Unidad Administrativa Especial Cuerpo Oficial de Bomberos de Bogotá D.C. (UAECOB). - SBLG"/>
    <s v="03 - contrato de prestacion de servicios"/>
    <s v="46161600;72101509;73152108;46191600"/>
    <n v="7"/>
    <n v="12"/>
    <n v="0"/>
    <n v="1000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n v="20250158"/>
    <x v="1"/>
    <s v="Sub. Logística"/>
    <s v="Omer Mauricio Rivera Ruiz"/>
    <s v="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
    <s v="17 - contrato de mantenimiento"/>
    <n v="78181500"/>
    <n v="8"/>
    <n v="12"/>
    <n v="0"/>
    <n v="2100000000"/>
    <x v="0"/>
    <s v="01 - licitación públic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714199 Servicio de mantenimiento y reparación de vehículos automotores n.c.p."/>
    <s v="Si Secop "/>
  </r>
  <r>
    <n v="20250159"/>
    <x v="1"/>
    <s v="Sub. Logística"/>
    <s v="Omer Mauricio Rivera Ruiz"/>
    <s v="Proveer el suministro de elementos de bioseguridad e insumos médicos básicos y otros para la atención de emergencias. - SBLG"/>
    <s v="08 - contrato de suministro"/>
    <s v="42141501;42141502;42141503;42142101;42142103;42142105;42142108;42172010;42172013;42172016;42172201;42281502;42291902"/>
    <n v="8"/>
    <n v="8"/>
    <n v="0"/>
    <n v="64000000"/>
    <x v="0"/>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1003083899997 Artículos n.c.p. para protección"/>
    <s v="Si Secop "/>
  </r>
  <r>
    <n v="20250160"/>
    <x v="1"/>
    <s v="Sub. Logística"/>
    <s v="Omer Mauricio Rivera Ruiz"/>
    <s v="Suministro de alimentación e hidratación para el cuerpo operativo en la atención de emergencias, entrenamientos, capacitaciones y actividades de prevención.-SBLG "/>
    <s v="08 - contrato de suministro"/>
    <s v="90101800;90101600;50192700;50112000;50202311;50201709;50161509;50192110;93131602; 50161500; 50192100; 50181900; 50101700."/>
    <n v="7"/>
    <n v="12"/>
    <n v="0"/>
    <n v="220000000"/>
    <x v="0"/>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663393 Otros servicios de comidas contratadas"/>
    <s v="Si Secop "/>
  </r>
  <r>
    <n v="20250161"/>
    <x v="1"/>
    <s v="Sub. Logística"/>
    <s v="Omer Mauricio Rivera Ruiz"/>
    <s v="Suministrar combustible para los vehículos, y equipos especializados de la U.A.E. Cuerpo Oficial de Bomberos Bogotá dentro y fuera del perímetro del distrito capital de la  - SBLG"/>
    <s v="08 - contrato de suministro"/>
    <n v="15101500"/>
    <n v="8"/>
    <n v="7"/>
    <n v="0"/>
    <n v="850000000"/>
    <x v="0"/>
    <s v="17 - acuerdo marco de precios"/>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1003053543003 Aditivos para gasolina, aceites minerales y combustible en general"/>
    <s v="Si Secop "/>
  </r>
  <r>
    <n v="20250162"/>
    <x v="1"/>
    <s v="Sub. Logística"/>
    <s v="Omer Mauricio Rivera Ruiz"/>
    <s v="Contratar el suministro de alimentación para los caninos del cuerpo oficial y animales rescatados por la U.A.E. del Cuerpo Oficial de Bomberos de Bogotá – . - SBLG"/>
    <s v="08 - contrato de suministro"/>
    <s v="10121801; 10121802; 10121804"/>
    <n v="8"/>
    <n v="6"/>
    <n v="0"/>
    <n v="40000000"/>
    <x v="0"/>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590 Otros servicios veterinarios"/>
    <s v="Si Secop "/>
  </r>
  <r>
    <n v="20250163"/>
    <x v="1"/>
    <s v="Sub. Logística"/>
    <s v="Omer Mauricio Rivera Ruiz"/>
    <s v="Suministrar los repuestos, accesorios e insumos de los equipos de rescate vehicular liviano y pesado marca LUKAS-  - SBLG"/>
    <s v="08 - contrato de suministro"/>
    <s v="23191200; 23153100; 23271800; 26121600; 27131600; 26101700; 31162800; 31163000; 31163100; 31171500; 31171700; 31191500; 31201600; 40141700; 31121700; 26111700"/>
    <n v="2"/>
    <n v="6"/>
    <n v="0"/>
    <n v="450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n v="20250164"/>
    <x v="1"/>
    <s v="Sub. Logística"/>
    <s v="Omer Mauricio Rivera Ruiz"/>
    <s v="Prestar el servicio de mantenimiento preventivo y correctivo, incluido el suministro de repuestos e insumos y mano de obra especializada para los equipos detectores de atmosfera y respiración autónoma marca Dräger, propiedad de la U.A.E. Cuerpo Oficial de Bomberos de Bogotá -  - SBLG"/>
    <s v="27 - contrato de prestacion de servicios de mantenimiento"/>
    <s v="46182005; 46171613; 72101509."/>
    <n v="7"/>
    <n v="12"/>
    <n v="0"/>
    <n v="1800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n v="20250165"/>
    <x v="1"/>
    <s v="Sub. Logística"/>
    <s v="Omer Mauricio Rivera Ruiz"/>
    <s v="Mantenimiento correctivo y preventivo de los equipos menores con suministro, repuestos, accesorios e insumos de propiedad de la UAECOB. – SBLG "/>
    <s v="03 - contrato de prestacion de servicios"/>
    <s v="31261500; 31161500; 31161600; 31162300; 31162800; 31171500; 31171700; 39121600; 27121600;72101509; 26101700: 26101900; 15121500; 72101517; 72151511; 72154105 72154302; 73152108; 73152112"/>
    <n v="8"/>
    <n v="7"/>
    <n v="0"/>
    <n v="125000000"/>
    <x v="0"/>
    <s v="02 - selec. abrev. menor cuantí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n v="20250166"/>
    <x v="1"/>
    <s v="Sub. Logística"/>
    <s v="Omer Mauricio Rivera Ruiz"/>
    <s v="Prestación de servicios médicos veterinarios, con suministro de medicamentos e insumos veterinarios y otros, para los caninos de la U.A.E. Cuerpo Oficial de Bomberos de Bogotá -  - SBLG"/>
    <s v="03 - contrato de prestacion de servicios"/>
    <s v="70122002; 70122005; 70122006; 70122007; 70122008; 70122009; 70122010; 10110000; 42120000;70122001."/>
    <n v="8"/>
    <n v="6"/>
    <n v="0"/>
    <n v="50000000"/>
    <x v="0"/>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590 Otros servicios veterinarios"/>
    <s v="Si Secop "/>
  </r>
  <r>
    <n v="20250167"/>
    <x v="1"/>
    <s v="Sub. Logística"/>
    <s v="Omer Mauricio Rivera Ruiz"/>
    <s v="Adquisición de concentrado de espuma, mantenimiento y recarga de extintores, cilindros y tanques de las maquinas extintoras de la UAECOB.   LOTE I Y LOTE II - SBLG"/>
    <s v="06 - contrato de compraventa"/>
    <n v="46191600"/>
    <n v="9"/>
    <n v="4"/>
    <n v="0"/>
    <n v="300000000"/>
    <x v="0"/>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1010030208 Otra maquinaria para usos especiales y sus partes y piezas"/>
    <s v="Si Secop "/>
  </r>
  <r>
    <n v="20250168"/>
    <x v="1"/>
    <s v="Sub. Logística"/>
    <s v="Omer Mauricio Rivera Ruiz"/>
    <s v="Suministro de herramientas especializadas, equipos, accesorios y otros elementos de ferretería para garantizar la preparación y atención de emergencias de la U.A.E. Cuerpo Oficial de Bomberos de Bogotá – SBLG."/>
    <s v="08 - contrato de suministro"/>
    <s v="39121321;31162800;39121700; 31162300"/>
    <n v="1"/>
    <n v="12"/>
    <n v="0"/>
    <n v="305000000"/>
    <x v="0"/>
    <s v="03 - selec. abrev. subasta invers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n v="20250169"/>
    <x v="1"/>
    <s v="Sub. Logística"/>
    <s v="Omer Mauricio Rivera Ruiz"/>
    <s v="Prestación del servicio de mantenimiento preventivo y correctivo de los equipos de respiración autónoma interspiro propiedad de la UAECOB, incluido el suministro de repuestos, insumos y mano de obra especializada  - SBLG"/>
    <s v="03 - contrato de prestacion de servicios"/>
    <n v="72101509"/>
    <n v="2"/>
    <n v="12"/>
    <n v="0"/>
    <n v="12086432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n v="20250170"/>
    <x v="1"/>
    <s v="Sub. Logística"/>
    <s v="Omer Mauricio Rivera Ruiz"/>
    <s v="Prestar el servicio de mantenimiento preventivo y correctivo de los Equipos de Rescate Vehicular HOLMATRO propiedad de la UAECOB, incluido el suministro de repuestos, insumos y mano de obra especializada -  - SBLG"/>
    <s v="08 - contrato de suministro"/>
    <s v="72101509;46191600"/>
    <n v="3"/>
    <n v="12"/>
    <n v="0"/>
    <n v="1000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n v="20250171"/>
    <x v="1"/>
    <s v="Sub. Logística"/>
    <s v="Omer Mauricio Rivera Ruiz"/>
    <s v="Prestar el servicio de mantenimiento preventivo y correctivo de los compresores BAUER propiedad de la U.A.E. Cuerpo Oficial de Bomberos de Bogotá, incluido el suministro de repuestos, insumos y mano de obra especializada.  - SBLG"/>
    <s v="03 - contrato de prestacion de servicios"/>
    <s v="72101511, 40151604, 40151691, 81101800 "/>
    <n v="6"/>
    <n v="9"/>
    <n v="12"/>
    <n v="95347742"/>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715999 Servicio de mantenimiento y reparación de otros equipos n.c.p."/>
    <s v="Si Secop "/>
  </r>
  <r>
    <n v="20250174"/>
    <x v="1"/>
    <s v="Sub. Logística"/>
    <s v="Omer Mauricio Rivera Ruiz"/>
    <s v="Prestación de servicios de apoyo a la gestión en el proceso de mantenimiento del equipo menor a cargo de la Subdirección Logística -SBLG."/>
    <s v="26 - contrato de prestacion de servicios de apoyo a la gestion"/>
    <n v="80111600"/>
    <n v="2"/>
    <n v="9"/>
    <n v="0"/>
    <n v="288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Si Secop "/>
  </r>
  <r>
    <n v="20250175"/>
    <x v="1"/>
    <s v="Sub. Logística"/>
    <s v="Omer Mauricio Rivera Ruiz"/>
    <s v="Prestación de servicios profesionales en la gestión contractual y administrativa de la subdirección Logística- SBLG, de acuerdo con los lineamientos internos de la UAECOB. "/>
    <s v="25 - contrato de prestacion de servicios profesionales"/>
    <n v="80111600"/>
    <n v="2"/>
    <n v="10"/>
    <n v="0"/>
    <n v="40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76"/>
    <x v="1"/>
    <s v="Sub. Logística"/>
    <s v="Omer Mauricio Rivera Ruiz"/>
    <s v="Prestación de servicios profesionales para el control y seguimiento de las actividades derivadas de la gestión jurídica y contractual de la Subdirección Logística. SBLG."/>
    <s v="25 - contrato de prestacion de servicios profesionales"/>
    <n v="80111600"/>
    <n v="2"/>
    <n v="8"/>
    <n v="0"/>
    <n v="64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2199 Otros servicios jurídicos n.c.p."/>
    <s v="Si Secop "/>
  </r>
  <r>
    <n v="20250177"/>
    <x v="1"/>
    <s v="Sub. Logística"/>
    <s v="Omer Mauricio Rivera Ruiz"/>
    <s v="Prestar servicios de apoyo a la gestión en actividades administrativas y documentales que se desarrollen en la Subdirección Logística – SBLG."/>
    <s v="26 - contrato de prestacion de servicios de apoyo a la gestion"/>
    <n v="80111600"/>
    <n v="2"/>
    <n v="10"/>
    <n v="0"/>
    <n v="342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78"/>
    <x v="1"/>
    <s v="Sub. Logística"/>
    <s v="Omer Mauricio Rivera Ruiz"/>
    <s v="Prestación de servicios profesionales para apoyar la gestión financiera y presupuestal de los proyectos y planes a cargo de la Subdirección Logística - SBLG. "/>
    <s v="25 - contrato de prestacion de servicios profesionales"/>
    <n v="80111600"/>
    <n v="3"/>
    <n v="6"/>
    <n v="0"/>
    <n v="27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79"/>
    <x v="1"/>
    <s v="Sub. Logística"/>
    <s v="Omer Mauricio Rivera Ruiz"/>
    <s v="Prestar servicios de apoyo a la gestión en asuntos administrativos y contractuales, seguimiento a plataforma SECOP II y archivo contractual de la Subdirección Logística - SBLG"/>
    <s v="26 - contrato de prestacion de servicios de apoyo a la gestion"/>
    <n v="80111600"/>
    <n v="2"/>
    <n v="9"/>
    <n v="0"/>
    <n v="288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80"/>
    <x v="1"/>
    <s v="Sub. Logística"/>
    <s v="Omer Mauricio Rivera Ruiz"/>
    <s v="Prestar servicios profesionales en la formulación e implementación de estrategias de comunicación, capacitación y gestión administrativa que promueva el uso y apropiación de los programas desarrollados en cada una de las lineas de la  Subdirección Logística - SBLG"/>
    <s v="25 - contrato de prestacion de servicios profesionales"/>
    <n v="80111600"/>
    <n v="2"/>
    <n v="9"/>
    <n v="0"/>
    <n v="54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81"/>
    <x v="1"/>
    <s v="Sub. Logística"/>
    <s v="Omer Mauricio Rivera Ruiz"/>
    <s v="Prestar servicios profesionales en la definición y gestión de procedimientos, lineamientos ambientales y de SST de los procesos, así como del sistema de Gestión de Calidad en la Subdirección Logística  – SBGL"/>
    <s v="25 - contrato de prestacion de servicios profesionales"/>
    <n v="80111600"/>
    <n v="2"/>
    <n v="9"/>
    <n v="0"/>
    <n v="495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82"/>
    <x v="1"/>
    <s v="Sub. Logística"/>
    <s v="Omer Mauricio Rivera Ruiz"/>
    <s v="Prestación de servicios de apoyo a la gestión en el proceso de mantenimiento del equipo menor a cargo de la Subdirección Logística -SBLG."/>
    <s v="26 - contrato de prestacion de servicios de apoyo a la gestion"/>
    <n v="80111600"/>
    <n v="2"/>
    <n v="10"/>
    <n v="0"/>
    <n v="288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Si Secop "/>
  </r>
  <r>
    <n v="20250183"/>
    <x v="1"/>
    <s v="Sub. Logística"/>
    <s v="Omer Mauricio Rivera Ruiz"/>
    <s v="Prestar servicios profesionales para la gestión del Plan Estratégico de Seguridad Vial (PESV), participación en el comité correspondiente y el desarrollo de programas y actividades asignadas a la Subdirección Logística SBLG."/>
    <s v="25 - contrato de prestacion de servicios profesionales"/>
    <n v="80111600"/>
    <n v="2"/>
    <n v="9"/>
    <n v="0"/>
    <n v="45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84"/>
    <x v="1"/>
    <s v="Sub. Logística"/>
    <s v="Omer Mauricio Rivera Ruiz"/>
    <s v="Prestación de servicios profesionales, para apoyar la política de Compras y Contratación Pública, en la elaboración, tramite e impulso de los procesos de contratación en sus diferentes etapas a cargo de la Subdirección Logística - SBLG."/>
    <s v="25 - contrato de prestacion de servicios profesionales"/>
    <n v="80111600"/>
    <n v="2"/>
    <n v="10"/>
    <n v="0"/>
    <n v="56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85"/>
    <x v="1"/>
    <s v="Sub. Logística"/>
    <s v="Omer Mauricio Rivera Ruiz"/>
    <s v="Prestación de servicio como conductor para apoyar en la gestión administrativa y logística de la Subdirección Logistica- SBLG."/>
    <s v="26 - contrato de prestacion de servicios de apoyo a la gestion"/>
    <n v="80111600"/>
    <n v="2"/>
    <n v="10"/>
    <n v="0"/>
    <n v="35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86"/>
    <x v="1"/>
    <s v="Sub. Logística"/>
    <s v="Omer Mauricio Rivera Ruiz"/>
    <s v="Prestar servicios profesionales para apoyar en los diferentes procesos de planeación,  administrativos e inventario de la Subdirección Logística – SBLG. "/>
    <s v="25 - contrato de prestacion de servicios profesionales"/>
    <n v="80111600"/>
    <n v="2"/>
    <n v="10"/>
    <n v="0"/>
    <n v="44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87"/>
    <x v="1"/>
    <s v="Sub. Logística"/>
    <s v="Omer Mauricio Rivera Ruiz"/>
    <s v="Prestar servicios profesionales en temas transversales de los procesos de planeación, logísticos, administrativos y financieros que se deriven de las competencias a cargo de la Subdirección Logística - .  - SBLG"/>
    <s v="25 - contrato de prestacion de servicios profesionales"/>
    <n v="80111600"/>
    <n v="2"/>
    <n v="10"/>
    <n v="0"/>
    <n v="81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88"/>
    <x v="1"/>
    <s v="Sub. Logística"/>
    <s v="Omer Mauricio Rivera Ruiz"/>
    <s v="Prestar  servicios de apoyo a la gestión en_x000a_actividades Técnicas, administrativas y documentales de la_x000a_Subdirección Logística - SBLG"/>
    <s v="26 - contrato de prestacion de servicios de apoyo a la gestion"/>
    <n v="80111600"/>
    <n v="2"/>
    <n v="9"/>
    <n v="0"/>
    <n v="2624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Si Secop "/>
  </r>
  <r>
    <n v="20250189"/>
    <x v="1"/>
    <s v="Sub. Logística"/>
    <s v="Omer Mauricio Rivera Ruiz"/>
    <s v="Prestar servicios de apoyo a la gestión de los suministros y consumibles realizando el seguimiento, control y trámites necesarios para la oportuna disponibilidad en la atención de emergencias  -SBLG."/>
    <s v="26 - contrato de prestacion de servicios de apoyo a la gestion"/>
    <n v="80111600"/>
    <n v="2"/>
    <n v="11"/>
    <n v="0"/>
    <n v="288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90"/>
    <x v="1"/>
    <s v="Sub. Logística"/>
    <s v="Omer Mauricio Rivera Ruiz"/>
    <s v="Prestar servicio de apoyo a la gestión para asistir a la Subdirección Logística en el seguimiento técnico y administrativo de los mantenimientos requeridos en la Subdirección Logística - SBLG"/>
    <s v="26 - contrato de prestacion de servicios de apoyo a la gestion"/>
    <n v="80111600"/>
    <n v="2"/>
    <n v="10"/>
    <n v="0"/>
    <n v="288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91"/>
    <x v="1"/>
    <s v="Sub. Logística"/>
    <s v="Omer Mauricio Rivera Ruiz"/>
    <s v="Prestación de servicio como conductor para apoyar en la gestión administrativa y logística de la Subdirección Logistica- SBLG."/>
    <s v="26 - contrato de prestacion de servicios de apoyo a la gestion"/>
    <n v="80111600"/>
    <n v="2"/>
    <n v="10"/>
    <n v="0"/>
    <n v="35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92"/>
    <x v="1"/>
    <s v="Sub. Logística"/>
    <s v="Omer Mauricio Rivera Ruiz"/>
    <s v="Prestación de servicios profesionales para la gestión, seguimiento y control administrativo, técnico y operativo del proceso de mantenimiento del parque automotor a cargo de la Subdirección Logística - SBLG."/>
    <s v="25 - contrato de prestacion de servicios profesionales"/>
    <n v="80111600"/>
    <n v="2"/>
    <n v="11"/>
    <n v="0"/>
    <n v="837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Si Secop "/>
  </r>
  <r>
    <n v="20250193"/>
    <x v="1"/>
    <s v="Sub. Logística"/>
    <s v="Omer Mauricio Rivera Ruiz"/>
    <s v="Prestar servicios profesionales en materia administrativa,optimizando los procesos de la dependencia a través de la gestión de herramientas tecnológicas y documentales con las que se cuenten a la Subdirección Logística – SBLG."/>
    <s v="26 - contrato de prestacion de servicios de apoyo a la gestion"/>
    <n v="80111600"/>
    <n v="3"/>
    <n v="8"/>
    <n v="0"/>
    <n v="36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95"/>
    <x v="1"/>
    <s v="Sub. Logística"/>
    <s v="Omer Mauricio Rivera Ruiz"/>
    <s v="Prestación de servicios profesionales en el control legal de los procesos y acciones, especialmente la gestión contractual requerida por la Subdirección Logística - SBLG"/>
    <s v="25 - contrato de prestacion de servicios profesionales"/>
    <n v="80111600"/>
    <n v="2"/>
    <n v="10"/>
    <n v="0"/>
    <n v="2294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2199 Otros servicios jurídicos n.c.p."/>
    <s v="Si Secop "/>
  </r>
  <r>
    <n v="20250196"/>
    <x v="1"/>
    <s v="Sub. Logística"/>
    <s v="Omer Mauricio Rivera Ruiz"/>
    <s v="Prestación de servicios profesionales para realizar el seguimiento y monitoreo a los diferentes procesos y procedimientos del equipo menor a cargo de la Subdirección Logística -  - SBLG"/>
    <s v="25 - contrato de prestacion de servicios profesionales"/>
    <n v="80111600"/>
    <n v="2"/>
    <n v="11"/>
    <n v="0"/>
    <n v="385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97"/>
    <x v="1"/>
    <s v="Sub. Logística"/>
    <s v="Omer Mauricio Rivera Ruiz"/>
    <s v="Prestar servicios profesionales para el seguimiento y control logístico en la cadena de suministros e insumos en la atención de emergencias garantizando la entrega de los bienes y servicios de la Subdirección Logística. SBLG"/>
    <s v="25 - contrato de prestacion de servicios profesionales"/>
    <n v="80111600"/>
    <n v="2"/>
    <n v="11"/>
    <n v="0"/>
    <n v="405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98"/>
    <x v="1"/>
    <s v="Sub. Logística"/>
    <s v="Omer Mauricio Rivera Ruiz"/>
    <s v="Prestación de servicios profesionales para la gestión, seguimiento y control administrativo, técnico y operativo del equipo menor a cargo de la Subdirección Logística (SBLG)."/>
    <s v="25 - contrato de prestacion de servicios profesionales"/>
    <n v="80111600"/>
    <n v="2"/>
    <n v="11"/>
    <n v="0"/>
    <n v="765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Si Secop "/>
  </r>
  <r>
    <n v="20250199"/>
    <x v="1"/>
    <s v="Sub. Logística"/>
    <s v="Omer Mauricio Rivera Ruiz"/>
    <s v="Prestación de servicios profesionales en la gestión, seguimiento y control administrativo, financiero y contractual del proceso de mantenimiento del parque automotor a cargo de la Subdirección Logística - SBLG."/>
    <s v="25 - contrato de prestacion de servicios profesionales"/>
    <n v="80111600"/>
    <n v="2"/>
    <n v="11"/>
    <n v="0"/>
    <n v="495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00"/>
    <x v="1"/>
    <s v="Sub. Logística"/>
    <s v="Omer Mauricio Rivera Ruiz"/>
    <s v="Prestar servicios de apoyo a la gestión para la organización, clasificación, foliación, digitalización e indexación de documentos de la Subdirección Logística - SBLG"/>
    <s v="26 - contrato de prestacion de servicios de apoyo a la gestion"/>
    <n v="80111600"/>
    <n v="2"/>
    <n v="10"/>
    <n v="0"/>
    <n v="324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01"/>
    <x v="1"/>
    <s v="Sub. Logística"/>
    <s v="Omer Mauricio Rivera Ruiz"/>
    <s v="Prestación de servicios profesionales para la gestión administrativa de las herramientas tecnológicas de la Subdirección Logística asociados a la mesa logística - SBLG"/>
    <s v="25 - contrato de prestacion de servicios profesionales"/>
    <n v="80111600"/>
    <n v="2"/>
    <n v="11"/>
    <n v="0"/>
    <n v="45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02"/>
    <x v="1"/>
    <s v="Sub. Logística"/>
    <s v="Omer Mauricio Rivera Ruiz"/>
    <s v="Prestar servicio de apoyo a la gestión para asistir a la Subdirección Logística en el seguimiento técnico y administrativo de los mantenimientos requeridos en la Subdirección Logística - SBLG"/>
    <s v="26 - contrato de prestacion de servicios de apoyo a la gestion"/>
    <n v="80111600"/>
    <n v="2"/>
    <n v="9"/>
    <n v="0"/>
    <n v="288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03"/>
    <x v="1"/>
    <s v="Sub. Logística"/>
    <s v="Omer Mauricio Rivera Ruiz"/>
    <s v="Prestación de servicios profesionales para la gestión, seguimiento y control administrativo, técnico y operativo del proceso de mantenimiento del parque automotor a cargo de la Subdirección Logística - SBLG."/>
    <s v="25 - contrato de prestacion de servicios profesionales"/>
    <n v="80111600"/>
    <n v="2"/>
    <n v="11"/>
    <n v="0"/>
    <n v="720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Si Secop "/>
  </r>
  <r>
    <n v="20250204"/>
    <x v="1"/>
    <s v="Sub. Logística"/>
    <s v="Omer Mauricio Rivera Ruiz"/>
    <s v="Prestación de servicios de apoyo a la gestión para realizar actividades documentales, administrativas relacionadas con los mantenimientos  del parque automotor de la UAECOB - Subdirección Logistica. SBLG "/>
    <s v="26 - contrato de prestacion de servicios de apoyo a la gestion"/>
    <n v="80111600"/>
    <n v="2"/>
    <n v="9"/>
    <n v="0"/>
    <n v="288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05"/>
    <x v="1"/>
    <s v="Sub. Logística"/>
    <s v="Omer Mauricio Rivera Ruiz"/>
    <s v="Prestar servicios profesionales para acompañar en el diseño, implementación, reporte y monitoreo de los diferentes planes, programas, proyectos administrativos y financieros de la Subdirección Logística- SBLG "/>
    <s v="25 - contrato de prestacion de servicios profesionales"/>
    <n v="80111600"/>
    <n v="2"/>
    <n v="10"/>
    <n v="0"/>
    <n v="10992444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06"/>
    <x v="1"/>
    <s v="Sub. Logística"/>
    <s v="Omer Mauricio Rivera Ruiz"/>
    <s v="Prestar servicios profesionales en la gestión, seguimiento y control administrativo, financiero y contractual la línea de insumos y suministros, para la operación durante las emergencias, eventos y capacitaciones  a cargo de la Subdirección Logística - SBLG."/>
    <s v="25 - contrato de prestacion de servicios profesionales"/>
    <n v="80111600"/>
    <n v="2"/>
    <n v="11"/>
    <n v="0"/>
    <n v="72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07"/>
    <x v="1"/>
    <s v="Sub. Logística"/>
    <s v="Omer Mauricio Rivera Ruiz"/>
    <s v="Prestar servicios profesionales para el seguimiento y control logístico en la cadena de suministros e insumos en la atención de emergencias garantizando la entrega de los bienes y servicios de la Subdirección Logística. SBLG"/>
    <s v="25 - contrato de prestacion de servicios profesionales"/>
    <n v="80111600"/>
    <n v="2"/>
    <n v="8"/>
    <n v="0"/>
    <n v="52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08"/>
    <x v="1"/>
    <s v="Sub. Logística"/>
    <s v="Omer Mauricio Rivera Ruiz"/>
    <s v="Prestación de servicios profesionales, para apoyar la política de Compras y Contratación Pública, en la elaboración, tramite e impulso de los procesos de contratación en sus diferentes etapas a cargo de la Subdirección Logística - SBLG."/>
    <s v="25 - contrato de prestacion de servicios profesionales"/>
    <n v="80111600"/>
    <n v="2"/>
    <n v="9"/>
    <n v="0"/>
    <n v="52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09"/>
    <x v="1"/>
    <s v="Sub. Logística"/>
    <s v="Omer Mauricio Rivera Ruiz"/>
    <s v="Prestar servicios de apoyo en la gestión documental, física y digital, administrando y diligenciando las bases de datos, y demás documentos a cargo de la Subdirección logística. -SBLG."/>
    <s v="26 - contrato de prestacion de servicios de apoyo a la gestion"/>
    <n v="80111600"/>
    <n v="2"/>
    <n v="10"/>
    <n v="0"/>
    <n v="2624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10"/>
    <x v="1"/>
    <s v="Sub. Logística"/>
    <s v="Omer Mauricio Rivera Ruiz"/>
    <s v="Prestación de servicios profesionales en la proyección y seguimiento de las etapas precontractual, contractual y postcontractual que desarrolle la Subdirección Logística en el ámbito de su competencia.- SBLG"/>
    <s v="25 - contrato de prestacion de servicios profesionales"/>
    <n v="80111600"/>
    <n v="2"/>
    <n v="10"/>
    <n v="0"/>
    <n v="56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11"/>
    <x v="1"/>
    <s v="Sub. Logística"/>
    <s v="Omer Mauricio Rivera Ruiz"/>
    <s v="Prestación de servicios profesionales, para apoyar la política de Compras y Contratación Pública, en la elaboración, tramite e impulso de los procesos de contratación en sus diferentes etapas a cargo de la Subdirección Logística - SBLG."/>
    <s v="26 - contrato de prestacion de servicios de apoyo a la gestion"/>
    <n v="80111600"/>
    <n v="2"/>
    <n v="10"/>
    <n v="0"/>
    <n v="15633333"/>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12"/>
    <x v="1"/>
    <s v="Sub. Logística"/>
    <s v="Omer Mauricio Rivera Ruiz"/>
    <s v="Prestación de servicios profesionales, para apoyar la estructuración y seguimiento de los asuntos contractuales y jurídicos que requiera la Subdirección Logística en el ámbito de su competencia.- SBLG"/>
    <s v="25 - contrato de prestacion de servicios profesionales"/>
    <n v="80111600"/>
    <n v="2"/>
    <n v="7"/>
    <n v="0"/>
    <n v="56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13"/>
    <x v="1"/>
    <s v="Sub. Logística"/>
    <s v="Omer Mauricio Rivera Ruiz"/>
    <s v="Prestación de servicios profesionales para realizar el seguimiento y monitoreo a los diferentes procesos y procedimientos del equipo menor a cargo de la Subdirección Logística - SBLG"/>
    <s v="25 - contrato de prestacion de servicios profesionales"/>
    <n v="80111600"/>
    <n v="2"/>
    <n v="11"/>
    <n v="0"/>
    <n v="300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Si Secop "/>
  </r>
  <r>
    <n v="20250214"/>
    <x v="1"/>
    <s v="Sub. Logística"/>
    <s v="Omer Mauricio Rivera Ruiz"/>
    <s v="Prestar servicios profesionales en las actividades administrativas y financieras que requieran los procesos de la Subdirección Logística- SBLG"/>
    <s v="25 - contrato de prestacion de servicios profesionales"/>
    <n v="80111600"/>
    <n v="2"/>
    <n v="9"/>
    <n v="0"/>
    <n v="27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15"/>
    <x v="1"/>
    <s v="Sub. Logística"/>
    <s v="Omer Mauricio Rivera Ruiz"/>
    <s v="Prestar los servicios profesionales para la gestión, financiera de los proyectos y procesos de la Subdirección - SBLG."/>
    <s v="25 - contrato de prestacion de servicios profesionales"/>
    <n v="80111600"/>
    <n v="2"/>
    <n v="10"/>
    <n v="0"/>
    <n v="54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16"/>
    <x v="1"/>
    <s v="Sub. Logística"/>
    <s v="Omer Mauricio Rivera Ruiz"/>
    <s v="Prestar servicios profesionales para el seguimiento y gestión de las actividades establecidas en los planes de acción y estratégicos; así como, de los procesos de planeación y administrativos propios de Subdirección Logística - SBLG. "/>
    <s v="25 - contrato de prestacion de servicios profesionales"/>
    <n v="80111600"/>
    <n v="2"/>
    <n v="10"/>
    <n v="0"/>
    <n v="225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18"/>
    <x v="1"/>
    <s v="Sub. Logística"/>
    <s v="Omer Mauricio Rivera Ruiz"/>
    <s v="Prestar servicios de apoyo en la gestión administrativa y documental de los procesos contractuales relacionados con el mantenimiento del parque automotor a cargo de la Subdirección Logística -SBLG."/>
    <s v="26 - contrato de prestacion de servicios de apoyo a la gestion"/>
    <n v="80111600"/>
    <n v="2"/>
    <n v="9"/>
    <n v="0"/>
    <n v="28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20"/>
    <x v="1"/>
    <s v="Sub. Logística"/>
    <s v="Omer Mauricio Rivera Ruiz"/>
    <s v="Prestación de servicios profesionales a la gestión administrativa, financiera y documental para la atención del cuerpo uniformado a cargo de la Subdirección - SBGL. "/>
    <s v="25 - contrato de prestacion de servicios profesionales"/>
    <n v="80111600"/>
    <n v="2"/>
    <n v="11"/>
    <n v="0"/>
    <n v="405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21"/>
    <x v="1"/>
    <s v="Sub. Logística"/>
    <s v="Omer Mauricio Rivera Ruiz"/>
    <s v="Prestación de servicios profesionales para gestionar las solicitudes y requerimientos recibidos por las herramientas tecnológicas de la Subdirección Logística - SBLG"/>
    <s v="25 - contrato de prestacion de servicios profesionales"/>
    <n v="80111600"/>
    <n v="2"/>
    <n v="9"/>
    <n v="0"/>
    <n v="4825952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22"/>
    <x v="1"/>
    <s v="Sub. Logística"/>
    <s v="Omer Mauricio Rivera Ruiz"/>
    <s v="Prestar servicios profesionales para el trámite, revisión y validación de los documentos previos para pago que se generen con ocasión de la ejecución de los contratos a cargo de la subdirección logística. - SBLG"/>
    <s v="25 - contrato de prestacion de servicios profesionales"/>
    <n v="80111600"/>
    <n v="2"/>
    <n v="9"/>
    <n v="0"/>
    <n v="504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23"/>
    <x v="2"/>
    <s v="Sub. Logística"/>
    <s v="Omer Mauricio Rivera Ruiz"/>
    <s v="Contratar el servicio de revision técnico mecánica y de emision de gases contaminantes para los vehiculos que forman parte del parque automotor de la Unidad Administrativa Especial Cuerpo Oficial de Bomberos de Bogotá - UAECOB-SBLG"/>
    <s v="03 - contrato de prestacion de servicios"/>
    <n v="78181505"/>
    <n v="3"/>
    <n v="3"/>
    <n v="0"/>
    <n v="46795000"/>
    <x v="1"/>
    <s v="04 - contratación mínima cuantía"/>
    <s v="No aplica"/>
    <s v="NA"/>
    <s v="NA"/>
    <s v="NA"/>
    <s v="N/A"/>
    <s v="N/A"/>
    <s v="N/A-N/A"/>
    <s v="N/A"/>
    <s v="N/A"/>
    <s v="N/A_N/A"/>
    <s v="N/A-N/A N/A_N/A"/>
    <s v="NANANAN/AN/A"/>
    <s v="N/A"/>
    <s v="O2120202008078714199 Servicio de mantenimiento y reparación de vehículos automotores n.c.p."/>
    <s v="Si Secop "/>
  </r>
  <r>
    <n v="20250224"/>
    <x v="1"/>
    <s v="Sub. Gestión Riesgos"/>
    <s v="William Tovar Segura"/>
    <s v="“Adquisición de elementos de apoyo didáctico y pedagógico para actividades, programas y campañas requeridas en la Subdirección de Gestión del Riesgo_SGR”"/>
    <s v="06 - contrato de compraventa"/>
    <s v="60121200_x000a_60121000_x000a_60121500_x000a_60121600"/>
    <n v="1"/>
    <n v="3"/>
    <n v="0"/>
    <n v="6756685"/>
    <x v="0"/>
    <s v="5 - contratación mínima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0225"/>
    <x v="1"/>
    <s v="Sub. Gestión Riesgos"/>
    <s v="William Tovar Segura"/>
    <s v="Adquisición de insumos para la administración de emergencia_SGR"/>
    <s v="06 - contrato de compraventa"/>
    <s v="53121502_x000a_24112411_x000a_24112412_x000a_24112401_x000a_24112902"/>
    <n v="1"/>
    <n v="3"/>
    <n v="0"/>
    <n v="33000000"/>
    <x v="0"/>
    <s v="6 - contratación mínima cuantía"/>
    <s v="8173 1-Implementación 6 estrategias de reducción del riesgo de incendios,  incidentes con materiales peligrosos y rescate en todas sus modalidades en la ciudad de Bogotá"/>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26"/>
    <x v="1"/>
    <s v="Sub. Gestión Riesgos"/>
    <s v="William Tovar Segura"/>
    <s v="Prestar servicios profesionales a la Subdirección de Gestión del Riesgo liderando las actividades del proceso de inspecciones técnicas del Riesgo._SGR"/>
    <s v="25 - contrato de prestacion de servicios profesionales"/>
    <n v="80111600"/>
    <n v="1"/>
    <n v="10"/>
    <n v="0"/>
    <n v="637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29"/>
    <x v="1"/>
    <s v="Sub. Gestión Riesgos"/>
    <s v="William Tovar Segura"/>
    <s v="Prestar servicios profesionales a la Subdirección de Gestión del Riesgo para la coordinación y establecimiento de los planes intersectoriales en materia de prevención y atención de incendios e incidentes con materiales peligrosos._SGR"/>
    <s v="25 - contrato de prestacion de servicios profesionales"/>
    <n v="80111600"/>
    <n v="1"/>
    <n v="10"/>
    <n v="0"/>
    <n v="93000000"/>
    <x v="0"/>
    <s v="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30"/>
    <x v="1"/>
    <s v="Sub. Gestión Riesgos"/>
    <s v="William Tovar Segura"/>
    <s v="Prestar servicios profesionales en las actividades de planeación y gestión de la Subdirección de gestión del Riesgo_SGR"/>
    <s v="25 - contrato de prestacion de servicios profesionales"/>
    <n v="80111600"/>
    <n v="1"/>
    <n v="10"/>
    <n v="0"/>
    <n v="4186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50231"/>
    <x v="1"/>
    <s v="Sub. Gestión Riesgos"/>
    <s v="William Tovar Segura"/>
    <s v="Prestar servicios profesionales para el seguimiento de los componentes administrativo, técnico y financiero de la subdireccíon de Gestión del Riesgo. SGR"/>
    <s v="25 - contrato de prestacion de servicios profesionales"/>
    <n v="80111600"/>
    <n v="1"/>
    <n v="10"/>
    <n v="0"/>
    <n v="70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0232"/>
    <x v="1"/>
    <s v="Sub. Gestión Riesgos"/>
    <s v="William Tovar Segura"/>
    <s v="Prestar servicios profesionales para la gestión de la SGR, estructurando el seguimiento de los procesos contractuales y demás aspectos jurídicos._SGR"/>
    <s v="25 - contrato de prestacion de servicios profesionales"/>
    <n v="80111600"/>
    <n v="1"/>
    <n v="10"/>
    <n v="0"/>
    <n v="70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2199 Otros servicios jurídicos n.c.p."/>
    <s v="Si Secop "/>
  </r>
  <r>
    <n v="20250233"/>
    <x v="1"/>
    <s v="Sub. Gestión Riesgos"/>
    <s v="William Tovar Segura"/>
    <s v="Prestar servicios profesionales para la gestión de la SGR, estructurando el seguimiento de los procesos contractuales y seguimiento de los proyectos de inversión de la UAECOB._SGR"/>
    <s v="25 - contrato de prestacion de servicios profesionales"/>
    <n v="80111600"/>
    <n v="1"/>
    <n v="10"/>
    <n v="0"/>
    <n v="49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50234"/>
    <x v="1"/>
    <s v="Sub. Gestión Riesgos"/>
    <s v="William Tovar Segura"/>
    <s v="Prestar servicios profesionales para la estructuracion y seguimiento de los procesos contractuales y demas aspectos juridicos de la Subdirección de Gestión del riesgo._SGR"/>
    <s v="25 - contrato de prestacion de servicios profesionales"/>
    <n v="80111600"/>
    <n v="1"/>
    <n v="10"/>
    <n v="0"/>
    <n v="36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2199 Otros servicios jurídicos n.c.p."/>
    <s v="Si Secop "/>
  </r>
  <r>
    <n v="20250235"/>
    <x v="1"/>
    <s v="Sub. Gestión Riesgos"/>
    <s v="William Tovar Segura"/>
    <s v="Prestar servicios apoyo técnico para el desarrollo de los contenidos graficos, piezas comunicativa y de imagen institucional para la Subdirección de Gestión del riesgo._SGR"/>
    <s v="25 - contrato de prestacion de servicios profesionales"/>
    <n v="80111600"/>
    <n v="1"/>
    <n v="10"/>
    <n v="0"/>
    <n v="105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50236"/>
    <x v="1"/>
    <s v="Sub. Gestión Riesgos"/>
    <s v="William Tovar Segura"/>
    <s v="Prestar servicios profesionales para las actividades de la Subdireccion de Gestion del Riesgo relacionadas con la gestion de los aspectos tecnologicos e informaticos._SGR"/>
    <s v="25 - contrato de prestacion de servicios profesionales"/>
    <n v="80111600"/>
    <n v="1"/>
    <n v="10"/>
    <n v="0"/>
    <n v="35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50237"/>
    <x v="1"/>
    <s v="Sub. Gestión Riesgos"/>
    <s v="William Tovar Segura"/>
    <s v="Prestar servicios profesionales para el desarrollo de actividades de planeación y gestión para la Subdirección de Gestión del Riesgo._SGR"/>
    <s v="25 - contrato de prestacion de servicios profesionales"/>
    <n v="80111600"/>
    <n v="1"/>
    <n v="10"/>
    <n v="0"/>
    <n v="35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50238"/>
    <x v="1"/>
    <s v="Sub. Gestión Riesgos"/>
    <s v="William Tovar Segura"/>
    <s v="Prestar servicios de apoyo a la gestión como conductor en la Subdirección de Gestión del Riesgo._SGR"/>
    <s v="26 - contrato de prestacion de servicios de apoyo a la gestion"/>
    <n v="80111600"/>
    <n v="1"/>
    <n v="10"/>
    <n v="0"/>
    <n v="33750000"/>
    <x v="0"/>
    <s v="9 - contratación directa"/>
    <s v="8173 1-Implementación 6 estrategias de reducción del riesgo de incendios,  incidentes con materiales peligrosos y rescate en todas sus modalidades en la ciudad de Bogotá"/>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39"/>
    <x v="1"/>
    <s v="Sub. Gestión Riesgos"/>
    <s v="William Tovar Segura"/>
    <s v="Prestar servicios de apoyo administrativos apoyando a la Subdirección de Gestión del Riesgo con lo relacionado al seguimiento y control de sus solicitudes y peticiones._SGR "/>
    <s v="26 - contrato de prestacion de servicios de apoyo a la gestion"/>
    <n v="80111600"/>
    <n v="1"/>
    <n v="10"/>
    <n v="0"/>
    <n v="28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50240"/>
    <x v="1"/>
    <s v="Sub. Gestión Riesgos"/>
    <s v="William Tovar Segura"/>
    <s v="Prestar  servicios profesionales en las actividades de proyeccion e innovacion para la Subdirección de Gestión del Riesgo._SGR"/>
    <s v="25 - contrato de prestacion de servicios profesionales"/>
    <n v="80111600"/>
    <n v="1"/>
    <n v="10"/>
    <n v="0"/>
    <n v="80000000"/>
    <x v="0"/>
    <s v="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41"/>
    <x v="1"/>
    <s v="Sub. Gestión Riesgos"/>
    <s v="William Tovar Segura"/>
    <s v="Prestar  servicios profesionales en las actividades de proyeccion e innovacion para la Subdirección de Gestión del Riesgo._SGR"/>
    <s v="25 - contrato de prestacion de servicios profesionales"/>
    <n v="80111600"/>
    <n v="1"/>
    <n v="10"/>
    <n v="0"/>
    <n v="56000000"/>
    <x v="0"/>
    <s v="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42"/>
    <x v="1"/>
    <s v="Sub. Gestión Riesgos"/>
    <s v="William Tovar Segura"/>
    <s v="Prestar  servicios profesionales en las actividades de proyeccion e innovacion para la Subdirección de Gestión del Riesgo._SGR"/>
    <s v="25 - contrato de prestacion de servicios profesionales"/>
    <n v="80111600"/>
    <n v="1"/>
    <n v="10"/>
    <n v="0"/>
    <n v="56000000"/>
    <x v="0"/>
    <s v="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43"/>
    <x v="1"/>
    <s v="Sub. Gestión Riesgos"/>
    <s v="William Tovar Segura"/>
    <s v="Prestar sus servicios profesionales en las actividades relacionadas con la emision de conceptos a cargo de la Subdirección de Gestión del Riesgo._SGR"/>
    <s v="25 - contrato de prestacion de servicios profesionales"/>
    <n v="80111600"/>
    <n v="1"/>
    <n v="10"/>
    <n v="0"/>
    <n v="49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44"/>
    <x v="1"/>
    <s v="Sub. Gestión Riesgos"/>
    <s v="William Tovar Segura"/>
    <s v="Prestar sus servicios profesionales en las actividades relacionadas con la emision de conceptos a cargo de la Subdirección de Gestión del Riesgo._SGR"/>
    <s v="25 - contrato de prestacion de servicios profesionales"/>
    <n v="80111600"/>
    <n v="1"/>
    <n v="10"/>
    <n v="0"/>
    <n v="49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45"/>
    <x v="1"/>
    <s v="Sub. Gestión Riesgos"/>
    <s v="William Tovar Segura"/>
    <s v="Prestar  servicios profesionales en las actividades de proyeccion e innovacion para la Subdirección de Gestión del Riesgo._SGR"/>
    <s v="25 - contrato de prestacion de servicios profesionales"/>
    <n v="80111600"/>
    <n v="1"/>
    <n v="10"/>
    <n v="0"/>
    <n v="42000000"/>
    <x v="0"/>
    <s v="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46"/>
    <x v="1"/>
    <s v="Sub. Gestión Riesgos"/>
    <s v="William Tovar Segura"/>
    <s v="Prestar servicios profesionales en las actividades de identificacion de escenarios a cargo de la Subdirección de Gestión del Riesgo._SGR"/>
    <s v="25 - contrato de prestacion de servicios profesionales"/>
    <n v="80111600"/>
    <n v="1"/>
    <n v="10"/>
    <n v="0"/>
    <n v="49000000"/>
    <x v="0"/>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47"/>
    <x v="1"/>
    <s v="Sub. Gestión Riesgos"/>
    <s v="William Tovar Segura"/>
    <s v="Prestar servicios profesionales en las actividades de identificacion de escenarios a cargo de la Subdirección de Gestión del Riesgo._SGR"/>
    <s v="25 - contrato de prestacion de servicios profesionales"/>
    <n v="80111600"/>
    <n v="1"/>
    <n v="10"/>
    <n v="0"/>
    <n v="38500000"/>
    <x v="0"/>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48"/>
    <x v="1"/>
    <s v="Sub. Gestión Riesgos"/>
    <s v="William Tovar Segura"/>
    <s v="Prestar servicio de apoyo en las actividades de identificación de escenarios a cargo de la Subdirección de Gestión del Riesgo._SGR"/>
    <s v="26 - contrato de prestacion de servicios de apoyo a la gestion"/>
    <n v="80111600"/>
    <n v="1"/>
    <n v="10"/>
    <n v="0"/>
    <n v="14400017"/>
    <x v="0"/>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49"/>
    <x v="1"/>
    <s v="Sub. Gestión Riesgos"/>
    <s v="William Tovar Segura"/>
    <s v="Prestar servicios profesionales en las actividades de identificacion de escenarios a cargo de la Subdirección de Gestión del Riesgo._SGR"/>
    <s v="25 - contrato de prestacion de servicios profesionales"/>
    <n v="80111600"/>
    <n v="1"/>
    <n v="10"/>
    <n v="0"/>
    <n v="35000000"/>
    <x v="0"/>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50"/>
    <x v="1"/>
    <s v="Sub. Gestión Riesgos"/>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308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51"/>
    <x v="1"/>
    <s v="Sub. Gestión Riesgos"/>
    <s v="William Tovar Segura"/>
    <s v="prestar servicios profesionales liderando las actividades de caracterización de escenarios y monitoreo de gestión del riesgo.SGR"/>
    <s v="25 - contrato de prestacion de servicios profesionales"/>
    <n v="80111600"/>
    <n v="1"/>
    <n v="10"/>
    <n v="0"/>
    <n v="63700000"/>
    <x v="0"/>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52"/>
    <x v="1"/>
    <s v="Sub. Gestión Riesgos"/>
    <s v="William Tovar Segura"/>
    <s v="Prestar servicios profesionales en las actividades de monitoreo del riesgo para la Subdirección de Gestión del Riesgo._SGR"/>
    <s v="25 - contrato de prestacion de servicios profesionales"/>
    <n v="80111600"/>
    <n v="1"/>
    <n v="10"/>
    <n v="0"/>
    <n v="42000000"/>
    <x v="0"/>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53"/>
    <x v="1"/>
    <s v="Sub. Gestión Riesgos"/>
    <s v="William Tovar Segura"/>
    <s v="Prestar servicios profesionales en las actividades de monitoreo del riesgo para la Subdirección de Gestión del Riesgo._SGR"/>
    <s v="25 - contrato de prestacion de servicios profesionales"/>
    <n v="80111600"/>
    <n v="1"/>
    <n v="10"/>
    <n v="0"/>
    <n v="35000000"/>
    <x v="0"/>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54"/>
    <x v="1"/>
    <s v="Sub. Gestión Riesgos"/>
    <s v="William Tovar Segura"/>
    <s v="Prestar servicios profesionales en las actividades de monitoreo del riesgo para la Subdirección de Gestión del Riesgo._SGR"/>
    <s v="25 - contrato de prestacion de servicios profesionales"/>
    <n v="80111600"/>
    <n v="1"/>
    <n v="10"/>
    <n v="0"/>
    <n v="35000000"/>
    <x v="0"/>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59"/>
    <x v="1"/>
    <s v="Sub. Gestión Riesgos"/>
    <s v="William Tovar Segura"/>
    <s v="Prestar servicios de apoyo a la gestion en las actividades de monitoreo del riesgo para la Subdirección de Gestión del Riesgo._SGR"/>
    <s v="26 - contrato de prestacion de servicios de apoyo a la gestion"/>
    <n v="80111600"/>
    <n v="1"/>
    <n v="10"/>
    <n v="0"/>
    <n v="28000000"/>
    <x v="0"/>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60"/>
    <x v="1"/>
    <s v="Sub. Gestión Riesgos"/>
    <s v="William Tovar Segura"/>
    <s v="Prestar servicios profesionales liderando las actividades de Programas y Campañas de Prevención para la Subdirección de Gestión del Riesgo._SGR"/>
    <s v="25 - contrato de prestacion de servicios profesionales"/>
    <n v="80111600"/>
    <n v="1"/>
    <n v="11"/>
    <n v="0"/>
    <n v="88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0261"/>
    <x v="1"/>
    <s v="Sub. Gestión Riesgos"/>
    <s v="William Tovar Segura"/>
    <s v="Prestar servicios profesionales en las actividades de Programas y Campañas de Prevención para la Subdirección de Gestión del Riesgo._SGR"/>
    <s v="25 - contrato de prestacion de servicios profesionales"/>
    <n v="80111600"/>
    <n v="1"/>
    <n v="10"/>
    <n v="0"/>
    <n v="35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0262"/>
    <x v="1"/>
    <s v="Sub. Gestión Riesgos"/>
    <s v="William Tovar Segura"/>
    <s v="Prestar servicios profesionales en las actividades de Programas y Campañas de Prevención para la Subdirección de Gestión del Riesgo._SGR"/>
    <s v="25 - contrato de prestacion de servicios profesionales"/>
    <n v="80111600"/>
    <n v="1"/>
    <n v="10"/>
    <n v="0"/>
    <n v="35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0263"/>
    <x v="1"/>
    <s v="Sub. Gestión Riesgos"/>
    <s v="William Tovar Segura"/>
    <s v="Prestar servicios de apoyo en las actividades de Programas y Campañas de Prevención para la Subdirección de Gestión del Riesgo._SGR"/>
    <s v="26 - contrato de prestacion de servicios de apoyo a la gestion"/>
    <n v="80111600"/>
    <n v="1"/>
    <n v="10"/>
    <n v="0"/>
    <n v="245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0264"/>
    <x v="1"/>
    <s v="Sub. Gestión Riesgos"/>
    <s v="William Tovar Segura"/>
    <s v="Prestar servicios de apoyo en las actividades de Programas y Campañas de Prevención para la Subdirección de Gestión del Riesgo._SGR"/>
    <s v="26 - contrato de prestacion de servicios de apoyo a la gestion"/>
    <n v="80111600"/>
    <n v="1"/>
    <n v="10"/>
    <n v="0"/>
    <n v="3375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0265"/>
    <x v="1"/>
    <s v="Sub. Gestión Riesgos"/>
    <s v="William Tovar Segura"/>
    <s v="Prestar servicios de apoyo en las actividades de Programas y Campañas de Prevención para la Subdirección de Gestión del Riesgo._SGR"/>
    <s v="26 - contrato de prestacion de servicios de apoyo a la gestion"/>
    <n v="80111600"/>
    <n v="1"/>
    <n v="10"/>
    <n v="0"/>
    <n v="84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0266"/>
    <x v="1"/>
    <s v="Sub. Gestión Riesgos"/>
    <s v="William Tovar Segura"/>
    <s v="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11 - orden de prestacion de servicios"/>
    <s v="78121600_x000a_78131800_x000a_92111600_x000a_72141500"/>
    <n v="1"/>
    <n v="10"/>
    <n v="0"/>
    <n v="640000000"/>
    <x v="0"/>
    <s v="02 - selec. abrev. menor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50267"/>
    <x v="1"/>
    <s v="Sub. Gestión Riesgos"/>
    <s v="William Tovar Segura"/>
    <s v="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
    <s v="11 - orden de prestacion de servicios"/>
    <s v="80141900_x000a_90111500_x000a_90111600_x000a_80141600_x000a_80161502"/>
    <n v="9"/>
    <n v="5"/>
    <n v="0"/>
    <n v="223000000"/>
    <x v="0"/>
    <s v="02 - selec. abrev. menor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0268"/>
    <x v="1"/>
    <s v="Sub. Gestión Riesgos"/>
    <s v="William Tovar Segura"/>
    <s v="Adquisición de elementos de identificación institucional para el programa comunitario de prevención de incendios forestales_SGR."/>
    <s v="08 - contrato de suministro"/>
    <s v="53103100_x000a_53102500"/>
    <n v="6"/>
    <n v="2"/>
    <n v="0"/>
    <n v="17430000"/>
    <x v="0"/>
    <s v="04 - contratación mínima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50269"/>
    <x v="1"/>
    <s v="Sub. Gestión Riesgos"/>
    <s v="William Tovar Segura"/>
    <s v="Prestar servicios profesionales para la gestión de la SGR, en su compomente técnico, administrativo y análisis financiero._SGR."/>
    <s v="25 - contrato de prestacion de servicios profesionales"/>
    <n v="80111600"/>
    <n v="1"/>
    <n v="10"/>
    <n v="0"/>
    <n v="49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50270"/>
    <x v="1"/>
    <s v="Sub. Gestión Riesgos"/>
    <s v="William Tovar Segura"/>
    <s v="Prestar sus servicios profesionales en las actividades relacionadas con la emision de conceptos a cargo de la Subdirección de Gestión del Riesgo._SGR"/>
    <s v="25 - contrato de prestacion de servicios profesionales"/>
    <n v="80111600"/>
    <n v="1"/>
    <n v="10"/>
    <n v="0"/>
    <n v="35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71"/>
    <x v="1"/>
    <s v="Sub. Gestión Riesgos"/>
    <s v="William Tovar Segura"/>
    <s v="Prestar servicios profesionales para realizar las actividdaes relacionadas con la emision de conceptos a cargo de la Subdirección de Gestión del Riesgo._SGR"/>
    <s v="25 - contrato de prestacion de servicios profesionales"/>
    <n v="80111600"/>
    <n v="1"/>
    <n v="10"/>
    <n v="0"/>
    <n v="35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72"/>
    <x v="1"/>
    <s v="Sub. Gestión Riesgos"/>
    <s v="William Tovar Segura"/>
    <s v="Prestar sus servicios profesionales en las actividades relacionadas con la emision de conceptos a cargo de la Subdirección de Gestión del Riesgo._SGR"/>
    <s v="25 - contrato de prestacion de servicios profesionales"/>
    <n v="80111600"/>
    <n v="1"/>
    <n v="10"/>
    <n v="0"/>
    <n v="21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73"/>
    <x v="1"/>
    <s v="Sub. Gestión Riesgos"/>
    <s v="William Tovar Segura"/>
    <s v="Prestar sus servicios profesionales en las actividades relacionadas con la emision de conceptos a cargo de la Subdirección de Gestión del Riesgo._SGR"/>
    <s v="25 - contrato de prestacion de servicios profesionales"/>
    <n v="80111600"/>
    <n v="1"/>
    <n v="10"/>
    <n v="0"/>
    <n v="42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74"/>
    <x v="1"/>
    <s v="Sub. Gestión Riesgos"/>
    <s v="William Tovar Segura"/>
    <s v="Prestar sus servicios profesionales en las actividades relacionadas con la emision de conceptos a cargo de la Subdirección de Gestión del Riesgo._SGR"/>
    <s v="25 - contrato de prestacion de servicios profesionales"/>
    <n v="80111600"/>
    <n v="1"/>
    <n v="10"/>
    <n v="0"/>
    <n v="42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75"/>
    <x v="1"/>
    <s v="Sub. Gestión Riesgos"/>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76"/>
    <x v="1"/>
    <s v="Sub. Gestión Riesgos"/>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77"/>
    <x v="1"/>
    <s v="Sub. Gestión Riesgos"/>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78"/>
    <x v="1"/>
    <s v="Sub. Gestión Riesgos"/>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79"/>
    <x v="1"/>
    <s v="Sub. Gestión Riesgos"/>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80"/>
    <x v="1"/>
    <s v="Sub. Gestión Riesgos"/>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5466667"/>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81"/>
    <x v="1"/>
    <s v="Sub. Gestión Riesgos"/>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82"/>
    <x v="1"/>
    <s v="Sub. Gestión Riesgos"/>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83"/>
    <x v="1"/>
    <s v="Sub. Gestión Riesgos"/>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84"/>
    <x v="1"/>
    <s v="Sub. Gestión Riesgos"/>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28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85"/>
    <x v="1"/>
    <s v="Sub. Gestión Riesgos"/>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28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86"/>
    <x v="1"/>
    <s v="Sub. Gestión Riesgos"/>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28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88"/>
    <x v="1"/>
    <s v="Sub. Gestión Riesgos"/>
    <s v="William Tovar Segura"/>
    <s v="Prestar servicios profesionales en los procesos de formacion y capacitacion de la subdirección de gestión del riesgo._SGR"/>
    <s v="25 - contrato de prestacion de servicios profesionales"/>
    <n v="80111600"/>
    <n v="1"/>
    <n v="10"/>
    <n v="0"/>
    <n v="90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0290"/>
    <x v="1"/>
    <s v="Sub. Gestión Riesgos"/>
    <s v="William Tovar Segura"/>
    <s v="Prestar servicios profesionales en los procesos de formacion y capacitacion de la subdirección de gestión del riesgo._SGR"/>
    <s v="25 - contrato de prestacion de servicios profesionales"/>
    <n v="80111600"/>
    <n v="1"/>
    <n v="10"/>
    <n v="0"/>
    <n v="49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0293"/>
    <x v="1"/>
    <s v="Sub. Operativa"/>
    <s v="Yenire Yohansy Lozano Ascanio"/>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294"/>
    <x v="1"/>
    <s v="Sub. Operativa"/>
    <s v="Yenire Yohansy Lozano Ascanio"/>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295"/>
    <x v="1"/>
    <s v="Sub. Operativa"/>
    <s v="Yenire Yohansy Lozano Ascanio"/>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296"/>
    <x v="1"/>
    <s v="Sub. Operativa"/>
    <s v="Yenire Yohansy Lozano Ascanio"/>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297"/>
    <x v="1"/>
    <s v="Sub. Operativa"/>
    <s v="Yenire Yohansy Lozano Ascanio"/>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6"/>
    <n v="0"/>
    <n v="18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298"/>
    <x v="1"/>
    <s v="Sub. Operativa"/>
    <s v="Yenire Yohansy Lozano Ascanio"/>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6"/>
    <n v="0"/>
    <n v="18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00"/>
    <x v="1"/>
    <s v="Sub. Operativa"/>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01"/>
    <x v="1"/>
    <s v="Sub. Operativa"/>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02"/>
    <x v="1"/>
    <s v="Sub. Operativa"/>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03"/>
    <x v="1"/>
    <s v="Sub. Operativa"/>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04"/>
    <x v="1"/>
    <s v="Sub. Operativa"/>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05"/>
    <x v="1"/>
    <s v="Sub. Operativa"/>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06"/>
    <x v="1"/>
    <s v="Sub. Operativa"/>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8"/>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07"/>
    <x v="1"/>
    <s v="Sub. Operativa"/>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08"/>
    <x v="1"/>
    <s v="Sub. Operativa"/>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09"/>
    <x v="1"/>
    <s v="Sub. Operativa"/>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10"/>
    <x v="1"/>
    <s v="Sub. Operativa"/>
    <s v="Yenire Yohansy Lozano Ascanio"/>
    <s v="Prestación de servicios para apoyar  la gestión administrativa y documental requerida a cargo de la Subdirección Operativa  S.O."/>
    <s v="26 - contrato de prestacion de servicios de apoyo a la gestion"/>
    <n v="80111600"/>
    <n v="2"/>
    <n v="7"/>
    <n v="0"/>
    <n v="22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11"/>
    <x v="1"/>
    <s v="Sub. Operativa"/>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12"/>
    <x v="1"/>
    <s v="Sub. Operativa"/>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13"/>
    <x v="1"/>
    <s v="Sub. Operativa"/>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14"/>
    <x v="1"/>
    <s v="Sub. Operativa"/>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15"/>
    <x v="1"/>
    <s v="Sub. Operativa"/>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16"/>
    <x v="1"/>
    <s v="Sub. Operativa"/>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17"/>
    <x v="1"/>
    <s v="Sub. Operativa"/>
    <s v="Yenire Yohansy Lozano Ascanio"/>
    <s v="prestación de servicios profesionales para atender las actividades y condiciones básicas de bienestar tanto de los animales recuperados y rescatados y de los caninos del programa brae a cargo de la subdirección operativa s.o."/>
    <s v="25 - contrato de prestacion de servicios profesionales"/>
    <n v="80111600"/>
    <n v="2"/>
    <n v="10"/>
    <n v="0"/>
    <n v="55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18"/>
    <x v="1"/>
    <s v="Sub. Operativa"/>
    <s v="Yenire Yohansy Lozano Ascanio"/>
    <s v="prestación de servicios de apoyo para desarrollar y mantener las condiciones básicas de bienestar de los caninos y de  animales rescatados o recuperados que atiende el grupo brae_x000a_ a cargo de la subdirección operativa  s.o."/>
    <s v="26 - contrato de prestacion de servicios de apoyo a la gestion"/>
    <n v="80111600"/>
    <n v="2"/>
    <n v="10"/>
    <n v="0"/>
    <n v="34066525"/>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19"/>
    <x v="1"/>
    <s v="Sub. Operativa"/>
    <s v="Yenire Yohansy Lozano Ascanio"/>
    <s v="prestación de servicios profesionales para atender las actividades y condiciones básicas de bienestar tanto de los animales recuperados y rescatados y de los caninos del programa brae a cargo de la subdirección operativa s.o."/>
    <s v="25 - contrato de prestacion de servicios profesionales"/>
    <n v="80111600"/>
    <n v="2"/>
    <n v="10"/>
    <n v="0"/>
    <n v="55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20"/>
    <x v="1"/>
    <s v="Sub. Operativa"/>
    <s v="Yenire Yohansy Lozano Ascanio"/>
    <s v="prestación de servicios de apoyo para ejecutar las actividades administrativas, de gestión , trámite, seguimiento y verificación de solicitudes recibidas en el canal de comunicación de gestión operativa. - s.o."/>
    <s v="26 - contrato de prestacion de servicios de apoyo a la gestion"/>
    <n v="80111600"/>
    <n v="2"/>
    <n v="9"/>
    <n v="15"/>
    <n v="30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22"/>
    <x v="1"/>
    <s v="Sub. Operativa"/>
    <s v="Yenire Yohansy Lozano Ascanio"/>
    <s v="prestación de servicios profesionales  para generar información de valor e instrumentos de seguimiento y control a partir de los datos asociados a la ejecución  de los procesos, planes y proyectos adelantados en la dependencia. s.o."/>
    <s v="25 - contrato de prestacion de servicios profesionales"/>
    <n v="80111600"/>
    <n v="2"/>
    <n v="11"/>
    <n v="0"/>
    <n v="104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23"/>
    <x v="1"/>
    <s v="Sub. Operativa"/>
    <s v="Yenire Yohansy Lozano Ascanio"/>
    <s v="prestación de servicios profesionales para realizar  la consolidación, seguimiento, control y  reporte de los planes, proyectos y programas de inversión e indicadores a cargo de la subdirección operativa s.o."/>
    <s v="25 - contrato de prestacion de servicios profesionales"/>
    <n v="80111600"/>
    <n v="2"/>
    <n v="11"/>
    <n v="0"/>
    <n v="88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24"/>
    <x v="1"/>
    <s v="Sub. Operativa"/>
    <s v="Yenire Yohansy Lozano Ascanio"/>
    <s v="prestación de servicios profesionales para  el fortalecimiento de los procesos de comunicaciones y análisis de información en articulación con otras dependencias de la entidad, s.o."/>
    <s v="25 - contrato de prestacion de servicios profesionales"/>
    <n v="80111600"/>
    <n v="2"/>
    <n v="10"/>
    <n v="0"/>
    <n v="70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25"/>
    <x v="1"/>
    <s v="Sub. Operativa"/>
    <s v="Yenire Yohansy Lozano Ascanio"/>
    <s v="prestación de servicios profesionales para  la consolidación, seguimiento y reporte de las actividades del plan de mejoramiento, normograma y mapa de riesgos relacionados con los procesos y procedimientos misionales de la dependencia. s.o."/>
    <s v="25 - contrato de prestacion de servicios profesionales"/>
    <n v="80111600"/>
    <n v="2"/>
    <n v="10"/>
    <n v="0"/>
    <n v="70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26"/>
    <x v="1"/>
    <s v="Sub. Operativa"/>
    <s v="Yenire Yohansy Lozano Ascanio"/>
    <s v="prestación de servicios profesionales con plena autonomía técnica y administrativa  para el diseño, implementación, reporte y monitoreo de los diferentes procesos, procedimientos y funciones a cargo de la dependencia. - s.o."/>
    <s v="25 - contrato de prestacion de servicios profesionales"/>
    <n v="80111600"/>
    <n v="3"/>
    <n v="10"/>
    <n v="0"/>
    <n v="95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27"/>
    <x v="1"/>
    <s v="Sub. Operativa"/>
    <s v="Yenire Yohansy Lozano Ascanio"/>
    <s v="prestación de servicios profesionales para realizar  el diligenciamiento y seguimiento de las solicitudes en las herramientas de gestión de los procedimientos a cargo de la  subdirección operativa -s.o."/>
    <s v="25 - contrato de prestacion de servicios profesionales"/>
    <n v="80111600"/>
    <n v="2"/>
    <n v="10"/>
    <n v="15"/>
    <n v="4725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28"/>
    <x v="1"/>
    <s v="Sub. Operativa"/>
    <s v="Yenire Yohansy Lozano Ascanio"/>
    <s v="prestación de servicios profesionales para realizar la planeación, trámite y seguimiento de los aspectos presupuestales, financieros y contractuales a cargo de la dependencia - s.o."/>
    <s v="25 - contrato de prestacion de servicios profesionales"/>
    <n v="80111600"/>
    <n v="2"/>
    <n v="10"/>
    <n v="0"/>
    <n v="7455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29"/>
    <x v="1"/>
    <s v="Sub. Operativa"/>
    <s v="Yenire Yohansy Lozano Ascanio"/>
    <s v="prestación de servicios profesionales para ejecutar los  aspectos jurídicos de  la subdirección operativa, frente a la estructuración, sustanciación, revisión y trámite de los actos administrativos y los documentos que deba emitir para la dependencia - s.o."/>
    <s v="25 - contrato de prestacion de servicios profesionales"/>
    <n v="80111600"/>
    <n v="2"/>
    <n v="10"/>
    <n v="0"/>
    <n v="65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30"/>
    <x v="1"/>
    <s v="Sub. Operativa"/>
    <s v="Yenire Yohansy Lozano Ascanio"/>
    <s v="prestación de servicios profesionales para  estructurar, definir y verificar en los  aspectos técnicos de los diferentes procesos de contratación de bienes y servicios de la subdirección operativa en las etapas precontractual, contractual y postcontractual-s.o."/>
    <s v="25 - contrato de prestacion de servicios profesionales"/>
    <n v="80111600"/>
    <n v="3"/>
    <n v="9"/>
    <n v="0"/>
    <n v="63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31"/>
    <x v="1"/>
    <s v="Sub. Operativa"/>
    <s v="Yenire Yohansy Lozano Ascanio"/>
    <s v="prestación de servicios profesionales para ejecutar el componente de información geográfica, georreferenciación y generación de alertas mediante las herramientas, sistemas de información y recursos disponibles y a cargo de la subdirección operativa-s.o."/>
    <s v="25 - contrato de prestacion de servicios profesionales"/>
    <n v="80111600"/>
    <n v="2"/>
    <n v="10"/>
    <n v="0"/>
    <n v="70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32"/>
    <x v="1"/>
    <s v="Sub. Operativa"/>
    <s v="Yenire Yohansy Lozano Ascanio"/>
    <s v="Prestar servicios profesionales para brindar acompañamiento jurídico en el desarrollo de las actividades inherentes a los procesos y procedimientos competencia de la Subdirección Operativa así como brindar apoyo en la revisión, estructuración y seguimiento de todas las etapas precontractuales y contractuales correspondientes a los procesos de selección de la Subdirección Operativa S.O."/>
    <s v="25 - contrato de prestacion de servicios profesionales"/>
    <n v="80111600"/>
    <n v="3"/>
    <n v="10"/>
    <n v="0"/>
    <n v="94683333"/>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33"/>
    <x v="1"/>
    <s v="Sub. Operativa"/>
    <s v="Yenire Yohansy Lozano Ascanio"/>
    <s v="prestación de servicios profesionales para la elaboración, diagramación, orto tipografía y estilos de textos e informes referentes a los diferentes procesos a cargo de la subdirección operativa - s.o."/>
    <s v="25 - contrato de prestacion de servicios profesionales"/>
    <n v="80111600"/>
    <n v="2"/>
    <n v="10"/>
    <n v="0"/>
    <n v="55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34"/>
    <x v="1"/>
    <s v="Sub. Operativa"/>
    <s v="Yenire Yohansy Lozano Ascanio"/>
    <s v="Prestar servicios profesionales para apoyar jurídicamente en la sustanciación, revisión y trámite de solicitudes dirigidas a autoridades administrativas, respuestas a PQRS, derechos de petición y requerimientos que efectúen los entes de control, así como realizar la gestión y desarrollo de todas las etapas precontractuales y contractuales correspondientes a la celebración de convenios, comodatos, memorandos de entendimiento y demás procesos de selección de La Subdirección Operativa S.O."/>
    <s v="25 - contrato de prestacion de servicios profesionales"/>
    <n v="80111600"/>
    <n v="3"/>
    <n v="9"/>
    <n v="15"/>
    <n v="66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35"/>
    <x v="1"/>
    <s v="Sub. Operativa"/>
    <s v="Yenire Yohansy Lozano Ascanio"/>
    <s v="prestación de  servicios profesionales para proyectar las solicitudes dirigidas a autoridades administrativas, respuestas a pqr s, derechos de petición, requerimientos efectuados por  los entes de control y autoridades administrativas o que lleguen por los diferentes canales de atención de la entidad, en el marco de los procesos y procedimientos a cargo de la dependencia-s.o."/>
    <s v="25 - contrato de prestacion de servicios profesionales"/>
    <n v="80111600"/>
    <n v="2"/>
    <n v="10"/>
    <n v="15"/>
    <n v="50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36"/>
    <x v="1"/>
    <s v="Sub. Operativa"/>
    <s v="Yenire Yohansy Lozano Ascanio"/>
    <s v="prestación de servicios profesionales para ejecutar las actividades misionales en la elaboración, diseño y diagramación de piezas requeridas para los planes, programas, proyectos y procedimientos- s.o."/>
    <s v="25 - contrato de prestacion de servicios profesionales"/>
    <n v="80111600"/>
    <n v="2"/>
    <n v="9"/>
    <n v="0"/>
    <n v="63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37"/>
    <x v="1"/>
    <s v="Sub. Operativa"/>
    <s v="Yenire Yohansy Lozano Ascanio"/>
    <s v="prestación de servicios profesionales para ejecutar las actividades relacionadas con el sistema de gestión de calidad, el sistema ambiental y el sistema de control interno-s.o."/>
    <s v="25 - contrato de prestacion de servicios profesionales"/>
    <n v="80111600"/>
    <n v="2"/>
    <n v="10"/>
    <n v="0"/>
    <n v="65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38"/>
    <x v="1"/>
    <s v="Sub. Operativa"/>
    <s v="Yenire Yohansy Lozano Ascanio"/>
    <s v="prestación de servicios profesionales para ejecutar las actividades de carácter administrativo y de apoyo de los procesos y procedimientos a cargo de la subdirección operativa-s.o."/>
    <s v="25 - contrato de prestacion de servicios profesionales"/>
    <n v="80111600"/>
    <n v="3"/>
    <n v="4"/>
    <n v="0"/>
    <n v="192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40"/>
    <x v="1"/>
    <s v="Sub. Operativa"/>
    <s v="Yenire Yohansy Lozano Ascanio"/>
    <s v="prestación de servicios profesionales para  la estructuación de fichas técnicas e identificación de necesidades técnicas requeridas por la entidad con base en la atención de emergencias y requerimientos internos y externos - s.o."/>
    <s v="25 - contrato de prestacion de servicios profesionales"/>
    <n v="80111600"/>
    <n v="2"/>
    <n v="10"/>
    <n v="0"/>
    <n v="95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41"/>
    <x v="1"/>
    <s v="Sub. Operativa"/>
    <s v="Yenire Yohansy Lozano Ascanio"/>
    <s v="prestación de servicios profesionales para la elaboración de informes o documentos técnicos, infografías, reportes y consolidación de indicadores relacionados con los procesos, procedimientos y contratos a cargo de la dependencia-s.o."/>
    <s v="25 - contrato de prestacion de servicios profesionales"/>
    <n v="80111600"/>
    <n v="2"/>
    <n v="5"/>
    <n v="0"/>
    <n v="35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42"/>
    <x v="1"/>
    <s v="Sub. Operativa"/>
    <s v="Yenire Yohansy Lozano Ascanio"/>
    <s v="prestación de servicios profesionales para llevar a cabo  el análisis de información,  elaboración de informes de gestión, documentos técnicos, reportes y demás productos relacionados con la atención de emergencias, gestión del conocimiento y procesos a cargo de la dependencia."/>
    <s v="25 - contrato de prestacion de servicios profesionales"/>
    <n v="80111600"/>
    <n v="2"/>
    <n v="9"/>
    <n v="0"/>
    <n v="408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43"/>
    <x v="1"/>
    <s v="Sub. Operativa"/>
    <s v="Yenire Yohansy Lozano Ascanio"/>
    <s v="prestación de servicios profesionales para gestionar y ejecutar la  estrategia de preparativos de la uae cuerpo oficial de bomberos de bogotá s.o."/>
    <s v="25 - contrato de prestacion de servicios profesionales"/>
    <n v="80111600"/>
    <n v="2"/>
    <n v="6"/>
    <n v="0"/>
    <n v="51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44"/>
    <x v="1"/>
    <s v="Sub. Operativa"/>
    <s v="Yenire Yohansy Lozano Ascanio"/>
    <s v="prestación de servicios profesionales en consolidación y reporte de la información técnica de la estrategia de preparativos de la uae cuerpo oficial de bomberos de bogotá s.o."/>
    <s v="25 - contrato de prestacion de servicios profesionales"/>
    <n v="80111600"/>
    <n v="2"/>
    <n v="6"/>
    <n v="0"/>
    <n v="36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45"/>
    <x v="1"/>
    <s v="Sub. Operativa"/>
    <s v="Yenire Yohansy Lozano Ascanio"/>
    <s v="prestación de servicios profesionales en consolidación y reporte de la información técnica de la estrategia de preparativos de la uae cuerpo oficial de bomberos de bogotá s.o."/>
    <s v="25 - contrato de prestacion de servicios profesionales"/>
    <n v="80111600"/>
    <n v="4"/>
    <n v="6"/>
    <n v="0"/>
    <n v="36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50"/>
    <x v="2"/>
    <s v="Sub. Operativa"/>
    <s v="Yenire Yohansy Lozano Ascanio"/>
    <s v="Adquisición de uniformes para el personal operativo de la UAECOB"/>
    <s v="06 - contrato de compraventa"/>
    <n v="53102710"/>
    <n v="2"/>
    <n v="6"/>
    <n v="0"/>
    <n v="250050000"/>
    <x v="1"/>
    <s v="03 - selec. abrev. subasta inversa"/>
    <s v="No aplica"/>
    <s v="NA"/>
    <s v="NA"/>
    <s v="NA"/>
    <s v="N/A"/>
    <s v="N/A"/>
    <s v="N/A-N/A"/>
    <s v="N/A"/>
    <s v="N/A"/>
    <s v="N/A_N/A"/>
    <s v="N/A-N/A N/A_N/A"/>
    <s v="NANANAN/AN/A"/>
    <s v="N/A"/>
    <s v="O2120201002082823609    Uniformes de trabajo"/>
    <s v="Si Secop "/>
  </r>
  <r>
    <n v="20250351"/>
    <x v="0"/>
    <s v="Dirección Tic"/>
    <s v="Paula Ximena Henao Escobar"/>
    <s v="Prestar servicios profesionales especializados en el área de Tecnologías de la Información y las Comunicaciones de la U.A.E. Cuerpo Oficial de Bomberos Bogotá, para realizar el seguimiento, gestión y fortalecimiento de los procesos, procedimientos, contratos y proyectos tecnológicos a cargo de esta área. "/>
    <s v="25 - contrato de prestacion de servicios profesionales"/>
    <n v="80111600"/>
    <n v="2"/>
    <n v="11"/>
    <n v="0"/>
    <n v="1045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52"/>
    <x v="0"/>
    <s v="Dirección Tic"/>
    <s v="Paula Ximena Henao Escobar"/>
    <s v="Prestar los servicios profesionales en el área de Tecnologías de la Información y las Comunicaciones de la U.A.E. Cuerpo Oficial de Bomberos Bogotá para apoyar en el seguimiento y control del presupuesto asociado a los procesos, procedimientos y contratos a cargo de esta dependencia."/>
    <s v="25 - contrato de prestacion de servicios profesionales"/>
    <n v="80111600"/>
    <n v="2"/>
    <n v="11"/>
    <n v="0"/>
    <n v="37500000"/>
    <x v="0"/>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53"/>
    <x v="0"/>
    <s v="Dirección Tic"/>
    <s v="Paula Ximena Henao Escobar"/>
    <s v="Prestar los servicios profesionales en el área de Tecnologías de la Información y las Comunicaciones de la U.A.E. Cuerpo Oficial de Bomberos Bogotá, apoyando en la gestión jurídica y contractual en todas sus etapas de los procesos, procedimientos y contratos a cargo de esta área."/>
    <s v="25 - contrato de prestacion de servicios profesionales"/>
    <n v="80111600"/>
    <n v="2"/>
    <n v="11"/>
    <n v="0"/>
    <n v="390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2199 Otros servicios jurídicos n.c.p."/>
    <s v="Si Secop "/>
  </r>
  <r>
    <n v="20250354"/>
    <x v="0"/>
    <s v="Dirección Tic"/>
    <s v="Paula Ximena Henao Escobar"/>
    <s v="Prestar servicios profesionales para administrar, gestionar y mantener las bases de datos de la UAE Cuerpo Oficial de Bomberos Bogotá. -TIC"/>
    <s v="25 - contrato de prestacion de servicios profesionales"/>
    <n v="80111600"/>
    <n v="2"/>
    <n v="11"/>
    <n v="0"/>
    <n v="3725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55"/>
    <x v="0"/>
    <s v="Dirección Tic"/>
    <s v="Paula Ximena Henao Escobar"/>
    <s v="Prestar servicios profesionales  como administrador y gestor de la infraestructura de las comunicaciones y red regulada  de la UAE Cuerpo Oficial de Bomberos Bogotá-TIC"/>
    <s v="25 - contrato de prestacion de servicios profesionales"/>
    <n v="80111600"/>
    <n v="2"/>
    <n v="11"/>
    <n v="0"/>
    <n v="4968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56"/>
    <x v="0"/>
    <s v="Dirección Tic"/>
    <s v="Paula Ximena Henao Escobar"/>
    <s v="Prestar los servicios profesionales en el área de Tecnologías de la Información y las Comunicaciones de la U.A.E. Cuerpo Oficial de Bomberos Bogotá, para administrar y gestionar la seguridad perimetral y privacidad de la información en el marco de la infraestructura tecnológica y de comunicaciones, utilizada por la entidad."/>
    <s v="26 - contrato de prestacion de servicios de apoyo a la gestion"/>
    <n v="80111600"/>
    <n v="2"/>
    <n v="11"/>
    <n v="0"/>
    <n v="40500000"/>
    <x v="0"/>
    <s v="09 - contratación directa"/>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57"/>
    <x v="0"/>
    <s v="Dirección Tic"/>
    <s v="Paula Ximena Henao Escobar"/>
    <s v="Prestar los servicios profesionales en el área de Tecnologías de la Información y las Comunicaciones de la U.A.E. Cuerpo Oficial de Bomberos Bogotá, apoyando la administración y gestión de la infraestructura tecnológica de servidores, servicios de nube y componentes relacionados, con los que cuenta la entidad."/>
    <s v="25 - contrato de prestacion de servicios profesionales"/>
    <n v="80111600"/>
    <n v="2"/>
    <n v="11"/>
    <n v="0"/>
    <n v="3725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58"/>
    <x v="0"/>
    <s v="Dirección Tic"/>
    <s v="Paula Ximena Henao Escobar"/>
    <s v="Prestar los servicios profesionales en el área de Tecnologías de la Información y las Comunicaciones de la U.A.E. Cuerpo Oficial de Bomberos Bogotá, gestionando y administrando los sistemas de información y aplicativos tecnológicos, con los que cuenta la entidad. "/>
    <s v="25 - contrato de prestacion de servicios profesionales"/>
    <n v="80111600"/>
    <n v="2"/>
    <n v="11"/>
    <n v="0"/>
    <n v="3725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59"/>
    <x v="0"/>
    <s v="Dirección Tic"/>
    <s v="Paula Ximena Henao Escobar"/>
    <s v="Prestar los servicios profesionales en el área de Tecnologías de la Información y las Comunicaciones de la U.A.E. Cuerpo Oficial de Bomberos Bogotá, para apoyar la implementación, seguimiento y control del Sistema de Gestión de Seguridad de la Información - SGSI y Gobierno Digital, así como realizar el seguimiento, reporte y monitoreo a los planes y procedimientos institucionales asociados a las TIC´s."/>
    <s v="25 - contrato de prestacion de servicios profesionales"/>
    <n v="80111600"/>
    <n v="2"/>
    <n v="11"/>
    <n v="0"/>
    <n v="74500000"/>
    <x v="0"/>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60"/>
    <x v="0"/>
    <s v="Dirección Tic"/>
    <s v="Paula Ximena Henao Escobar"/>
    <s v="Prestar los servicios profesionales jurídicos para apoyar las actividades propias de la gestión contractual que adelanta la UAE Cuerpo Oficial de Bomberos"/>
    <s v="25 - contrato de prestacion de servicios profesionales"/>
    <n v="80111600"/>
    <n v="2"/>
    <n v="11"/>
    <n v="0"/>
    <n v="780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2199 Otros servicios jurídicos n.c.p."/>
    <s v="Si Secop "/>
  </r>
  <r>
    <n v="20250361"/>
    <x v="0"/>
    <s v="Dirección Tic"/>
    <s v="Paula Ximena Henao Escobar"/>
    <s v="Prestar los servicios profesionales en el área de Tecnologías de la Información y las Comunicaciones de la U.A.E. Cuerpo Oficial de Bomberos Bogotá, desarrollando las actividades administrativas y financieras relacionadas con la gestión contractual y poscontractual asociadas a los procesos, procedimientos y funciones a cargo de esta área."/>
    <s v="25 - contrato de prestacion de servicios profesionales"/>
    <n v="80111600"/>
    <n v="2"/>
    <n v="11"/>
    <n v="0"/>
    <n v="3725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62"/>
    <x v="0"/>
    <s v="Dirección Tic"/>
    <s v="Paula Ximena Henao Escobar"/>
    <s v="Prestar los servicios profesionales en la administración, actualización, desarrollo y mantenimiento del Sistema Integrado de Administración de Personal - SIAP para la U.A.E. Cuerpo Oficial de Bomberos Bogotá."/>
    <s v="25 - contrato de prestacion de servicios profesionales"/>
    <n v="80111600"/>
    <n v="2"/>
    <n v="11"/>
    <n v="0"/>
    <n v="8550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63"/>
    <x v="0"/>
    <s v="Dirección Tic"/>
    <s v="Paula Ximena Henao Escobar"/>
    <s v="Prestar los servicios profesionales en el área de Tecnologías de la Información y las Comunicaciones de la U.A.E. Cuerpo Oficial de Bomberos Bogotá, en la administración, seguimiento, monitoreo y gestión de los sitios web institucionales de la entidad. "/>
    <s v="25 - contrato de prestacion de servicios profesionales"/>
    <n v="80111600"/>
    <n v="2"/>
    <n v="11"/>
    <n v="0"/>
    <n v="68310000"/>
    <x v="0"/>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64"/>
    <x v="0"/>
    <s v="Dirección Tic"/>
    <s v="Paula Ximena Henao Escobar"/>
    <s v="Prestar servicios profesionales para administrar y gestionar los servicios tecnológicos relacionados con la herramienta de mesa de ayuda, directorio activo y herramientas colaborativas de microsoft que le sean asignados por la UAE Cuerpo Oficial de Bomberos de Bogotá - TIC."/>
    <s v="25 - contrato de prestacion de servicios profesionales"/>
    <n v="80111600"/>
    <n v="2"/>
    <n v="11"/>
    <n v="0"/>
    <n v="6400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65"/>
    <x v="0"/>
    <s v="Dirección Tic"/>
    <s v="Paula Ximena Henao Escobar"/>
    <s v="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
    <s v="25 - contrato de prestacion de servicios profesionales"/>
    <n v="80111600"/>
    <n v="2"/>
    <n v="11"/>
    <n v="0"/>
    <n v="748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66"/>
    <x v="0"/>
    <s v="Dirección Tic"/>
    <s v="Paula Ximena Henao Escobar"/>
    <s v="Prestar los servicios de apoyo a la gestión al área de Tecnologías de la Información y las Comunicaciones de la U.A.E. Cuerpo Oficial de Bomberos Bogotá, para el apoyo en la creación de productos audiovisuales y generación de contenidos digitales en la entidad."/>
    <s v="26 - contrato de prestacion de servicios de apoyo a la gestion"/>
    <n v="80111600"/>
    <n v="2"/>
    <n v="11"/>
    <n v="0"/>
    <n v="30400000"/>
    <x v="0"/>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67"/>
    <x v="0"/>
    <s v="Dirección Tic"/>
    <s v="Paula Ximena Henao Escobar"/>
    <s v="Prestar servicios de apoyo a la gestión al área de Tecnologías de la Información y las Comunicaciones de la U.A.E. Cuerpo Oficial de Bomberos Bogotá, en el desarrollo de actividades administrativas, asistenciales y de gestión documental, asociadas a los procesos, procedimientos y contratos a cargo de esta área."/>
    <s v="26 - contrato de prestacion de servicios de apoyo a la gestion"/>
    <n v="80111600"/>
    <n v="2"/>
    <n v="11"/>
    <n v="0"/>
    <n v="330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68"/>
    <x v="0"/>
    <s v="Dirección Tic"/>
    <s v="Paula Ximena Henao Escobar"/>
    <s v="Prestar los servicios de apoyo a la gestión al área de Tecnologías de la Información y las Comunicaciones de la U.A.E. Cuerpo Oficial de Bomberos Bogotá, para adelantar actividades administrativas y técnicas en el soporte técnico nivel (1 y 2) para los servicios tecnológicos de la Entidad."/>
    <s v="26 - contrato de prestacion de servicios de apoyo a la gestion"/>
    <n v="80111600"/>
    <n v="2"/>
    <n v="11"/>
    <n v="0"/>
    <n v="396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69"/>
    <x v="0"/>
    <s v="Dirección Tic"/>
    <s v="Paula Ximena Henao Escobar"/>
    <s v="Prestar los servicios de apoyo a la gestión al área de Tecnologías de la Información y las Comunicaciones de la U.A.E. Cuerpo Oficial de Bomberos Bogotá, para adelantar actividades administrativas y técnicas en el soporte técnico y de infraestructura tecnológica con la que cuenta la Entidad."/>
    <s v="26 - contrato de prestacion de servicios de apoyo a la gestion"/>
    <n v="80111600"/>
    <n v="2"/>
    <n v="11"/>
    <n v="0"/>
    <n v="380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70"/>
    <x v="0"/>
    <s v="Dirección Tic"/>
    <s v="Paula Ximena Henao Escobar"/>
    <s v="Prestar los servicios profesionales al área de Tecnologías de la Información y las Comunicaciones de la U.A.E. Cuerpo Oficial de Bomberos Bogotá, para desarrollar actividades administrativas y de soporte técnico en todos los niveles relacionados con los servicios tecnológicos del Edificio Comando, Estaciones y Supercades, donde la entidad presta sus servicios."/>
    <s v="26 - contrato de prestacion de servicios de apoyo a la gestion"/>
    <n v="80111600"/>
    <n v="2"/>
    <n v="11"/>
    <n v="0"/>
    <n v="225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71"/>
    <x v="0"/>
    <s v="Dirección Tic"/>
    <s v="Paula Ximena Henao Escobar"/>
    <s v="Prestar los servicios profesionales al área de Tecnologías de la Información y las Comunicaciones de la U.A.E. Cuerpo Oficial de Bomberos Bogotá, para gestionar y brindar el soporte técnico de las herramientas tecnológicas desarrolladas en el marco de las funciones de las diferentes áreas y dependencias de la entidad."/>
    <s v="25 - contrato de prestacion de servicios profesionales"/>
    <n v="80111600"/>
    <n v="3"/>
    <n v="10"/>
    <n v="0"/>
    <n v="4500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72"/>
    <x v="0"/>
    <s v="Dirección Tic"/>
    <s v="Paula Ximena Henao Escobar"/>
    <s v="Prestar los servicios profesionales al área de Tecnologías de la Información y las Comunicaciones de la U.A.E. Cuerpo Oficial de Bomberos Bogotá, en el apoyo y acompañamiento técnico para realizar el levantamiento de requerimientos y necesidades de las diferentes áreas y dependencias de la entidad."/>
    <s v="26 - contrato de prestacion de servicios de apoyo a la gestion"/>
    <n v="80111600"/>
    <n v="2"/>
    <n v="11"/>
    <n v="0"/>
    <n v="45000000"/>
    <x v="0"/>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73"/>
    <x v="0"/>
    <s v="Dirección Tic"/>
    <s v="Paula Ximena Henao Escobar"/>
    <s v="Prestar los servicios profesionales al área de Tecnologías de la Información y las Comunicaciones de la U.A.E. Cuerpo Oficial de Bomberos Bogotá, realizando las actividades propias del oficial de seguridad de la infraestructura tecnológica de la entidad."/>
    <s v="25 - contrato de prestacion de servicios profesionales"/>
    <n v="80111600"/>
    <n v="2"/>
    <n v="11"/>
    <n v="0"/>
    <n v="77000000"/>
    <x v="0"/>
    <s v="09 - contratación directa"/>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74"/>
    <x v="0"/>
    <s v="Dirección Tic"/>
    <s v="Paula Ximena Henao Escobar"/>
    <s v="Prestar los servicios profesionales al área de Tecnologías de la Información y las Comunicaciones de la U.A.E. Cuerpo Oficial de Bomberos Bogotá en el seguimiento, desarrollo y mejoramiento de las herramientas tecnológicas de colaboración, creadas como soporte a los procesos misionales de la entidad."/>
    <s v="25 - contrato de prestacion de servicios profesionales"/>
    <n v="80111600"/>
    <n v="2"/>
    <n v="11"/>
    <n v="0"/>
    <n v="7700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75"/>
    <x v="0"/>
    <s v="Dirección Tic"/>
    <s v="Paula Ximena Henao Escobar"/>
    <s v="Prestar los servicios profesionales al área de Tecnologías de la Información y las Comunicaciones de la U.A.E. Cuerpo Oficial de Bomberos Bogotá en el seguimiento, desarrollo y mejoramiento de las herramientas tecnológicas de colaboración, creadas como soporte a los procesos misionales de la entidad."/>
    <s v="25 - contrato de prestacion de servicios profesionales"/>
    <n v="80111600"/>
    <n v="2"/>
    <n v="11"/>
    <n v="0"/>
    <n v="7000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76"/>
    <x v="0"/>
    <s v="Dirección Tic"/>
    <s v="Paula Ximena Henao Escobar"/>
    <s v="Prestar los servicios de apoyo a la gestión al área de Tecnologías de la Información y las Comunicaciones de la U.A.E. Cuerpo Oficial de Bomberos Bogotá, en el proceso de análisis, levantamiento de información, parametrización y testeo de las herramientas tecnológicas de colaboración creadas como soporte a los procesos misionales de la entidad."/>
    <s v="25 - contrato de prestacion de servicios profesionales"/>
    <n v="80111600"/>
    <n v="2"/>
    <n v="11"/>
    <n v="0"/>
    <n v="4041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77"/>
    <x v="0"/>
    <s v="Dirección Tic"/>
    <s v="Paula Ximena Henao Escobar"/>
    <s v="Prestar los servicios de apoyo a la gestión al área de Tecnologías de la Información y las Comunicaciones de la U.A.E. Cuerpo Oficial de Bomberos Bogotá para el levantamiento de requerimientos, documentación, soporte de análisis de datos y publicación de información relacionadas con los procesos, procedimientos y funciones a cargo de esta área."/>
    <s v="25 - contrato de prestacion de servicios profesionales"/>
    <n v="80111600"/>
    <n v="2"/>
    <n v="11"/>
    <n v="0"/>
    <n v="4041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78"/>
    <x v="0"/>
    <s v="Dirección Tic"/>
    <s v="Paula Ximena Henao Escobar"/>
    <s v="Prestar servicios asistenciales al área de Tecnologías de la Información y las Comunicaciones de la U.A.E. Cuerpo Oficial de Bomberos Bogotá, para la gestión y desarrollo de actividades administrativas en los procesos que adelanta el área."/>
    <s v="26 - contrato de prestacion de servicios de apoyo a la gestion"/>
    <n v="80111600"/>
    <n v="2"/>
    <n v="11"/>
    <n v="0"/>
    <n v="304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79"/>
    <x v="0"/>
    <s v="Dirección Tic"/>
    <s v="Paula Ximena Henao Escobar"/>
    <s v="Prestar los servicios profesionales al área de Tecnologías de la Información y las Comunicaciones de la U.A.E. Cuerpo Oficial de Bomberos Bogotá, en los procesos de análisis, revisión de las necesidades y apoyo en las fases iniciales de creación de herramientas tecnológicas implementadas o que se requieran para el funcionamiento y desarrollo de las funciones de las diferentes áreas y dependencias de la entidad. "/>
    <s v="25 - contrato de prestacion de servicios profesionales"/>
    <n v="80111600"/>
    <n v="2"/>
    <n v="11"/>
    <n v="0"/>
    <n v="258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80"/>
    <x v="0"/>
    <s v="Dirección Tic"/>
    <s v="Paula Ximena Henao Escobar"/>
    <s v="Prestar los servicios profesionales al área de Tecnologías de la Información y las Comunicaciones de la U.A.E. Cuerpo Oficial de Bomberos Bogotá, en la estructuración y definición de aspectos jurídicos en las etapas precontractuales, contractuales y postcontractuales en el marco de los procesos y procedimientos a cargo del área. "/>
    <s v="25 - contrato de prestacion de servicios profesionales"/>
    <n v="80111600"/>
    <n v="2"/>
    <n v="11"/>
    <n v="0"/>
    <n v="475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2199 Otros servicios jurídicos n.c.p."/>
    <s v="Si Secop "/>
  </r>
  <r>
    <n v="20250381"/>
    <x v="0"/>
    <s v="Dirección Tic"/>
    <s v="Paula Ximena Henao Escobar"/>
    <s v="Prestar los servicios profesionales al área de Tecnologías de la Información y las Comunicaciones de la U.A.E. Cuerpo Oficial de Bomberos Bogotá, en la sustanciación, revisión y trámite de los procesos contractuales y gestión jurídica de los procedimientos a cargo del área."/>
    <s v="25 - contrato de prestacion de servicios profesionales"/>
    <n v="80111600"/>
    <n v="2"/>
    <n v="11"/>
    <n v="0"/>
    <n v="390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2199 Otros servicios jurídicos n.c.p."/>
    <s v="Si Secop "/>
  </r>
  <r>
    <n v="20250383"/>
    <x v="0"/>
    <s v="Dirección Tic"/>
    <s v="Paula Ximena Henao Escobar"/>
    <s v="Contratar la prestación del servicio de monitoreo, control y seguimiento satelital a los vehículos de propiedad de la U.A.E. Cuerpo Oficial de Bomberos de Bogotá - TIC"/>
    <s v="03 - contrato de prestacion de servicios"/>
    <s v="83121700; 83111600; 43221700; 25173100;  81112000; 32101600 "/>
    <n v="3"/>
    <n v="9"/>
    <n v="0"/>
    <n v="95933779"/>
    <x v="0"/>
    <s v="17 - acuerdo marco de precios"/>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385"/>
    <x v="0"/>
    <s v="Dirección Tic"/>
    <s v="Paula Ximena Henao Escobar"/>
    <s v="Adquisición de un certificado digital servidor seguro SSL para múltiples subdominios y aplicaciones para los sistemas misionales de la UAE cuerpo oficial de bomberos de Bogotá"/>
    <s v="06 - contrato de compraventa"/>
    <n v="81111801"/>
    <n v="10"/>
    <n v="12"/>
    <n v="0"/>
    <n v="9000000"/>
    <x v="0"/>
    <s v="04 - contratación mínima cuantí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386"/>
    <x v="0"/>
    <s v="Dirección Tic"/>
    <s v="Paula Ximena Henao Escobar"/>
    <s v="Contratar la renovación del licenciamiento y soporte de las plataformas de seguridad perimetral Fortinet, firewalls y WAF del edificio comando y estaciones para la U.A.E. Cuerpo Oficial de Bomberos de Bogotá - TIC"/>
    <s v="22 - contrato de adquisicion de bienes"/>
    <s v="43233200;43222500"/>
    <n v="3"/>
    <n v="9"/>
    <n v="0"/>
    <n v="216142630"/>
    <x v="0"/>
    <s v="03 - selec. abrev. subasta inversa"/>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388"/>
    <x v="0"/>
    <s v="Dirección Tic"/>
    <s v="Paula Ximena Henao Escobar"/>
    <s v="Contratar la adquisición, renovación y  suscripciones de licencia Microsoft para la U.A.E. Cuerpo Oficial de Bomberos de Bogotá - TIC"/>
    <s v="03 - contrato de prestacion de servicios"/>
    <s v="43231512;81112501"/>
    <n v="3"/>
    <n v="9"/>
    <n v="0"/>
    <n v="688906483"/>
    <x v="0"/>
    <s v="17 - acuerdo marco de precios"/>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r>
  <r>
    <n v="20250389"/>
    <x v="0"/>
    <s v="Dirección Tic"/>
    <s v="Paula Ximena Henao Escobar"/>
    <s v="Contratar el alquiler de equipos tecnológicos, periféricos y servicios complementarios para la U.A.E. Cuerpo Oficial de Bomberos de Bogotá. - TIC"/>
    <s v="23 - contrato de alquiler"/>
    <n v="81112401"/>
    <n v="3"/>
    <n v="9"/>
    <n v="0"/>
    <n v="26656000"/>
    <x v="0"/>
    <s v="04 - contratación mínima cuantí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r>
  <r>
    <n v="20250390"/>
    <x v="0"/>
    <s v="Dirección Tic"/>
    <s v="Paula Ximena Henao Escobar"/>
    <s v="Contratar el servicio de soporte y mantenimiento del sistema de gestión documental  para la U.A.E. Cuerpo Oficial de Bomberos de Bogotá- TIC"/>
    <s v="13 - orden de servicio"/>
    <s v="43233000;81112200"/>
    <n v="3"/>
    <n v="9"/>
    <n v="0"/>
    <n v="16900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394"/>
    <x v="0"/>
    <s v="Dirección Tic"/>
    <s v="Paula Ximena Henao Escobar"/>
    <s v="Contratar el servicio de mantenimiento preventivo y correctivo de los radios portátiles y móviles marca motorola propiedad de la U.A.E. Cuerpo Oficial de Bomberos de Bogotá - TIC"/>
    <s v="03 - contrato de prestacion de servicios"/>
    <s v="72151607;72103302"/>
    <n v="3"/>
    <n v="9"/>
    <n v="0"/>
    <n v="5000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396"/>
    <x v="0"/>
    <s v="Dirección Tic"/>
    <s v="Paula Ximena Henao Escobar"/>
    <s v="Contratar la adquisicion, modernizacion y mantenimiento preventivo y correctivo de UPS,  aires acondicionados con suministro de repuestos, para todas las sedes de la U.A.E. Cuerpo Oficial de Bomberos de Bogotá - TIC."/>
    <s v="17 - contrato de mantenimiento"/>
    <s v="72151500; 72101500; 731521000; 39121600; 39121000; 72151500; 72101500; 73152100."/>
    <n v="3"/>
    <n v="9"/>
    <n v="0"/>
    <n v="200000000"/>
    <x v="0"/>
    <s v="03 - selec. abrev. subasta invers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397"/>
    <x v="0"/>
    <s v="Dirección Tic"/>
    <s v="Paula Ximena Henao Escobar"/>
    <s v="Adquirir la plataforma de geolocalización ArcGIS para el fortalecimiento de los objetivos misionales de la U.A.E Cuerpo Oficial de bomberos"/>
    <s v="19 - contrato de renovacion de licencias"/>
    <n v="81112217"/>
    <n v="10"/>
    <n v="12"/>
    <n v="0"/>
    <n v="168943898"/>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No Secop"/>
  </r>
  <r>
    <n v="20250398"/>
    <x v="0"/>
    <s v="Dirección Tic"/>
    <s v="Paula Ximena Henao Escobar"/>
    <s v="Contratar la adquisición de usuarios de ArcGis para la U.A.E. Cuerpo Oficial de Bomberos de Bogotá. - TIC"/>
    <s v="19 - contrato de renovacion de licencias"/>
    <n v="81112217"/>
    <n v="1"/>
    <n v="12"/>
    <n v="0"/>
    <n v="16142952"/>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399"/>
    <x v="0"/>
    <s v="Dirección Tic"/>
    <s v="Paula Ximena Henao Escobar"/>
    <s v="Contratar la adquisición de tarjetas de comunicación satelital de voz, para la U.A.E. Cuerpo Oficial de Bomberos de Bogotá. "/>
    <s v="03 - contrato de prestacion de servicios"/>
    <s v="83121700;83111600;43221700"/>
    <n v="3"/>
    <n v="12"/>
    <n v="0"/>
    <n v="30000000"/>
    <x v="0"/>
    <s v="04 - contratación mínima cuantí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401"/>
    <x v="0"/>
    <s v="Dirección Tic"/>
    <s v="Paula Ximena Henao Escobar"/>
    <s v="Contratar la adquisición de equipo, software e insumos para la generación de carnets, para la U.A.E. Cuerpo Oficial de Bomberos de Bogotá."/>
    <s v="06 - contrato de compraventa"/>
    <s v="43212105, 43212110,43212115"/>
    <n v="3"/>
    <n v="9"/>
    <n v="0"/>
    <n v="9999570"/>
    <x v="0"/>
    <s v="17 - acuerdo marco de precios"/>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402"/>
    <x v="0"/>
    <s v="Dirección Tic"/>
    <s v="Paula Ximena Henao Escobar"/>
    <s v="Contratar la adquisición de antenas y servicio de internet satelital, para la U.A.E. Cuerpo Oficial de Bomberos de Bogotá."/>
    <s v="03 - contrato de prestacion de servicios"/>
    <s v="83121700;83111600;43221700"/>
    <n v="3"/>
    <n v="9"/>
    <n v="0"/>
    <n v="34554076"/>
    <x v="0"/>
    <s v="17 - acuerdo marco de precios"/>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r>
  <r>
    <n v="20250410"/>
    <x v="1"/>
    <s v="Sub. Gestión Corporativa"/>
    <s v="Fatima Veronica Quintero Nuñez"/>
    <s v=" Reconocimiento y pago Pasivo Exigible contrato de interventoría No 510 de 2022 suscrito con MC ARQUITECTOS S A, cuyo objeto es Elaboración de estudios y diseños técnicos para la construcción de la estación de bomberos de Caobos Salazar B-13 de la UAE Cuerpo Oficial de Bomberos de Bogotá – SGC"/>
    <s v="12 - resolucion"/>
    <s v="N/A"/>
    <s v="N/A"/>
    <s v="N/A"/>
    <s v="N/A"/>
    <n v="35469000"/>
    <x v="2"/>
    <s v=" 91 - n/a acto administrativo (resolución, decreto, acuerdo, etc.)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5040554590 Otros servicios especializados de la construcción"/>
    <s v="No Secop"/>
  </r>
  <r>
    <n v="20250411"/>
    <x v="0"/>
    <s v="Sub. Gestión Corporativa"/>
    <s v="Fatima Veronica Quintero Nuñez"/>
    <s v="Contratar la prestación del servicio de aseo y cafetería incluido insumos para la UAE Cuerpo Oficial de Bomberos -SGC"/>
    <s v="01 - orden de compra"/>
    <s v="44121700;44121800;44121900;44122000"/>
    <n v="2"/>
    <n v="11"/>
    <n v="0"/>
    <n v="16805758"/>
    <x v="0"/>
    <s v=" 17 - acuerdo marco de precios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330 Servicios de limpieza general"/>
    <s v="Si Secop "/>
  </r>
  <r>
    <n v="20250412"/>
    <x v="0"/>
    <s v="Sub. Gestión Corporativa"/>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13"/>
    <x v="0"/>
    <s v="Sub. Gestión Corporativa"/>
    <s v="Fatima Veronica Quintero Nuñez"/>
    <s v="Prestación de servicios profesionales para articular la gestión en la ejecución de los planes y programas de servicio al ciudadano a cargo de la Subdirección de Gestión Corporativa.-SGC"/>
    <s v="25 - contrato de prestacion de servicios profesionales"/>
    <s v="80111600;"/>
    <n v="2"/>
    <n v="11"/>
    <n v="0"/>
    <n v="6380980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14"/>
    <x v="0"/>
    <s v="Sub. Gestión Corporativa"/>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15"/>
    <x v="0"/>
    <s v="Sub. Gestión Corporativa"/>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16"/>
    <x v="0"/>
    <s v="Sub. Gestión Corporativa"/>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17"/>
    <x v="0"/>
    <s v="Sub. Gestión Corporativa"/>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18"/>
    <x v="0"/>
    <s v="Sub. Gestión Corporativa"/>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19"/>
    <x v="0"/>
    <s v="Sub. Gestión Corporativa"/>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20"/>
    <x v="0"/>
    <s v="Sub. Gestión Corporativa"/>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700000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21"/>
    <x v="0"/>
    <s v="Sub. Gestión Corporativa"/>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22"/>
    <x v="0"/>
    <s v="Sub. Gestión Corporativa"/>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23"/>
    <x v="0"/>
    <s v="Sub. Gestión Corporativa"/>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24"/>
    <x v="0"/>
    <s v="Sub. Gestión Corporativa"/>
    <s v="Fatima Veronica Quintero Nuñez"/>
    <s v="Prestación de servicios profesionales en la Subdirección de Gestión Corporativa adelantando las actividades necesarias para la ejecución del programa y los procesos de seguros de la Entidad-SGC"/>
    <s v="25 - contrato de prestacion de servicios profesionales"/>
    <s v="80111600;"/>
    <n v="2"/>
    <n v="11"/>
    <n v="0"/>
    <n v="6400000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25"/>
    <x v="0"/>
    <s v="Sub. Gestión Corporativa"/>
    <s v="Fatima Veronica Quintero Nuñez"/>
    <s v="Prestación de servicios de apoyo en la gestión de seguros de la Subdirección de Gestión Corporativa. –SGC"/>
    <s v="26 - contrato de prestacion de servicios de apoyo a la gestion"/>
    <s v="80111600;"/>
    <n v="2"/>
    <n v="11"/>
    <n v="0"/>
    <n v="30028145"/>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26"/>
    <x v="0"/>
    <s v="Sub. Gestión Corporativa"/>
    <s v="Fatima Veronica Quintero Nuñez"/>
    <s v="Prestación de servicios profesionales para apoyar a la Subdirección de Gestión Corporativa aplicando los procesos y procedimientos de seguros e inventarios -SGC"/>
    <s v="25 - contrato de prestacion de servicios profesionales"/>
    <s v="80111600;"/>
    <n v="2"/>
    <n v="11"/>
    <n v="0"/>
    <n v="41288696"/>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27"/>
    <x v="0"/>
    <s v="Sub. Gestión Corporativa"/>
    <s v="Fatima Veronica Quintero Nuñez"/>
    <s v="Prestación de servicios de apoyo a la gestión de seguros de la Subdirección de Gestión Corporativa. –SGC"/>
    <s v="26 - contrato de prestacion de servicios de apoyo a la gestion"/>
    <s v="80111600;"/>
    <n v="2"/>
    <n v="11"/>
    <n v="0"/>
    <n v="2955895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28"/>
    <x v="0"/>
    <s v="Sub. Gestión Corporativa"/>
    <s v="Fatima Veronica Quintero Nuñez"/>
    <s v="Prestación de servicios profesionales en la Subdirección de Gestión Corporativa en las actividades relacionadas con MIPG-SGC"/>
    <s v="25 - contrato de prestacion de servicios profesionales"/>
    <s v="80111600;"/>
    <n v="2"/>
    <n v="11"/>
    <n v="0"/>
    <n v="66356829"/>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29"/>
    <x v="0"/>
    <s v="Sub. Gestión Corporativa"/>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5600000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430"/>
    <x v="0"/>
    <s v="Sub. Gestión Corporativa"/>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31"/>
    <x v="0"/>
    <s v="Sub. Gestión Corporativa"/>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32"/>
    <x v="0"/>
    <s v="Sub. Gestión Corporativa"/>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33"/>
    <x v="0"/>
    <s v="Sub. Gestión Corporativa"/>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34"/>
    <x v="0"/>
    <s v="Sub. Gestión Corporativa"/>
    <s v="Fatima Veronica Quintero Nuñez"/>
    <s v="Prestar servicios profesionales en la Subdirección de Gestión Corporativa en lo relacionado con los procesos de inventarios, almacén y bajas-SGC"/>
    <s v="25 - contrato de prestacion de servicios profesionales"/>
    <s v="80111600;"/>
    <n v="2"/>
    <n v="11"/>
    <n v="0"/>
    <n v="7200000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36"/>
    <x v="0"/>
    <s v="Sub. Gestión Corporativa"/>
    <s v="Fatima Veronica Quintero Nuñez"/>
    <s v="Prestar servicios profesionales para desarrollar e implementar sistemas de información, brindar soporte, mantenimiento y generar interoperabilidad con la Subdirección de Gestión Corporativa -SGC"/>
    <s v="25 - contrato de prestacion de servicios profesionales"/>
    <s v="80111600;"/>
    <n v="2"/>
    <n v="11"/>
    <n v="0"/>
    <n v="5992000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37"/>
    <x v="0"/>
    <s v="Sub. Gestión Corporativa"/>
    <s v="Fatima Veronica Quintero Nuñez"/>
    <s v="Prestación de servicios profesionales para la ejecución de los procesos contables que se desarrollan en el Área Financiera de la UAE Cuerpo Oficial de Bomberos asignados. -SGC"/>
    <s v="25 - contrato de prestacion de servicios profesionales"/>
    <s v="80111600;"/>
    <n v="2"/>
    <n v="11"/>
    <n v="0"/>
    <n v="61530876"/>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38"/>
    <x v="0"/>
    <s v="Sub. Gestión Corporativa"/>
    <s v="Fatima Veronica Quintero Nuñez"/>
    <s v="Prestación de servicios de apoyo a la gestión documental de la Subdirección de Gestión Corporativa de la Unidad.-SGC."/>
    <s v="26 - contrato de prestacion de servicios de apoyo a la gestion"/>
    <s v="80111600;"/>
    <n v="2"/>
    <n v="11"/>
    <n v="0"/>
    <n v="253362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39"/>
    <x v="0"/>
    <s v="Sub. Gestión Corporativa"/>
    <s v="Fatima Veronica Quintero Nuñez"/>
    <s v="Prestación de servicios profesionales en el acompañamiento y asistencia al proceso de gestión documental de la UAE Cuerpo oficial de Bomberos, así como en el apoyo a la supervisión de los contratos que le sean asignados. -SGC"/>
    <s v="25 - contrato de prestacion de servicios profesionales"/>
    <s v="80111600;"/>
    <n v="2"/>
    <n v="11"/>
    <n v="0"/>
    <n v="4644978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40"/>
    <x v="0"/>
    <s v="Sub. Gestión Corporativa"/>
    <s v="Fatima Veronica Quintero Nuñez"/>
    <s v="Prestación de servicios de apoyo a la gestión documental de la Subdirección de Gestión Corporativa de la Unidad.-SGC"/>
    <s v="26 - contrato de prestacion de servicios de apoyo a la gestion"/>
    <s v="80111600;"/>
    <n v="2"/>
    <n v="11"/>
    <n v="0"/>
    <n v="33178419"/>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42"/>
    <x v="0"/>
    <s v="Sub. Gestión Corporativa"/>
    <s v="Fatima Veronica Quintero Nuñez"/>
    <s v="Prestación de servicios de apoyo a la gestión documental de la Subdirección de Gestión Corporativa de la Unidad.-SGC"/>
    <s v="26 - contrato de prestacion de servicios de apoyo a la gestion"/>
    <s v="80111600;"/>
    <n v="2"/>
    <n v="11"/>
    <n v="0"/>
    <n v="1970597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43"/>
    <x v="0"/>
    <s v="Sub. Gestión Corporativa"/>
    <s v="Fatima Veronica Quintero Nuñez"/>
    <s v="Prestación de servicios de apoyo a la gestión documental de la Subdirección de Gestión Corporativa de la Unidad.-SGC"/>
    <s v="26 - contrato de prestacion de servicios de apoyo a la gestion"/>
    <s v="80111600;"/>
    <n v="2"/>
    <n v="11"/>
    <n v="0"/>
    <n v="2480000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44"/>
    <x v="0"/>
    <s v="Sub. Gestión Corporativa"/>
    <s v="Fatima Veronica Quintero Nuñez"/>
    <s v="Prestación de servicios profesionales para la implementación, consolidación, seguimiento y reporte de los lineamientos ambientales establecidos en el Programa de Información y Gestión Ambiental (PIGA) en cada una de las sedes de la UAE Cuerpo Oficial de Bomberos Bogotá-SGC."/>
    <s v="25 - contrato de prestacion de servicios profesionales"/>
    <s v="80111600;"/>
    <n v="2"/>
    <n v="11"/>
    <n v="0"/>
    <n v="4644978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45"/>
    <x v="0"/>
    <s v="Sub. Gestión Corporativa"/>
    <s v="Fatima Veronica Quintero Nuñez"/>
    <s v="Prestación de servicios profesionales para la implementación, consolidación, seguimiento y reporte de los lineamientos ambientales en cada una de las sedes de la entidad, con énfasis en los equipos de trabajo de la Subdirección de Gestión Corporativa (SGC), incluyendo el desarrollo y ejecución del programa PIGA de comunicación, formación y sensibilización ambiental"/>
    <s v="25 - contrato de prestacion de servicios profesionales"/>
    <s v="80111600;"/>
    <n v="2"/>
    <n v="11"/>
    <n v="0"/>
    <n v="4644978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46"/>
    <x v="0"/>
    <s v="Sub. Gestión Corporativa"/>
    <s v="Fatima Veronica Quintero Nuñez"/>
    <s v="Prestación de servicios profesionales para la implementación, seguimiento y reporte de los lineamientos ambientales en las sedes de la entidad, con énfasis en los equipos de la Subdirección de Gestión Corporativa (SGC), incluyendo el desarrollo y ejecución del programa de consumo sostenible, promoviendo prácticas responsables en el uso de recursos y su optimización."/>
    <s v="25 - contrato de prestacion de servicios profesionales"/>
    <s v="80111600;"/>
    <n v="2"/>
    <n v="11"/>
    <n v="0"/>
    <n v="4644978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47"/>
    <x v="0"/>
    <s v="Sub. Gestión Corporativa"/>
    <s v="Fatima Veronica Quintero Nuñez"/>
    <s v="Prestar los servicios profesionales para la gestión administrativa y operativa de la Subdirección de Gestión Corporativa en el proceso de adquisición de bienes y servicios - SGC"/>
    <s v="25 - contrato de prestacion de servicios profesionales"/>
    <s v="80111600;"/>
    <n v="2"/>
    <n v="11"/>
    <n v="0"/>
    <n v="61530876"/>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48"/>
    <x v="0"/>
    <s v="Sub. Gestión Corporativa"/>
    <s v="Fatima Veronica Quintero Nuñez"/>
    <s v="Prestar los servicios como conductor de la Subdirección de Gestión Corporativa -SGC"/>
    <s v="26 - contrato de prestacion de servicios de apoyo a la gestion"/>
    <s v="80111600;"/>
    <n v="2"/>
    <n v="11"/>
    <n v="0"/>
    <n v="3460000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49"/>
    <x v="0"/>
    <s v="Sub. Gestión Corporativa"/>
    <s v="Fatima Veronica Quintero Nuñez"/>
    <s v="Prestación de servicios de apoyo a la gestión en la Subdirección de Gestión Corporativa, en las actividades asociadas a los procesos y procedimientos del almacén de la Entidad.- SGC"/>
    <s v="26 - contrato de prestacion de servicios de apoyo a la gestion"/>
    <s v="80111600;"/>
    <n v="2"/>
    <n v="11"/>
    <n v="0"/>
    <n v="33178419"/>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50"/>
    <x v="0"/>
    <s v="Sub. Gestión Corporativa"/>
    <s v="Fatima Veronica Quintero Nuñez"/>
    <s v="Prestar servicios profesionales en la Subdirección de Gestión Corporativa en el marco de las actividades administrativas de la Dependencia.-SGC"/>
    <s v="25 - contrato de prestacion de servicios profesionales"/>
    <s v="80111600;"/>
    <n v="2"/>
    <n v="11"/>
    <n v="0"/>
    <n v="61530876"/>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51"/>
    <x v="0"/>
    <s v="Sub. Gestión Corporativa"/>
    <s v="Fatima Veronica Quintero Nuñez"/>
    <s v="Prestación de servicios profesionales, en temas jurídicos de la gestión administrativa a cargo de la Subdirección de Gestión Corporativa.- SGC"/>
    <s v="25 - contrato de prestacion de servicios profesionales"/>
    <s v="80111600;"/>
    <n v="2"/>
    <n v="11"/>
    <n v="0"/>
    <n v="4644978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452"/>
    <x v="0"/>
    <s v="Sub. Gestión Corporativa"/>
    <s v="Fatima Veronica Quintero Nuñez"/>
    <s v="Mantenimiento preventivo y correctivo, que incluye el suministro de insumos y repuestos de las plantas eléctricas ubicadas en los diferentes edificios de la Unidad Administrativa Especial del Cuerpo Oficial de Bomberos Bogotá D.C -SGC"/>
    <s v="17 - contrato de mantenimiento"/>
    <s v="72151800;_x000a_72151502;_x000a_72151505;_x000a_73152108;"/>
    <n v="3"/>
    <n v="8"/>
    <n v="0"/>
    <n v="60000000"/>
    <x v="0"/>
    <s v=" 04 - contratación mínima cuantí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999 Servicio de mantenimiento y reparación de otros equipos n.c.p."/>
    <s v="Si Secop "/>
  </r>
  <r>
    <n v="20250453"/>
    <x v="0"/>
    <s v="Sub. Gestión Corporativa"/>
    <s v="Fatima Veronica Quintero Nuñez"/>
    <s v="Mantenimiento preventivo y correctivo, que incluye el suministro de insumos y repuestos de las lavadoras y secadoras industriales ubicadas en las estaciones de bomberos de la UAE Cuerpo Oficial de Bomberos de Bogotá-SGC"/>
    <s v="17 - contrato de mantenimiento"/>
    <s v="47111502;_x000a_47111503;_x000a_73151802;_x000a_73152100;"/>
    <n v="4"/>
    <n v="8"/>
    <n v="0"/>
    <n v="46000000"/>
    <x v="0"/>
    <s v=" 04 - contratación mínima cuantí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999 Servicio de mantenimiento y reparación de otros equipos n.c.p."/>
    <s v="Si Secop "/>
  </r>
  <r>
    <n v="20250454"/>
    <x v="0"/>
    <s v="Sub. Gestión Corporativa"/>
    <s v="Fatima Veronica Quintero Nuñez"/>
    <s v="Adición No. 1 al contrato 478 de 2024 que tiene como objeto &quot;Mantenimiento preventivo y correctivo, que incluye el suministro de insumos y repuestos de las lavadoras y secadoras industriales ubicadas en las estaciones de bomberos de la UAE Cuerpo Oficial de Bomberos de Bogotá-SGC"/>
    <s v="17 - contrato de mantenimiento"/>
    <s v="47111500;_x000a_47111502;_x000a_47111503;_x000a_73151802;_x000a_73152100;"/>
    <n v="3"/>
    <n v="0"/>
    <n v="0"/>
    <n v="26000000"/>
    <x v="0"/>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999 Servicio de mantenimiento y reparación de otros equipos n.c.p."/>
    <s v="No Secop"/>
  </r>
  <r>
    <n v="20250455"/>
    <x v="0"/>
    <s v="Sub. Gestión Corporativa"/>
    <s v="Fatima Veronica Quintero Nuñez"/>
    <s v="Mantenimiento preventivo y/o correctivo, suministros y repuestos de los equipos gasodomésticos y solares y adecuaciones de las redes de gas natural para las Estaciones de Bomberos de UAE Cuerpo Oficial de Bomberos SGC"/>
    <s v="17 - contrato de mantenimiento"/>
    <s v="72151001;_x000a_72101503;_x000a_72101504; 72101506; 72153208; 72154019;_x000a_72154059;_x000a_73152106"/>
    <n v="8"/>
    <n v="8"/>
    <n v="0"/>
    <n v="50000000"/>
    <x v="0"/>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999 Servicio de mantenimiento y reparación de otros equipos n.c.p."/>
    <s v="Si Secop "/>
  </r>
  <r>
    <n v="20250456"/>
    <x v="0"/>
    <s v="Sub. Gestión Corporativa"/>
    <s v="Fatima Veronica Quintero Nuñez"/>
    <s v="Mantenimiento correctivo y/o preventivo, adquisición de repuestos y el suministro e instalación de los equipos hidroneumáticos, motobombas eléctricas, bombas sumergibles, tableros de control y fuerza y demás equipos de bombeo de las instalaciones de la UAE Cuerpo oficial de Bomberos -SGC"/>
    <s v="17 - contrato de mantenimiento"/>
    <s v="72154100; 73152100"/>
    <n v="4"/>
    <n v="10"/>
    <n v="0"/>
    <n v="70000000"/>
    <x v="0"/>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999 Servicio de mantenimiento y reparación de otros equipos n.c.p."/>
    <s v="Si Secop "/>
  </r>
  <r>
    <n v="20250457"/>
    <x v="0"/>
    <s v="Sub. Gestión Corporativa"/>
    <s v="Fatima Veronica Quintero Nuñez"/>
    <s v="Realizar el mantenimiento preventivo, correctivo de puertas automatizadas para las salas de máquinas de las estaciones de la UAE Cuerpo Oficial de Bomberos-SGC"/>
    <s v="17 - contrato de mantenimiento"/>
    <s v="72121400;_x000a_72151700;_x000a_72154109;_x000a_95121700;"/>
    <n v="1"/>
    <n v="9"/>
    <n v="0"/>
    <n v="100000000"/>
    <x v="0"/>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999 Servicio de mantenimiento y reparación de otros equipos n.c.p."/>
    <s v="Si Secop "/>
  </r>
  <r>
    <n v="20250459"/>
    <x v="1"/>
    <s v="Sub. Gestión Corporativa"/>
    <s v="Fatima Veronica Quintero Nuñez"/>
    <s v="Prestación de servicios profesionales para apoyar a la supervisión con las actividades técnicas del Área de Infraestructura de la Subdirección de Gestión Corporativa-SGC"/>
    <s v="25 - contrato de prestacion de servicios profesionales"/>
    <s v="80111600;"/>
    <n v="2"/>
    <n v="11"/>
    <n v="0"/>
    <n v="66356829"/>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Si Secop "/>
  </r>
  <r>
    <n v="20250460"/>
    <x v="1"/>
    <s v="Sub. Gestión Corporativa"/>
    <s v="Fatima Veronica Quintero Nuñez"/>
    <s v="Prestación de servicios profesionales para apoyar las actividades de estructuración de procesos contractuales del Área de Infraestructura de la Subdirección de Gestión Corporativa-SGC"/>
    <s v="25 - contrato de prestacion de servicios profesionales"/>
    <s v="80111600;"/>
    <n v="2"/>
    <n v="11"/>
    <n v="0"/>
    <n v="81000000"/>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Si Secop "/>
  </r>
  <r>
    <n v="20250461"/>
    <x v="1"/>
    <s v="Sub. Gestión Corporativa"/>
    <s v="Fatima Veronica Quintero Nuñez"/>
    <s v="Prestación de servicios profesionales para apoyar las actividades de estructuración de procesos contractuales del Área de Infraestructura de la Subdirección de Gestión Corporativa-SGC"/>
    <s v="25 - contrato de prestacion de servicios profesionales"/>
    <s v="80111600;"/>
    <n v="2"/>
    <n v="11"/>
    <n v="0"/>
    <n v="81000000"/>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883990 Otros servicios profesionales, técnicos y empresariales n.c.p."/>
    <s v="Si Secop "/>
  </r>
  <r>
    <n v="20250462"/>
    <x v="0"/>
    <s v="Sub. Gestión Corporativa"/>
    <s v="Fatima Veronica Quintero Nuñez"/>
    <s v="Prestación de servicios profesionales para adelantar actividades técnicas y trámites administrativos del Área de Infraestructura de la Subdirección de Gestión Corporativa-SGC"/>
    <s v="25 - contrato de prestacion de servicios profesionales"/>
    <s v="80111600;"/>
    <n v="2"/>
    <n v="11"/>
    <n v="0"/>
    <n v="66356829"/>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63"/>
    <x v="0"/>
    <s v="Sub. Gestión Corporativa"/>
    <s v="Fatima Veronica Quintero Nuñez"/>
    <s v="Prestación de servicios profesionales especializados para articular y revisar los procesos y procedimientos del área de infraestructura, así como en el apoyo a la supervisión de los contratos que le sean asignados-SGC"/>
    <s v="25 - contrato de prestacion de servicios profesionales"/>
    <s v="80111600;"/>
    <n v="2"/>
    <n v="11"/>
    <n v="0"/>
    <n v="81000000"/>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64"/>
    <x v="0"/>
    <s v="Sub. Gestión Corporativa"/>
    <s v="Fatima Veronica Quintero Nuñez"/>
    <s v="Prestación de Servicios Profesionales para la formulación, seguimiento y ejecución de procesos presupuestales y financieros a cargo de la Subdirección de Gestión Corporativa -SGC"/>
    <s v="25 - contrato de prestacion de servicios profesionales"/>
    <s v="80111600;"/>
    <n v="2"/>
    <n v="11"/>
    <n v="0"/>
    <n v="83482560"/>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65"/>
    <x v="1"/>
    <s v="Sub. Gestión Corporativa"/>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66356829"/>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882199 Otros servicios jurídicos n.c.p."/>
    <s v="Si Secop "/>
  </r>
  <r>
    <n v="20250466"/>
    <x v="0"/>
    <s v="Sub. Gestión Corporativa"/>
    <s v="Fatima Veronica Quintero Nuñez"/>
    <s v="Prestación de servicios profesionales para atender las necesidades de mantenimiento de las instalaciones y las actividades técnicas y administrativas de competencia del Área de Infraestructura de la Subdirección de Gestión Corporativa-SGC"/>
    <s v="25 - contrato de prestacion de servicios profesionales"/>
    <s v="80111600;"/>
    <n v="2"/>
    <n v="11"/>
    <n v="0"/>
    <n v="61530876"/>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68"/>
    <x v="0"/>
    <s v="Sub. Gestión Corporativa"/>
    <s v="Fatima Veronica Quintero Nuñez"/>
    <s v="Prestación de Servicios Profesionales en temas financieros, administrativas y misionales para apoyar los proyectos de infraestructura de la Subdirección de Gestión Corporativa.- SGC"/>
    <s v="25 - contrato de prestacion de servicios profesionales"/>
    <s v="80111600;"/>
    <n v="2"/>
    <n v="11"/>
    <n v="0"/>
    <n v="61530876"/>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69"/>
    <x v="0"/>
    <s v="Sub. Gestión Corporativa"/>
    <s v="Fatima Veronica Quintero Nuñez"/>
    <s v="Prestar servicios profesionales especializados para acompañar jurídicamente los procesos y procedimientos del área de infraestructura de la Subdirección de Gestión Corporativa. SGC"/>
    <s v="25 - contrato de prestacion de servicios profesionales"/>
    <s v="80111600;"/>
    <n v="2"/>
    <n v="11"/>
    <n v="0"/>
    <n v="83482560"/>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470"/>
    <x v="0"/>
    <s v="Sub. Gestión Corporativa"/>
    <s v="Fatima Veronica Quintero Nuñez"/>
    <s v="Prestación de servicios profesionales para apoyar las actividades técnicas del Área de Infraestructura de la Subdirección de Gestión Corporativa-SGC"/>
    <s v="25 - contrato de prestacion de servicios profesionales"/>
    <s v="80111600;"/>
    <n v="2"/>
    <n v="11"/>
    <n v="0"/>
    <n v="66356829"/>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71"/>
    <x v="0"/>
    <s v="Sub. Gestión Corporativa"/>
    <s v="Fatima Veronica Quintero Nuñez"/>
    <s v="Prestar servicios profesionales con el fin de atender los trámites ambientales y los demás que requiera el área de Infraestructura de la Subdirección de Gestión Corporativa. SGC"/>
    <s v="25 - contrato de prestacion de servicios profesionales"/>
    <s v="80111600;"/>
    <n v="2"/>
    <n v="11"/>
    <n v="0"/>
    <n v="46449783"/>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72"/>
    <x v="0"/>
    <s v="Sub. Gestión Corporativa"/>
    <s v="Fatima Veronica Quintero Nuñez"/>
    <s v="Prestar los servicios como conductor de la Subdirección de Gestión Corporativa -SGC"/>
    <s v="26 - contrato de prestacion de servicios de apoyo a la gestion"/>
    <s v="80111600;"/>
    <n v="2"/>
    <n v="11"/>
    <n v="0"/>
    <n v="31140000"/>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73"/>
    <x v="0"/>
    <s v="Sub. Gestión Corporativa"/>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0"/>
    <n v="11"/>
    <n v="29558952"/>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74"/>
    <x v="0"/>
    <s v="Sub. Gestión Corporativa"/>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29558952"/>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75"/>
    <x v="0"/>
    <s v="Sub. Gestión Corporativa"/>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29558952"/>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76"/>
    <x v="0"/>
    <s v="Sub. Gestión Corporativa"/>
    <s v="Fatima Veronica Quintero Nuñez"/>
    <s v="Prestar los servicios profesionales en los trámites técnicos y administrativos para la adquisición de los bienes y servicios del Área de Infraestructura de la Subdirección de Gestión Corporativa-SGC"/>
    <s v="25 - contrato de prestacion de servicios profesionales"/>
    <s v="80111600;"/>
    <n v="2"/>
    <n v="11"/>
    <n v="0"/>
    <n v="46449783"/>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77"/>
    <x v="0"/>
    <s v="Sub. Gestión Corporativa"/>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29558952"/>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78"/>
    <x v="0"/>
    <s v="Sub. Gestión Corporativa"/>
    <s v="Fatima Veronica Quintero Nuñez"/>
    <s v="Prestación de servicios profesionales al área Financiera de la Subdirección de Gestión Corporativa--SGC"/>
    <s v="25 - contrato de prestacion de servicios profesionales"/>
    <s v="80111600;"/>
    <n v="2"/>
    <n v="11"/>
    <n v="0"/>
    <n v="542919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79"/>
    <x v="0"/>
    <s v="Sub. Gestión Corporativa"/>
    <s v="Fatima Veronica Quintero Nuñez"/>
    <s v="Prestación de servicios profesionales al área Financiera de la Subdirección de Gestión Corporativa--SGC"/>
    <s v="25 - contrato de prestacion de servicios profesionales"/>
    <s v="80111600;"/>
    <n v="2"/>
    <n v="11"/>
    <n v="0"/>
    <n v="542919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80"/>
    <x v="0"/>
    <s v="Sub. Gestión Corporativa"/>
    <s v="Fatima Veronica Quintero Nuñez"/>
    <s v="Prestación de servicios de apoyo a la gestión del área Financiera de la Subdirección de Gestión Corporativa.-SGC"/>
    <s v="26 - contrato de prestacion de servicios de apoyo a la gestion"/>
    <s v="80111600;"/>
    <n v="2"/>
    <n v="11"/>
    <n v="0"/>
    <n v="40417344"/>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81"/>
    <x v="0"/>
    <s v="Sub. Gestión Corporativa"/>
    <s v="Fatima Veronica Quintero Nuñez"/>
    <s v="Prestación de servicios profesionales para el seguimiento, ejecución de los procesos de gestión de pagos que se desarrollan en el área Financiera de la UAE Cuerpo Oficial de Bomberos asignados. -SGC"/>
    <s v="25 - contrato de prestacion de servicios profesionales"/>
    <s v="80111600;"/>
    <n v="2"/>
    <n v="11"/>
    <n v="0"/>
    <n v="542919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83"/>
    <x v="2"/>
    <s v="Sub. Gestión Corporativa"/>
    <s v="Fatima Veronica Quintero Nuñez"/>
    <s v="Contratar el servicio de saneamiento ambiental, corte de césped, jardinería, poda y tala de árboles para las sedes (predios y/o estaciones) de la UAECOB-SGC"/>
    <s v="03 - contrato de prestacion de servicios"/>
    <s v="72102104; 76101503; 70111503; 72154055; 70111703; 70111706;"/>
    <n v="1"/>
    <n v="10"/>
    <n v="0"/>
    <n v="240000000"/>
    <x v="1"/>
    <s v=" 02 - selec. abrev. menor cuantía "/>
    <s v="No aplica"/>
    <s v="NA"/>
    <s v="NA"/>
    <s v="NA"/>
    <s v="N/A"/>
    <s v="N/A"/>
    <s v="N/A-N/A"/>
    <s v="N/A"/>
    <s v="N/A"/>
    <s v="N/A_N/A"/>
    <s v="N/A-N/A N/A_N/A"/>
    <s v="NANANAN/AN/A"/>
    <s v="N/A"/>
    <s v=" No Aplica "/>
    <s v="Si Secop "/>
  </r>
  <r>
    <n v="20250484"/>
    <x v="2"/>
    <s v="Sub. Gestión Corporativa"/>
    <s v="Fatima Veronica Quintero Nuñez"/>
    <s v="Contratar la prestación del servicio de aseo y cafetería incluido insumos para la UAE Cuerpo Oficial de Bomberos -SGC"/>
    <s v="03 - contrato de prestacion de servicios"/>
    <s v="44121700;44121800;44121900;44122000"/>
    <n v="2"/>
    <n v="11"/>
    <n v="0"/>
    <n v="147853623"/>
    <x v="1"/>
    <s v=" 17 - acuerdo marco de precios "/>
    <s v="No aplica"/>
    <s v="NA"/>
    <s v="NA"/>
    <s v="NA"/>
    <s v="N/A"/>
    <s v="N/A"/>
    <s v="N/A-N/A"/>
    <s v="N/A"/>
    <s v="N/A"/>
    <s v="N/A_N/A"/>
    <s v="N/A-N/A N/A_N/A"/>
    <s v="NANANAN/AN/A"/>
    <s v="N/A"/>
    <s v=" No Aplica "/>
    <s v="Si Secop "/>
  </r>
  <r>
    <n v="20250485"/>
    <x v="2"/>
    <s v="Sub. Gestión Corporativa"/>
    <s v="Fatima Veronica Quintero Nuñez"/>
    <s v="Contratar la prestación del servicio de aseo y cafetería incluido insumos para la UAE Cuerpo Oficial de Bomberos -SGC"/>
    <s v="03 - contrato de prestacion de servicios"/>
    <s v="44121700;44121800;44121900;44122000"/>
    <n v="2"/>
    <n v="11"/>
    <n v="0"/>
    <n v="453335302"/>
    <x v="1"/>
    <s v=" 17 - acuerdo marco de precios "/>
    <s v="No aplica"/>
    <s v="NA"/>
    <s v="NA"/>
    <s v="NA"/>
    <s v="N/A"/>
    <s v="N/A"/>
    <s v="N/A-N/A"/>
    <s v="N/A"/>
    <s v="N/A"/>
    <s v="N/A_N/A"/>
    <s v="N/A-N/A N/A_N/A"/>
    <s v="NANANAN/AN/A"/>
    <s v="N/A"/>
    <s v=" No Aplica "/>
    <s v="Si Secop "/>
  </r>
  <r>
    <n v="20250486"/>
    <x v="2"/>
    <s v="Sub. Gestión Corporativa"/>
    <s v="Fatima Veronica Quintero Nuñez"/>
    <s v="Arrendamiento de instalaciones estación Ferias-SGC"/>
    <s v="07 - contrato de arrendamiento"/>
    <s v="80131502;"/>
    <n v="1"/>
    <n v="12"/>
    <n v="0"/>
    <n v="157080000"/>
    <x v="1"/>
    <s v=" 09 - contratación directa "/>
    <s v="No aplica"/>
    <s v="NA"/>
    <s v="NA"/>
    <s v="NA"/>
    <s v="N/A"/>
    <s v="N/A"/>
    <s v="N/A-N/A"/>
    <s v="N/A"/>
    <s v="N/A"/>
    <s v="N/A_N/A"/>
    <s v="N/A-N/A N/A_N/A"/>
    <s v="NANANAN/AN/A"/>
    <s v="N/A"/>
    <s v=" No Aplica "/>
    <s v="Si Secop "/>
  </r>
  <r>
    <n v="20250487"/>
    <x v="2"/>
    <s v="Sub. Gestión Corporativa"/>
    <s v="Fatima Veronica Quintero Nuñez"/>
    <s v="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03 - contrato de prestacion de servicios"/>
    <s v="78102206;"/>
    <n v="3"/>
    <n v="12"/>
    <n v="0"/>
    <n v="139858097"/>
    <x v="1"/>
    <s v=" 09 - contratación directa "/>
    <s v="No aplica"/>
    <s v="NA"/>
    <s v="NA"/>
    <s v="NA"/>
    <s v="N/A"/>
    <s v="N/A"/>
    <s v="N/A-N/A"/>
    <s v="N/A"/>
    <s v="N/A"/>
    <s v="N/A_N/A"/>
    <s v="N/A-N/A N/A_N/A"/>
    <s v="NANANAN/AN/A"/>
    <s v="N/A"/>
    <s v="No Aplica"/>
    <s v="No Secop"/>
  </r>
  <r>
    <n v="20250488"/>
    <x v="2"/>
    <s v="Sub. Gestión Corporativa"/>
    <s v="Fatima Veronica Quintero Nuñez"/>
    <s v="Suministro  de implementos  de  papelería y oficina para las dependencias de la UAE Cuerpo  Oficial de Bomberos-SGC"/>
    <s v="08 - contrato de suministro"/>
    <s v="14111500;_x000a_14111800;_x000a_44121700; _x000a_44121800; _x000a_44122000; _x000a_44122100;_x000a_44121600;_x000a_60101900;_x000a_27112300;_x000a_60105700;"/>
    <n v="4"/>
    <n v="6"/>
    <n v="0"/>
    <n v="51570633"/>
    <x v="1"/>
    <s v="03 - selec. abrev. subasta inversa"/>
    <s v="No aplica"/>
    <s v="NA"/>
    <s v="NA"/>
    <s v="NA"/>
    <s v="N/A"/>
    <s v="N/A"/>
    <s v="N/A-N/A"/>
    <s v="N/A"/>
    <s v="N/A"/>
    <s v="N/A_N/A"/>
    <s v="N/A-N/A N/A_N/A"/>
    <s v="NANANAN/AN/A"/>
    <s v="N/A"/>
    <s v=" No Aplica "/>
    <s v="Si Secop "/>
  </r>
  <r>
    <n v="20250489"/>
    <x v="2"/>
    <s v="Sub. Gestión Corporativa"/>
    <s v="Fatima Veronica Quintero Nuñez"/>
    <s v="Suministro de insumos para las impresoras de las dependencias de la UAE Cuerpo Oficial de Bomberos.-SGC."/>
    <s v="08 - contrato de suministro"/>
    <s v="44103100;44103101;44103103;44103105;44103106;44103108;44103110;44103111;55101500;"/>
    <n v="3"/>
    <n v="9"/>
    <n v="0"/>
    <n v="181000000"/>
    <x v="1"/>
    <s v="03 - selec. abrev. subasta inversa"/>
    <s v="No aplica"/>
    <s v="NA"/>
    <s v="NA"/>
    <s v="NA"/>
    <s v="N/A"/>
    <s v="N/A"/>
    <s v="N/A-N/A"/>
    <s v="N/A"/>
    <s v="N/A"/>
    <s v="N/A_N/A"/>
    <s v="N/A-N/A N/A_N/A"/>
    <s v="NANANAN/AN/A"/>
    <s v="N/A"/>
    <s v=" No Aplica "/>
    <s v="Si Secop "/>
  </r>
  <r>
    <n v="20250491"/>
    <x v="2"/>
    <s v="Sub. Gestión Corporativa"/>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4"/>
    <n v="3"/>
    <n v="0"/>
    <n v="211803000"/>
    <x v="1"/>
    <s v="02 - selec. abrev. menor cuantía"/>
    <s v="No aplica"/>
    <s v="NA"/>
    <s v="NA"/>
    <s v="NA"/>
    <s v="N/A"/>
    <s v="N/A"/>
    <s v="N/A-N/A"/>
    <s v="N/A"/>
    <s v="N/A"/>
    <s v="N/A_N/A"/>
    <s v="N/A-N/A N/A_N/A"/>
    <s v="NANANAN/AN/A"/>
    <s v="N/A"/>
    <s v=" No Aplica "/>
    <s v="Si Secop "/>
  </r>
  <r>
    <n v="20250492"/>
    <x v="2"/>
    <s v="Sub. Gestión Corporativa"/>
    <s v="Fatima Veronica Quintero Nuñez"/>
    <s v="Adición y prórroga No. 1 al contrato 243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2"/>
    <n v="3"/>
    <n v="0"/>
    <n v="1309196051"/>
    <x v="1"/>
    <s v="01 - licitación pública"/>
    <s v="No aplica"/>
    <s v="NA"/>
    <s v="NA"/>
    <s v="NA"/>
    <s v="N/A"/>
    <s v="N/A"/>
    <s v="N/A-N/A"/>
    <s v="N/A"/>
    <s v="N/A"/>
    <s v="N/A_N/A"/>
    <s v="N/A-N/A N/A_N/A"/>
    <s v="NANANAN/AN/A"/>
    <s v="N/A"/>
    <s v=" No Aplica "/>
    <s v="No Secop"/>
  </r>
  <r>
    <n v="20250493"/>
    <x v="2"/>
    <s v="Sub. Gestión Corporativa"/>
    <s v="Fatima Veronica Quintero Nuñez"/>
    <s v="Adición y prórroga No. 1 al contrato 245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1"/>
    <n v="3"/>
    <n v="0"/>
    <n v="6781178"/>
    <x v="1"/>
    <s v="01 - licitación pública"/>
    <s v="No aplica"/>
    <s v="NA"/>
    <s v="NA"/>
    <s v="NA"/>
    <s v="N/A"/>
    <s v="N/A"/>
    <s v="N/A-N/A"/>
    <s v="N/A"/>
    <s v="N/A"/>
    <s v="N/A_N/A"/>
    <s v="N/A-N/A N/A_N/A"/>
    <s v="NANANAN/AN/A"/>
    <s v="N/A"/>
    <s v=" No Aplica "/>
    <s v="No Secop"/>
  </r>
  <r>
    <n v="20250494"/>
    <x v="2"/>
    <s v="Sub. Gestión Corporativa"/>
    <s v="Fatima Veronica Quintero Nuñez"/>
    <s v="Seleccionar propuesta para contratar con una o varias compañías de seguros legalmente autorizadas para funcionar en el país, los seguros patrimoniales, generales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5"/>
    <n v="10"/>
    <n v="0"/>
    <n v="6319572073"/>
    <x v="1"/>
    <s v="01 - licitación pública"/>
    <s v="No aplica"/>
    <s v="NA"/>
    <s v="NA"/>
    <s v="NA"/>
    <s v="N/A"/>
    <s v="N/A"/>
    <s v="N/A-N/A"/>
    <s v="N/A"/>
    <s v="N/A"/>
    <s v="N/A_N/A"/>
    <s v="N/A-N/A N/A_N/A"/>
    <s v="NANANAN/AN/A"/>
    <s v="N/A"/>
    <s v=" No Aplica "/>
    <s v="Si Secop "/>
  </r>
  <r>
    <n v="20250495"/>
    <x v="2"/>
    <s v="Sub. Gestión Corporativa"/>
    <s v="Fatima Veronica Quintero Nuñez"/>
    <s v="Adición No. 6 y prórroga No. 7 al contrato 409 de 2021 que tiene como objeto &quot;Prestar los servicios de Custodia, Consulta y Traslado Documental de Acuerdo a las especificaciones Técnicas y requisitos contemplados en la normatividad Archivística Vigente-SGC"/>
    <s v="11 - orden de prestacion de servicios"/>
    <s v="78131800;80101500;80101600;80161500;81111900;81112000"/>
    <n v="2"/>
    <n v="3"/>
    <n v="0"/>
    <n v="85345380"/>
    <x v="1"/>
    <s v="01 - licitación pública"/>
    <s v="No aplica"/>
    <s v="NA"/>
    <s v="NA"/>
    <s v="NA"/>
    <s v="N/A"/>
    <s v="N/A"/>
    <s v="N/A-N/A"/>
    <s v="N/A"/>
    <s v="N/A"/>
    <s v="N/A_N/A"/>
    <s v="N/A-N/A N/A_N/A"/>
    <s v="NANANAN/AN/A"/>
    <s v="N/A"/>
    <s v=" No Aplica "/>
    <s v="No Secop"/>
  </r>
  <r>
    <n v="20250496"/>
    <x v="2"/>
    <s v="Sub. Gestión Corporativa"/>
    <s v="Fatima Veronica Quintero Nuñez"/>
    <s v="Mantenimiento ascensor nueva Estación de Bomberos de Fontibón-SGC"/>
    <s v="27 - contrato de prestacion de servicios de mantenimiento"/>
    <s v="72101506;_x000a_72154010;"/>
    <n v="4"/>
    <n v="10"/>
    <n v="0"/>
    <n v="11000000"/>
    <x v="1"/>
    <s v=" 09 - contratación directa "/>
    <s v="No aplica"/>
    <s v="NA"/>
    <s v="NA"/>
    <s v="NA"/>
    <s v="N/A"/>
    <s v="N/A"/>
    <s v="N/A-N/A"/>
    <s v="N/A"/>
    <s v="N/A"/>
    <s v="N/A_N/A"/>
    <s v="N/A-N/A N/A_N/A"/>
    <s v="NANANAN/AN/A"/>
    <s v="N/A"/>
    <s v=" No Aplica "/>
    <s v="Si Secop "/>
  </r>
  <r>
    <n v="20250497"/>
    <x v="2"/>
    <s v="Sub. Gestión Corporativa"/>
    <s v="Fatima Veronica Quintero Nuñez"/>
    <s v="Prestación del servicio para inspección y certificación correspondientes a los sistemas de transporte vertical (ascensores) a cargo de la Unidad Administrativa Especial del Cuerpo Oficial de Bomberos Bogotá D.C. – SGC"/>
    <s v="03 - contrato de prestacion de servicios"/>
    <s v="81141503;_x000a_81141804;"/>
    <n v="3"/>
    <n v="2"/>
    <n v="0"/>
    <n v="1285200"/>
    <x v="1"/>
    <s v="04 - contratación mínima cuantía"/>
    <s v="No aplica"/>
    <s v="NA"/>
    <s v="NA"/>
    <s v="NA"/>
    <s v="N/A"/>
    <s v="N/A"/>
    <s v="N/A-N/A"/>
    <s v="N/A"/>
    <s v="N/A"/>
    <s v="N/A_N/A"/>
    <s v="N/A-N/A N/A_N/A"/>
    <s v="NANANAN/AN/A"/>
    <s v="N/A"/>
    <s v=" No Aplica "/>
    <s v="Si Secop "/>
  </r>
  <r>
    <n v="20250500"/>
    <x v="2"/>
    <s v="Sub. Gestión Corporativa"/>
    <s v="Fatima Veronica Quintero Nuñez"/>
    <s v="Prestar los servicios de mantenimiento y suministro de insumos de las piscinas ubicadas en las Estaciones de Bomberos de Kennedy &quot;Alejandro Lince&quot; B5 y B4 Puente Aranda - BRAE, como escenario para el acondicionamiento físico, entrenamiento del personal y canino del Cuerpo Oficial de Bomberos de Bogotá para el cumplimiento de su misionalidad-SGC. "/>
    <s v="27 - contrato de prestacion de servicios de mantenimiento"/>
    <s v="91111602;_x000d__x000a_47101568;_x000d__x000a_49241712;_x000d__x000a_"/>
    <n v="1"/>
    <n v="10"/>
    <n v="0"/>
    <n v="25000000"/>
    <x v="1"/>
    <s v="04 - contratación mínima cuantía"/>
    <s v="No aplica"/>
    <s v="NA"/>
    <s v="NA"/>
    <s v="NA"/>
    <s v="N/A"/>
    <s v="N/A"/>
    <s v="N/A-N/A"/>
    <s v="N/A"/>
    <s v="N/A"/>
    <s v="N/A_N/A"/>
    <s v="N/A-N/A N/A_N/A"/>
    <s v="NANANAN/AN/A"/>
    <s v="N/A"/>
    <s v=" No Aplica "/>
    <s v="Si Secop "/>
  </r>
  <r>
    <n v="20250501"/>
    <x v="2"/>
    <s v="Sub. Gestión Corporativa"/>
    <s v="Fatima Veronica Quintero Nuñez"/>
    <s v="Prestar el servicio de recolección y diposición final de los residuos sanitarios y aguas no tratadas de las instalaciones de la Unidad Administrativa Especial Cuerpo Oficial de Bomberos Bogotá -SGC"/>
    <s v="03 - contrato de prestacion de servicios"/>
    <s v="81141807;_x000d__x000a_40151517;_x000d__x000a_76121701;_x000d__x000a_83101506;"/>
    <n v="3"/>
    <n v="10"/>
    <n v="0"/>
    <n v="30000000"/>
    <x v="1"/>
    <s v="04 - contratación mínima cuantía"/>
    <s v="No aplica"/>
    <s v="NA"/>
    <s v="NA"/>
    <s v="NA"/>
    <s v="N/A"/>
    <s v="N/A"/>
    <s v="N/A-N/A"/>
    <s v="N/A"/>
    <s v="N/A"/>
    <s v="N/A_N/A"/>
    <s v="N/A-N/A N/A_N/A"/>
    <s v="NANANAN/AN/A"/>
    <s v="N/A"/>
    <s v=" No Aplica "/>
    <s v="Si Secop "/>
  </r>
  <r>
    <n v="20250502"/>
    <x v="2"/>
    <s v="Sub. Gestión Corporativa"/>
    <s v="Fatima Veronica Quintero Nuñez"/>
    <s v="Suministro de insumos para lavandería-SGC"/>
    <s v="08 - contrato de suministro"/>
    <s v="44103100;"/>
    <n v="3"/>
    <n v="8"/>
    <n v="0"/>
    <n v="10000000"/>
    <x v="1"/>
    <s v="04 - contratación mínima cuantía"/>
    <s v="No aplica"/>
    <s v="NA"/>
    <s v="NA"/>
    <s v="NA"/>
    <s v="N/A"/>
    <s v="N/A"/>
    <s v="N/A-N/A"/>
    <s v="N/A"/>
    <s v="N/A"/>
    <s v="N/A_N/A"/>
    <s v="N/A-N/A N/A_N/A"/>
    <s v="NANANAN/AN/A"/>
    <s v="N/A"/>
    <s v=" No Aplica "/>
    <s v="Si Secop "/>
  </r>
  <r>
    <n v="20250503"/>
    <x v="2"/>
    <s v="Sub. Gestión Corporativa"/>
    <s v="Fatima Veronica Quintero Nuñez"/>
    <s v="Adición y Prórroga No. 1 al contrato 639 de 2024 que tiene como objeto &quot;Suministro de implementos de papelería y oficina para las dependencias de la UAE Cuerpo Oficial de Bomberos-SGC"/>
    <s v="08 - contrato de suministro"/>
    <s v="14111500 _x000d__x000a_14111800_x000d__x000a_44121700 _x000d__x000a_44121800 _x000d__x000a_44122000 _x000d__x000a_44122100_x000d__x000a_44121600_x000d__x000a_60101900_x000d__x000a_27112300_x000d__x000a_60105700_x000d__x000a_"/>
    <n v="2"/>
    <n v="3"/>
    <n v="0"/>
    <n v="29250000"/>
    <x v="1"/>
    <s v="04 - contratación mínima cuantía"/>
    <s v="No aplica"/>
    <s v="NA"/>
    <s v="NA"/>
    <s v="NA"/>
    <s v="N/A"/>
    <s v="N/A"/>
    <s v="N/A-N/A"/>
    <s v="N/A"/>
    <s v="N/A"/>
    <s v="N/A_N/A"/>
    <s v="N/A-N/A N/A_N/A"/>
    <s v="NANANAN/AN/A"/>
    <s v="N/A"/>
    <s v=" No Aplica "/>
    <s v="No Secop"/>
  </r>
  <r>
    <n v="20250504"/>
    <x v="0"/>
    <s v="Sub. Gestión Corporativa"/>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4"/>
    <n v="3"/>
    <n v="0"/>
    <n v="247865400"/>
    <x v="0"/>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250 Servicios de protección (guardas de seguridad)"/>
    <s v="Si Secop "/>
  </r>
  <r>
    <n v="20250505"/>
    <x v="0"/>
    <s v="Sub. Gestión Corporativa"/>
    <s v="Fatima Veronica Quintero Nuñez"/>
    <s v="Mantenimiento preventivo y/o correctivo,  y suministros de repuestos para los equipos de gimnasio de las diferentes instalaciones a cargo de la UAE Cuerpo Oficial de Bomberos. -SGC"/>
    <s v="17 - contrato de mantenimiento"/>
    <s v="72151802;"/>
    <n v="2"/>
    <n v="9"/>
    <n v="0"/>
    <n v="40000000"/>
    <x v="0"/>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999 Servicio de mantenimiento y reparación de otros equipos n.c.p."/>
    <s v="Si Secop "/>
  </r>
  <r>
    <n v="20250506"/>
    <x v="0"/>
    <s v="Sub. Gestión Corporativa"/>
    <s v="Fatima Veronica Quintero Nuñez"/>
    <s v="Mantenimiento preventivo y correctivo de la red contraincendios  y sistemas de detención de alarmas contra incendios de las estaciones de bomberos de la UAE- Cuerpo Oficial de Bomberos Bogota SGC"/>
    <s v="27 - contrato de prestacion de servicios de mantenimiento"/>
    <s v="72101500; 92101600; 95121700"/>
    <n v="4"/>
    <n v="6"/>
    <n v="0"/>
    <n v="0"/>
    <x v="0"/>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999 Servicio de mantenimiento y reparación de otros equipos n.c.p."/>
    <s v="Si Secop "/>
  </r>
  <r>
    <n v="20250507"/>
    <x v="0"/>
    <s v="Sub. Gestión Corporativa"/>
    <s v="Fatima Veronica Quintero Nuñez"/>
    <s v="Mantenimiento preventivo y/o correctivo, suministros y repuestos de los electrodomésticos de las instalaciones a cargo de la UAE Cuerpo Oficial de Bomberos Bogotá-SGC"/>
    <s v="17 - contrato de mantenimiento"/>
    <n v="73152108"/>
    <n v="3"/>
    <n v="8"/>
    <n v="0"/>
    <n v="15000000"/>
    <x v="0"/>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999 Servicio de mantenimiento y reparación de otros equipos n.c.p."/>
    <s v="Si Secop "/>
  </r>
  <r>
    <n v="20250508"/>
    <x v="0"/>
    <s v="Sub. Gestión Corporativa"/>
    <s v="Fatima Veronica Quintero Nuñez"/>
    <s v="Suministro de materiales, equipos y herramientas para el mejoramiento integral de las instalaciones de la UAE Cuerpo Oficial de Bomberos -SGC"/>
    <s v="08 - contrato de suministro"/>
    <s v="23131500;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
    <n v="2"/>
    <n v="8"/>
    <n v="0"/>
    <n v="243061556"/>
    <x v="0"/>
    <s v="17 - acuerdo marco de precios"/>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999 Servicio de mantenimiento y reparación de otros equipos n.c.p."/>
    <s v="Si Secop "/>
  </r>
  <r>
    <n v="20250510"/>
    <x v="0"/>
    <s v="Sub. Gestión Corporativa"/>
    <s v="Fatima Veronica Quintero Nuñez"/>
    <s v="Adición No. 1 y Prorroga No 2 del CTO 357 de 2024 - Realizar el mantenimiento predictivo, preventivo, correctivo, mejoras y dotación a las instalaciones de las dependencias de la Unidad Administrativa Especial Cuerpo Oficial de Bomberos de Bogotá D.C. - SGC"/>
    <s v="17 - contrato de mantenimiento"/>
    <s v="72102900; 72121400; 72151700;72154000;72101500"/>
    <n v="2"/>
    <n v="8"/>
    <n v="0"/>
    <n v="400000000"/>
    <x v="0"/>
    <s v="01 - licitación públic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5040554590 Otros servicios especializados de la construcción"/>
    <s v="No Secop"/>
  </r>
  <r>
    <n v="20250511"/>
    <x v="0"/>
    <s v="Sub. Gestión Corporativa"/>
    <s v="Fatima Veronica Quintero Nuñez"/>
    <s v="Adición y Prorroga No 1 del CTO 379 de 2024 - Interventoría técnica, administrativa, financiera, contable, jurídica y ambiental  para la realización del mantenimiento predictivo, preventivo, correctivo, mejoras y dotación a las instalaciones de las dependencias de la Unidad Administrativa Especial Cuerpo Oficial de Bomberos de Bogotá D.C. - SGC"/>
    <s v="14 - contrato de interventoria"/>
    <s v="80101600; 81101500; 72101500; 72121400"/>
    <n v="2"/>
    <n v="8"/>
    <n v="0"/>
    <n v="99999984"/>
    <x v="0"/>
    <s v="06 - concurso de méritos abierto"/>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5040554590 Otros servicios especializados de la construcción"/>
    <s v="No Secop"/>
  </r>
  <r>
    <n v="20250512"/>
    <x v="0"/>
    <s v="Sub. Gestión Corporativa"/>
    <s v="Fatima Veronica Quintero Nuñez"/>
    <s v="Adquisicion de las lavadoras industriales para las instalaciones de la UAE Cuerpo Oficial de Bomberos de Bogotá-SGC"/>
    <s v="06 - contrato de compraventa"/>
    <s v="47111500; 47111700"/>
    <n v="4"/>
    <n v="3"/>
    <n v="0"/>
    <n v="0"/>
    <x v="0"/>
    <s v="03 - selec. abrev. subasta invers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208 Otra maquinaria para usos especiales y sus partes y piezas"/>
    <s v="Si Secop "/>
  </r>
  <r>
    <n v="20250515"/>
    <x v="0"/>
    <s v="Sub. Gestión Corporativa"/>
    <s v="Fatima Veronica Quintero Nuñez"/>
    <s v="Adición y prórroga No. 1 al contrato 344 de 2024 que tiene como objeto “Prestar el servicio de vigilancia y seguridad privada en la modalidad de vigilancia fija, según especificaciones técnicas, en las instalaciones que la UAE especial cuerpo oficial de bomberos requiera-SGC"/>
    <s v="03 - contrato de prestacion de servicios"/>
    <s v="92121500;"/>
    <n v="2"/>
    <n v="4"/>
    <n v="0"/>
    <n v="116435074"/>
    <x v="0"/>
    <s v="01 - licitación públic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250 Servicios de protección (guardas de seguridad)"/>
    <s v="No Secop"/>
  </r>
  <r>
    <n v="20250516"/>
    <x v="0"/>
    <s v="Sub. Gestión Corporativa"/>
    <s v="Fatima Veronica Quintero Nuñez"/>
    <s v="Adquisición de andamios, escaleras certificadas, y elementos de protección personal para la seguridad y salud en el trabajo en el desarrollo de actividades locativas de las estaciones y demás instalaciones de la UAECOB-SGC."/>
    <s v="08 - contrato de suministro"/>
    <s v="30191502; 30191501; 46182307; 46182314; 49211805; 46182002; 46181900; 46182304;"/>
    <n v="1"/>
    <n v="2"/>
    <n v="0"/>
    <n v="43235341"/>
    <x v="0"/>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208 Otra maquinaria para usos especiales y sus partes y piezas"/>
    <s v="Si Secop "/>
  </r>
  <r>
    <n v="20250517"/>
    <x v="1"/>
    <s v="Sub. Gestión Corporativa"/>
    <s v="Fatima Veronica Quintero Nuñez"/>
    <s v="Elaboración de estudios y diseños técnicos para la construcción de la estación de bomberos  B-18 de la UAE Cuerpo Oficial de Bomberos de Bogotá – SGC"/>
    <s v="04 - contrato de consultoria"/>
    <s v="81101500;80101600"/>
    <n v="4"/>
    <n v="10"/>
    <n v="0"/>
    <n v="1000000"/>
    <x v="0"/>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5040554590 Otros servicios especializados de la construcción"/>
    <s v="Si Secop "/>
  </r>
  <r>
    <n v="20250518"/>
    <x v="1"/>
    <s v="Sub. Gestión Corporativa"/>
    <s v="Fatima Veronica Quintero Nuñez"/>
    <s v="Interventoría técnica, administrativa, financiera, contable, jurídica y ambiental para la elaboración de estudios y diseños técnicos para la construcción de la estación de bomberos B-18 de la UAE Cuerpo Oficial de Bomberos de Bogotá – SGC"/>
    <s v="14 - contrato de interventoria"/>
    <s v="80101600;81101500;72101500;72121400"/>
    <n v="4"/>
    <n v="10"/>
    <n v="0"/>
    <n v="1000000"/>
    <x v="0"/>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5040554590 Otros servicios especializados de la construcción"/>
    <s v="Si Secop "/>
  </r>
  <r>
    <n v="20250519"/>
    <x v="1"/>
    <s v="Sub. Gestión Corporativa"/>
    <s v="Fatima Veronica Quintero Nuñez"/>
    <s v="Elaboración de estudios y diseños técnicos para la adecuación de la estación de bomberos de Chapinero B-01  de la UAE Cuerpo Oficial de Bomberos de Bogotá – SGC"/>
    <s v="04 - contrato de consultoria"/>
    <s v="81101500;80101600"/>
    <n v="4"/>
    <n v="10"/>
    <n v="0"/>
    <n v="300000000"/>
    <x v="0"/>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5040554590 Otros servicios especializados de la construcción"/>
    <s v="Si Secop "/>
  </r>
  <r>
    <n v="20250520"/>
    <x v="1"/>
    <s v="Sub. Gestión Corporativa"/>
    <s v="Fatima Veronica Quintero Nuñez"/>
    <s v="Interventoría técnica, administrativa, financiera, contable, jurídica y ambiental para la elaboración de estudios y diseños técnicos para la adecuación de la estación de Bomberos de Chapinero B-01 de la UAE Cuerpo Oficial de Bomberos de Bogotá – SGC"/>
    <s v="14 - contrato de interventoria"/>
    <s v="80101600;81101500;72101500;72121400"/>
    <n v="4"/>
    <n v="10"/>
    <n v="0"/>
    <n v="74000000"/>
    <x v="0"/>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5040554590 Otros servicios especializados de la construcción"/>
    <s v="Si Secop "/>
  </r>
  <r>
    <n v="20250521"/>
    <x v="1"/>
    <s v="Sub. Gestión Corporativa"/>
    <s v="Fatima Veronica Quintero Nuñez"/>
    <s v="Elaboración de estudios y diseños técnicos para la construcción de la estación de bomberos de Puente Aranda B-4 de la UAE Cuerpo Oficial de Bomberos de Bogotá – SGC"/>
    <s v="04 - contrato de consultoria"/>
    <s v="81101500;80101600"/>
    <n v="4"/>
    <n v="10"/>
    <n v="0"/>
    <n v="500000000"/>
    <x v="0"/>
    <s v="06 - concurso de méritos abierto"/>
    <s v="8173 10-Realizar 2 documentos de lineamientos técnicos para la construcción de estaciones de bomberos"/>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s v="O23011745032024025508031_"/>
    <s v="PM/0131/0108/45030310255"/>
    <s v="O2320202005040554590 Otros servicios especializados de la construcción"/>
    <s v="Si Secop "/>
  </r>
  <r>
    <n v="20250522"/>
    <x v="1"/>
    <s v="Sub. Gestión Corporativa"/>
    <s v="Fatima Veronica Quintero Nuñez"/>
    <s v="Interventoría técnica, administrativa, financiera, contable, jurídica y ambiental para la elaboración de estudios y diseños técnicos para la construcción de la estación de Bomberos de Puente Aranda B-4 de la UAE Cuerpo Oficial de Bomberos de Bogotá – SGC"/>
    <s v="14 - contrato de interventoria"/>
    <s v="80101600;81101500;72101500;72121400"/>
    <n v="4"/>
    <n v="10"/>
    <n v="0"/>
    <n v="150000000"/>
    <x v="0"/>
    <s v="06 - concurso de méritos abierto"/>
    <s v="8173 10-Realizar 2 documentos de lineamientos técnicos para la construcción de estaciones de bomberos"/>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s v="O23011745032024025508031_"/>
    <s v="PM/0131/0108/45030310255"/>
    <s v="O2320202005040554590 Otros servicios especializados de la construcción"/>
    <s v="Si Secop "/>
  </r>
  <r>
    <n v="20250523"/>
    <x v="1"/>
    <s v="Sub. Gestión Corporativa"/>
    <s v="Fatima Veronica Quintero Nuñez"/>
    <s v="Construcción y adecuación de la estación de bomberos de Caobos Salazar B-13 de la UAE Cuerpo Oficial de Bomberos de Bogotá – SGC"/>
    <s v="05 - contrato de obra"/>
    <s v="72121400; 72151700; 72151700; 81101500"/>
    <n v="8"/>
    <n v="20"/>
    <n v="0"/>
    <n v="6728595684"/>
    <x v="0"/>
    <s v="01 - licitación pública"/>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5040554590 Otros servicios especializados de la construcción"/>
    <s v="Si Secop "/>
  </r>
  <r>
    <n v="20250524"/>
    <x v="1"/>
    <s v="Sub. Gestión Corporativa"/>
    <s v="Fatima Veronica Quintero Nuñez"/>
    <s v="Interventoría técnica, administrativa, financiera, contable, jurídica y ambiental para Construcción y adecuación de la estación de bomberos de Caobos Salazar B-13 de la UAE Cuerpo Oficial de Bomberos de Bogotá – SGC"/>
    <s v="14 - contrato de interventoria"/>
    <s v="81101500; 80101600; 72121400; 95121700"/>
    <n v="8"/>
    <n v="20"/>
    <n v="0"/>
    <n v="392000000"/>
    <x v="0"/>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5040554590 Otros servicios especializados de la construcción"/>
    <s v="Si Secop "/>
  </r>
  <r>
    <n v="20250525"/>
    <x v="0"/>
    <s v="Sub. Gestión Corporativa"/>
    <s v="Fatima Veronica Quintero Nuñez"/>
    <s v="Prestación de servicios profesionales especializados para apoyar las actividades de seguimiento técnico del Área de Infraestructura de la Subdirección de Gestión Corporativa-SGC"/>
    <s v="25 - contrato de prestacion de servicios profesionales"/>
    <s v="80111600;"/>
    <n v="2"/>
    <n v="11"/>
    <n v="0"/>
    <n v="83482587"/>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26"/>
    <x v="0"/>
    <s v="Sub. Gestión Corporativa"/>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29558952"/>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27"/>
    <x v="0"/>
    <s v="Sub. Gestión Corporativa"/>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29558952"/>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28"/>
    <x v="0"/>
    <s v="Sub. Gestión Corporativa"/>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29558952"/>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29"/>
    <x v="1"/>
    <s v="Sub. Gestión Corporativa"/>
    <s v="Fatima Veronica Quintero Nuñez"/>
    <s v="Prestación de servicios profesionales para apoyar las actividades jurídicas de la Subdirección de Gestión Corporativa-SGC"/>
    <s v="25 - contrato de prestacion de servicios profesionales"/>
    <s v="80111600;"/>
    <n v="2"/>
    <n v="11"/>
    <n v="0"/>
    <n v="46449783"/>
    <x v="0"/>
    <s v=" 09 - contratación directa "/>
    <s v="8173 10-Realizar 2 documentos de lineamientos técnicos para la construcción de estaciones de bomberos"/>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s v="O23011745032024025508031_"/>
    <s v="PM/0131/0108/45030310255"/>
    <s v="O232020200882199 Otros servicios jurídicos n.c.p."/>
    <s v="Si Secop "/>
  </r>
  <r>
    <n v="20250530"/>
    <x v="1"/>
    <s v="Sub. Gestión Corporativa"/>
    <s v="Fatima Veronica Quintero Nuñez"/>
    <s v="Prestación de servicios profesionales en la proyección y el seguimiento financiero a los proyectos de la Subdirección de Gestión Corporativa-SGC"/>
    <s v="25 - contrato de prestacion de servicios profesionales"/>
    <s v="80111600;"/>
    <n v="2"/>
    <n v="11"/>
    <n v="0"/>
    <n v="46800000"/>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883990 Otros servicios profesionales, técnicos y empresariales n.c.p."/>
    <s v="Si Secop "/>
  </r>
  <r>
    <n v="20250531"/>
    <x v="1"/>
    <s v="Sub. Gestión Corporativa"/>
    <s v="Fatima Veronica Quintero Nuñez"/>
    <s v="Prestación de servicios profesionales con el fin de gestionar trámites de carácter técnico, administrativo y operativamente en el desarrollo de los proyectos de inversión  de la entidad-SGC"/>
    <s v="25 - contrato de prestacion de servicios profesionales"/>
    <s v="80111600;"/>
    <n v="2"/>
    <n v="11"/>
    <n v="0"/>
    <n v="54291951"/>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883990 Otros servicios profesionales, técnicos y empresariales n.c.p."/>
    <s v="Si Secop "/>
  </r>
  <r>
    <n v="20250532"/>
    <x v="0"/>
    <s v="Sub. Gestión Corporativa"/>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44237886"/>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533"/>
    <x v="1"/>
    <s v="Sub. Gestión Corporativa"/>
    <s v="Fatima Veronica Quintero Nuñez"/>
    <s v="Prestación de servicios profesionales especializados para articular y revisar los procesos y procedimientos del área de infraestructura, así como en el apoyo a la supervisión de los contratos que le sean asignados-SGC"/>
    <s v="25 - contrato de prestacion de servicios profesionales"/>
    <s v="80111600;"/>
    <n v="2"/>
    <n v="11"/>
    <n v="0"/>
    <n v="58500000"/>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Si Secop "/>
  </r>
  <r>
    <n v="20250534"/>
    <x v="0"/>
    <s v="Sub. Gestión Corporativa"/>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29558952"/>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35"/>
    <x v="0"/>
    <s v="Sub. Gestión Corporativa"/>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19705968"/>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36"/>
    <x v="0"/>
    <s v="Sub. Gestión Corporativa"/>
    <s v="Fatima Veronica Quintero Nuñez"/>
    <s v="Prestación de servicios profesionales especializados para articular y revisar los procesos y procedimientos de la gestión administrativa a cargo de la Subdirección de Gestión Corporativa.- SGC"/>
    <s v="25 - contrato de prestacion de servicios profesionales"/>
    <s v="80111600;"/>
    <n v="2"/>
    <n v="11"/>
    <n v="0"/>
    <n v="8348256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37"/>
    <x v="0"/>
    <s v="Sub. Gestión Corporativa"/>
    <s v="Fatima Veronica Quintero Nuñez"/>
    <s v="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s v="25 - contrato de prestacion de servicios profesionales"/>
    <s v="80111600;"/>
    <n v="2"/>
    <n v="11"/>
    <n v="0"/>
    <n v="66356829"/>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38"/>
    <x v="0"/>
    <s v="Sub. Gestión Corporativa"/>
    <s v="Fatima Veronica Quintero Nuñez"/>
    <s v="Prestar los servicios profesionales especializados para acompañar las actividades jurídicas relacionadas con la gestión contractual en las etapas precontractual, contractual y postcontractual del área administrativa de la Subdirección de Gestión Corporativa -SGC"/>
    <s v="25 - contrato de prestacion de servicios profesionales"/>
    <s v="80111600;"/>
    <n v="2"/>
    <n v="11"/>
    <n v="0"/>
    <n v="8348256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539"/>
    <x v="0"/>
    <s v="Sub. Gestión Corporativa"/>
    <s v="Fatima Veronica Quintero Nuñez"/>
    <s v="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s v="26 - contrato de prestacion de servicios de apoyo a la gestion"/>
    <s v="80111600;"/>
    <n v="2"/>
    <n v="11"/>
    <n v="0"/>
    <n v="38607615"/>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40"/>
    <x v="1"/>
    <s v="Sub. Gestión Corporativa"/>
    <s v="Fatima Veronica Quintero Nuñez"/>
    <s v="Prestación de servicios profesionales especializados para apoyar las actividades técnicas y gestión predial del Área de Infraestructura de la Subdirección de Gestión Corporativa-SGC"/>
    <s v="25 - contrato de prestacion de servicios profesionales"/>
    <s v="80111600;"/>
    <n v="2"/>
    <n v="11"/>
    <n v="0"/>
    <n v="82041174"/>
    <x v="0"/>
    <s v=" 09 - contratación directa "/>
    <s v="8173 8-Construir 1 sede de bomberos de la UAECOB"/>
    <s v="O230117"/>
    <s v="4503"/>
    <n v="20240255"/>
    <s v="08"/>
    <s v="Infraestructura física, mantenimiento y dotación (Sedes construidas, mantenidas reforzadas)"/>
    <s v="08-Infraestructura física, mantenimiento y dotación (Sedes construidas, mantenidas reforzadas)"/>
    <s v="015"/>
    <s v="Estaciones de bomberos construidas"/>
    <s v="015_Estaciones de bomberos construidas"/>
    <s v="08-Infraestructura física, mantenimiento y dotación (Sedes construidas, mantenidas reforzadas) 015_Estaciones de bomberos construidas"/>
    <s v="O23011745032024025508015"/>
    <s v="PM/0131/0108/45030150255"/>
    <s v="O232020200883990 Otros servicios profesionales, técnicos y empresariales n.c.p."/>
    <s v="Si Secop "/>
  </r>
  <r>
    <n v="20250541"/>
    <x v="0"/>
    <s v="Sub. Gestión Corporativa"/>
    <s v="Fatima Veronica Quintero Nuñez"/>
    <s v="Prestación de servicios de apoyo en las actividades asociadas a los procesos de almacén de la Subdirección de Gestión Corporativa SGC"/>
    <s v="26 - contrato de prestacion de servicios de apoyo a la gestion"/>
    <s v="80111600;"/>
    <n v="2"/>
    <n v="11"/>
    <n v="0"/>
    <n v="26274624"/>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42"/>
    <x v="0"/>
    <s v="Sub. Gestión Corporativa"/>
    <s v="Fatima Veronica Quintero Nuñez"/>
    <s v="Prestación de servicios profesionales para atender las actividades financieras, a cargo de la Subdirección de Gestión Corporativa-SGC"/>
    <s v="25 - contrato de prestacion de servicios profesionales"/>
    <s v="80111600;"/>
    <n v="2"/>
    <n v="11"/>
    <n v="0"/>
    <n v="542919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43"/>
    <x v="0"/>
    <s v="Sub. Gestión Corporativa"/>
    <s v="Fatima Veronica Quintero Nuñez"/>
    <s v="Prestación de servicios de apoyo a la gestión de los procesos contractuales en la plataforma SECOP II a cargo de la Subdirección de Gestión Corporativa-SGC"/>
    <s v="26 - contrato de prestacion de servicios de apoyo a la gestion"/>
    <s v="80111600;"/>
    <n v="2"/>
    <n v="11"/>
    <n v="0"/>
    <n v="3431788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44"/>
    <x v="0"/>
    <s v="Sub. Gestión Corporativa"/>
    <s v="Fatima Veronica Quintero Nuñez"/>
    <s v="Prestación de servicios profesionales en el marco de las actividades administrativas de la Subdirección de Gestión Corporativa--SGC"/>
    <s v="25 - contrato de prestacion de servicios profesionales"/>
    <s v="80111600;"/>
    <n v="2"/>
    <n v="11"/>
    <n v="0"/>
    <n v="66356829"/>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45"/>
    <x v="0"/>
    <s v="Sub. Gestión Corporativa"/>
    <s v="Fatima Veronica Quintero Nuñez"/>
    <s v="Prestar los servicios profesionales de la gestión administrativa, así como la adquisición de bienes y servicios de la Subdirección de Gestión Corporativa  SGC"/>
    <s v="25 - contrato de prestacion de servicios profesionales"/>
    <s v="80111600;"/>
    <n v="2"/>
    <n v="11"/>
    <n v="0"/>
    <n v="41288696"/>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46"/>
    <x v="1"/>
    <s v="Sub. Gestión Corporativa"/>
    <s v="Fatima Veronica Quintero Nuñez"/>
    <s v="Prestar servicios profesionales para realizar acompañamiento en los procesos contractuales adelantados por la Subdirección Gestión Corporativa -SGC"/>
    <s v="25 - contrato de prestacion de servicios profesionales"/>
    <s v="80111600;"/>
    <n v="2"/>
    <n v="11"/>
    <n v="0"/>
    <n v="54694112"/>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Si Secop "/>
  </r>
  <r>
    <n v="20250547"/>
    <x v="1"/>
    <s v="Sub. Gestión Corporativa"/>
    <s v="Fatima Veronica Quintero Nuñez"/>
    <s v="Prestar los servicios profesionales jurídicos para apoyar las actividades propias, en procesos prediales que contribuyan al desarrollo de la infraestructura requerida por la entidad para la adecuada prestación del servicio-SGC"/>
    <s v="25 - contrato de prestacion de servicios profesionales"/>
    <s v="80111600;"/>
    <n v="2"/>
    <n v="11"/>
    <n v="0"/>
    <n v="51253388"/>
    <x v="0"/>
    <s v=" 09 - contratación directa "/>
    <s v="8173 8-Construir 1 sede de bomberos de la UAECOB"/>
    <s v="O230117"/>
    <s v="4503"/>
    <n v="20240255"/>
    <s v="08"/>
    <s v="Infraestructura física, mantenimiento y dotación (Sedes construidas, mantenidas reforzadas)"/>
    <s v="08-Infraestructura física, mantenimiento y dotación (Sedes construidas, mantenidas reforzadas)"/>
    <s v="015"/>
    <s v="Estaciones de bomberos construidas"/>
    <s v="015_Estaciones de bomberos construidas"/>
    <s v="08-Infraestructura física, mantenimiento y dotación (Sedes construidas, mantenidas reforzadas) 015_Estaciones de bomberos construidas"/>
    <s v="O23011745032024025508015"/>
    <s v="PM/0131/0108/45030150255"/>
    <s v="O232020200882199 Otros servicios jurídicos n.c.p."/>
    <s v="Si Secop "/>
  </r>
  <r>
    <n v="20250548"/>
    <x v="1"/>
    <s v="Sub. Gestión Corporativa"/>
    <s v="Fatima Veronica Quintero Nuñez"/>
    <s v="Prestar los servicios profesionales técnicos para apoyar las actividades propias que contribuyan al desarrollo de la infraestructura requerida por la entidad para la adecuada prestación del servicio-SGC"/>
    <s v="25 - contrato de prestacion de servicios profesionales"/>
    <s v="80111600;"/>
    <n v="2"/>
    <n v="11"/>
    <n v="0"/>
    <n v="54694112"/>
    <x v="0"/>
    <s v=" 09 - contratación directa "/>
    <s v="8173 10-Realizar 2 documentos de lineamientos técnicos para la construcción de estaciones de bomberos"/>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s v="O23011745032024025508031_"/>
    <s v="PM/0131/0108/45030310255"/>
    <s v=" O232020200883990 Otros servicios profesionales, técnicos y empresariales n.c.p. "/>
    <s v="Si Secop "/>
  </r>
  <r>
    <n v="20250549"/>
    <x v="1"/>
    <s v="Sub. Gestión Corporativa"/>
    <s v="Fatima Veronica Quintero Nuñez"/>
    <s v="Prestar los servicios profesionales para apoyar las actividades de trabajo social propias que contribuyan al desarrollo de la infraestructura requerida por la entidad para la adecuada prestación del servicio-SGC"/>
    <s v="25 - contrato de prestacion de servicios profesionales"/>
    <s v="80111600;"/>
    <n v="2"/>
    <n v="11"/>
    <n v="0"/>
    <n v="54291951"/>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Si Secop "/>
  </r>
  <r>
    <n v="20250550"/>
    <x v="1"/>
    <s v="Sub. Gestión Corporativa"/>
    <s v="Fatima Veronica Quintero Nuñez"/>
    <s v="Prestar servicios profesionales como ingeniero mecanico para apoyar las actividades propias que contribuyan al desarrollo de la infraestructura requerida por la entidad para la adecuada prestación del servicio-SGC"/>
    <s v="25 - contrato de prestacion de servicios profesionales"/>
    <s v="80111600;"/>
    <n v="2"/>
    <n v="11"/>
    <n v="0"/>
    <n v="60000000"/>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Si Secop "/>
  </r>
  <r>
    <n v="20250551"/>
    <x v="0"/>
    <s v="Sub. Gestión Corporativa"/>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52"/>
    <x v="0"/>
    <s v="Sub. Gestión Corporativa"/>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53"/>
    <x v="0"/>
    <s v="Sub. Gestión Corporativa"/>
    <s v="Fatima Veronica Quintero Nuñez"/>
    <s v="Prestar los servicios profesionales en las actividades asociadas del área de infraestructura que contribuyan para la implementación de procesos y procedimientos para la adecuada prestación del servicio-SGC."/>
    <s v="25 - contrato de prestacion de servicios profesionales"/>
    <s v="80111600;"/>
    <n v="2"/>
    <n v="6"/>
    <n v="0"/>
    <n v="30965000"/>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54"/>
    <x v="0"/>
    <s v="Sub. Gestión Corporativa"/>
    <s v="Fatima Veronica Quintero Nuñez"/>
    <s v="Prestación de servicios de apoyo a la gestión documental de la Subdirección de Gestión Corporativa de la Unidad.-SGC"/>
    <s v="26 - contrato de prestacion de servicios de apoyo a la gestion"/>
    <s v="80111600;"/>
    <n v="2"/>
    <n v="11"/>
    <n v="0"/>
    <n v="2252111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55"/>
    <x v="0"/>
    <s v="Sub. Gestión Corporativa"/>
    <s v="Fatima Veronica Quintero Nuñez"/>
    <s v="Prestación de servicios de apoyo a la gestión documental de la Subdirección de Gestión Corporativa de la Unidad.-SGC"/>
    <s v="26 - contrato de prestacion de servicios de apoyo a la gestion"/>
    <s v="80111600;"/>
    <n v="2"/>
    <n v="11"/>
    <n v="0"/>
    <n v="3056436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56"/>
    <x v="0"/>
    <s v="Sub. Gestión Corporativa"/>
    <s v="Fatima Veronica Quintero Nuñez"/>
    <s v="Prestación de servicios de apoyo en las actividades asociadas a los procesos de gestión de inventarios de la Subdirección de Gestión Corporativa.-SGC"/>
    <s v="26 - contrato de prestacion de servicios de apoyo a la gestion"/>
    <s v="80111600;"/>
    <n v="2"/>
    <n v="11"/>
    <n v="0"/>
    <n v="253362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57"/>
    <x v="0"/>
    <s v="Sub. Gestión Corporativa"/>
    <s v="Fatima Veronica Quintero Nuñez"/>
    <s v="Prestación de servicios de apoyo técnico en la gestión documental de la Subdirección de Gestión Corporativa de la Unidad-SGC"/>
    <s v="26 - contrato de prestacion de servicios de apoyo a la gestion"/>
    <s v="80111600;"/>
    <n v="2"/>
    <n v="11"/>
    <n v="0"/>
    <n v="38607615"/>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58"/>
    <x v="2"/>
    <s v="Sub. Gestión Corporativa"/>
    <s v="Fatima Veronica Quintero Nuñez"/>
    <s v="Adición y prórroga No. 1 al contrato 344 de 2024 que tiene como objeto “Prestar el servicio de vigilancia y seguridad privada en la modalidad de vigilancia fija, según especificaciones técnicas, en las instalaciones que la UAE especial cuerpo oficial de bomberos requiera-SGC"/>
    <s v="03 - contrato de prestacion de servicios"/>
    <s v="92121500;"/>
    <n v="2"/>
    <n v="4"/>
    <n v="0"/>
    <n v="440000000"/>
    <x v="1"/>
    <s v="01 - licitación pública"/>
    <s v="No aplica"/>
    <s v="NA"/>
    <s v="NA"/>
    <s v="NA"/>
    <s v="N/A"/>
    <s v="N/A"/>
    <s v="N/A-N/A"/>
    <s v="N/A"/>
    <s v="N/A"/>
    <s v="N/A_N/A"/>
    <s v="N/A-N/A N/A_N/A"/>
    <s v="NANANAN/AN/A"/>
    <s v="N/A"/>
    <s v=" No Aplica "/>
    <s v="No Secop"/>
  </r>
  <r>
    <n v="20250559"/>
    <x v="2"/>
    <s v="Dirección Tic"/>
    <s v="Paula Ximena Henao Escobar"/>
    <s v="Adición y prorróga al contrato No. 785 de 2024 cuyo objeto es &quot;_x0009_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quot;"/>
    <s v="27 - contrato de prestacion de servicios de mantenimiento"/>
    <s v="81111811;72151600; 43223300;_x000a_39131700"/>
    <n v="8"/>
    <n v="6"/>
    <n v="0"/>
    <n v="82808364"/>
    <x v="1"/>
    <s v="03 - selec. abrev. subasta inversa"/>
    <s v="No aplica"/>
    <s v="NA"/>
    <s v="NA"/>
    <s v="NA"/>
    <s v="N/A"/>
    <s v="N/A"/>
    <s v="N/A-N/A"/>
    <s v="N/A"/>
    <s v="N/A"/>
    <s v="N/A_N/A"/>
    <s v="N/A-N/A N/A_N/A"/>
    <s v="NANANAN/AN/A"/>
    <s v="N/A"/>
    <s v="O21202020080787130 Servicios de mantenimiento y reparación de computa"/>
    <s v="Si Secop "/>
  </r>
  <r>
    <n v="20250560"/>
    <x v="2"/>
    <s v="Dirección Tic"/>
    <s v="Paula Ximena Henao Escobar"/>
    <s v="Contratar los servicios de canales de datos dedicados para la UAE Cuerpo Oficial de Bomberos de Bogotá-TIC"/>
    <s v="24 - contrato de servicio"/>
    <n v="81112100"/>
    <n v="3"/>
    <n v="12"/>
    <n v="0"/>
    <n v="514061636"/>
    <x v="1"/>
    <s v="09 - contratación directa"/>
    <s v="No aplica"/>
    <s v="NA"/>
    <s v="NA"/>
    <s v="NA"/>
    <s v="N/A"/>
    <s v="N/A"/>
    <s v="N/A-N/A"/>
    <s v="N/A"/>
    <s v="N/A"/>
    <s v="N/A_N/A"/>
    <s v="N/A-N/A N/A_N/A"/>
    <s v="NANANAN/AN/A"/>
    <s v="N/A"/>
    <s v="O21202020080484290 Otros servicios de telecomunicaciones vía Internet"/>
    <s v="Si Secop "/>
  </r>
  <r>
    <n v="20250561"/>
    <x v="2"/>
    <s v="Dirección Tic"/>
    <s v="Paula Ximena Henao Escobar"/>
    <s v="Contratar  la suscripción de licencias Suite Adobe para la UAE Cuerpo Oficial de Bomberos de Bogotá-TIC"/>
    <s v="19 - contrato de renovacion de licencias"/>
    <s v="81112501;43232102;43232103;43231512"/>
    <n v="11"/>
    <n v="12"/>
    <n v="0"/>
    <n v="43000000"/>
    <x v="1"/>
    <s v="17 - acuerdo marco de precios"/>
    <s v="No aplica"/>
    <s v="NA"/>
    <s v="NA"/>
    <s v="NA"/>
    <s v="N/A"/>
    <s v="N/A"/>
    <s v="N/A-N/A"/>
    <s v="N/A"/>
    <s v="N/A"/>
    <s v="N/A_N/A"/>
    <s v="N/A-N/A N/A_N/A"/>
    <s v="NANANAN/AN/A"/>
    <s v="N/A"/>
    <s v="O21202020080383141 Servicios de diseño y desarrollo de aplicaciones en tecnologías de la información (TI)"/>
    <s v="Si Secop "/>
  </r>
  <r>
    <n v="20250562"/>
    <x v="2"/>
    <s v="Dirección Tic"/>
    <s v="Paula Ximena Henao Escobar"/>
    <s v="Contratar la renovación de la membresía LACNIC para mantener la disponibilidad del bloque de direcciones IPV6 adquirido por la U.A.E. Cuerpo Oficial de Bomberos de Bogotá"/>
    <s v="28 - contrato de ciencia y tecnologia"/>
    <s v="81112100;81111500"/>
    <n v="11"/>
    <n v="12"/>
    <n v="0"/>
    <n v="13000000"/>
    <x v="1"/>
    <s v="04 - contratación mínima cuantía"/>
    <s v="No aplica"/>
    <s v="NA"/>
    <s v="NA"/>
    <s v="NA"/>
    <s v="N/A"/>
    <s v="N/A"/>
    <s v="N/A-N/A"/>
    <s v="N/A"/>
    <s v="N/A"/>
    <s v="N/A_N/A"/>
    <s v="N/A-N/A N/A_N/A"/>
    <s v="NANANAN/AN/A"/>
    <s v="N/A"/>
    <s v="O21202020080484290 Otros servicios de telecomunicaciones vía Internet"/>
    <s v="Si Secop "/>
  </r>
  <r>
    <n v="20250563"/>
    <x v="0"/>
    <s v="Dirección"/>
    <s v="Paula Ximena Henao Escobar"/>
    <s v="Prestar servicios profesionales en la Dirección General para gestionar las  actividades de cooperación técnica internacional y articulación interinstitucional encaminadas a fortalecer e impulsar las metas de la Entidad"/>
    <s v="25 - contrato de prestacion de servicios profesionales"/>
    <n v="80111600"/>
    <n v="2"/>
    <n v="8"/>
    <n v="0"/>
    <n v="64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64"/>
    <x v="0"/>
    <s v="Dirección"/>
    <s v="Paula Ximena Henao Escobar"/>
    <s v="Prestar servicios profesionales especializados en la Dirección General de la UAECOB en la organización y liderazgo de los asuntos relacionados con cooperación técnica internacional y articulación interinstitucional de conformidad a la misionalidad de la entidad."/>
    <s v="25 - contrato de prestacion de servicios profesionales"/>
    <n v="80111600"/>
    <n v="2"/>
    <n v="8"/>
    <n v="0"/>
    <n v="72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65"/>
    <x v="0"/>
    <s v="Dirección comunicaciones y Prensa"/>
    <s v="Paula Ximena Henao Escobar"/>
    <s v="Prestar servicios de apoyo a la gestión en asuntos de comunicaciones y prensa para realizar labores de diseño y diagramación de productos editoriales de la UAECOB"/>
    <s v="26 - contrato de prestacion de servicios de apoyo a la gestion"/>
    <n v="80111600"/>
    <n v="2"/>
    <n v="6"/>
    <n v="0"/>
    <n v="264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566"/>
    <x v="0"/>
    <s v="Dirección comunicaciones y Prensa"/>
    <s v="Paula Ximena Henao Escobar"/>
    <s v="Prestación de servicios de profesionales a la gestión en la Dirección para el acompañamiento en las labores administrativas en asuntos de Comunicaciones y Prensa de la UAECOB"/>
    <s v="25 - contrato de prestacion de servicios profesionales"/>
    <n v="80111600"/>
    <n v="11"/>
    <n v="2"/>
    <n v="15"/>
    <n v="125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567"/>
    <x v="0"/>
    <s v="Dirección"/>
    <s v="Paula Ximena Henao Escobar"/>
    <s v="Prestar servicios profesionales en la Dirección General para apoyar las actividades de cooperación técnica internacional y articulación interinstitucional de conformidad a la misionalidad de la Entidad"/>
    <s v="25 - contrato de prestacion de servicios profesionales"/>
    <n v="80111600"/>
    <n v="2"/>
    <n v="8"/>
    <n v="0"/>
    <n v="64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68"/>
    <x v="0"/>
    <s v="Dirección comunicaciones y Prensa"/>
    <s v="Paula Ximena Henao Escobar"/>
    <s v="Prestar servicios profesionales en asuntos de comunicaciones y prensa para apoyar materia de seguimiento para el cumplimiento de la misionalidad"/>
    <s v="25 - contrato de prestacion de servicios profesionales"/>
    <n v="80111600"/>
    <n v="2"/>
    <n v="11"/>
    <n v="0"/>
    <n v="73334"/>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569"/>
    <x v="1"/>
    <s v="Sub. Gestión Humana"/>
    <s v="Jose Andres Ponce Caicedo"/>
    <s v="SGH - Prestar servicios profesionales en la Subdireccion de Gestion Humana de la UAE Cuerpo Oficial de Bomberos en el proceso de ausentismo, recobro de incapacidades y los subprocesos directamente relacionados "/>
    <s v="25 - contrato de prestacion de servicios profesionales"/>
    <n v="80111600"/>
    <n v="2"/>
    <n v="8"/>
    <n v="15"/>
    <n v="48256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70"/>
    <x v="1"/>
    <s v="Sub. Gestión Humana"/>
    <s v="Jose Andres Ponce Caicedo"/>
    <s v="SGH - Prestar los servicios de apoyo a la gestión en la Subdireccion de Gestión Humana de la UAE Cuerpo Oficial de Bomberos de Bogotá, en el proceso de ausentismo, recobro de incapacidades y los subprocesos directamente relacionados, así como, apoyar en la elaboración y el desarrollo del proyecto de educación y formación financiera en cabeza de la subdirección, dirigido al personal operativo y administrativo de la entidad."/>
    <s v="26 - contrato de prestacion de servicios de apoyo a la gestion"/>
    <n v="80111600"/>
    <n v="8"/>
    <n v="3"/>
    <n v="0"/>
    <n v="18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71"/>
    <x v="1"/>
    <s v="Sub. Gestión Humana"/>
    <s v="Jose Andres Ponce Caicedo"/>
    <s v="SGH - Prestar servicios profesionales para apoyar el programa de desórdenes musculoesqueléticos de la UAE Cuerpo Oficial de Bomberos de Bogotá&quot;."/>
    <s v="25 - contrato de prestacion de servicios profesionales"/>
    <n v="80111600"/>
    <n v="2"/>
    <n v="11"/>
    <n v="0"/>
    <n v="49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72"/>
    <x v="1"/>
    <s v="Sub. Gestión Humana"/>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2"/>
    <n v="11"/>
    <n v="0"/>
    <n v="48683333"/>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73"/>
    <x v="1"/>
    <s v="Sub. Gestión Humana"/>
    <s v="Jose Andres Ponce Caicedo"/>
    <s v="SGH - Prestar servicios profesionales para la implementación y seguimiento del sistema de gestión de seguridad y salud en el trabajo en la Subdirección de Gestión Humana."/>
    <s v="25 - contrato de prestacion de servicios profesionales"/>
    <n v="80111600"/>
    <n v="2"/>
    <n v="11"/>
    <n v="0"/>
    <n v="561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74"/>
    <x v="1"/>
    <s v="Sub. Gestión Humana"/>
    <s v="Jose Andres Ponce Caicedo"/>
    <s v="SGH - Prestar sus servicios profesionales en la Subdirección de Gestión Humana, en la administración de sistema de seguridad y salud en el trabajo"/>
    <s v="25 - contrato de prestacion de servicios profesionales"/>
    <n v="80111600"/>
    <n v="2"/>
    <n v="11"/>
    <n v="0"/>
    <n v="528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75"/>
    <x v="1"/>
    <s v="Sub. Gestión Humana"/>
    <s v="Jose Andres Ponce Caicedo"/>
    <s v="SGH - Prestar servicios profesionales para apoyar en la construcción, revisión y actualización de las políticas, protocolos y procedimientos establecidos para el desarrollo del Talento Humano, con el fin de determinar su eficiencia y cumplimiento de la normatividad vigente para la subdirección de Gestión humana."/>
    <s v="25 - contrato de prestacion de servicios profesionales"/>
    <n v="80111600"/>
    <n v="2"/>
    <n v="11"/>
    <n v="0"/>
    <n v="76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76"/>
    <x v="1"/>
    <s v="Sub. Gestión Humana"/>
    <s v="Jose Andres Ponce Caicedo"/>
    <s v="SGH - Prestar servicios de apoyo  en  la Subdirección de Gestión Humana de la UAE Cuerpo Oficial de Bomberos de Bogotá D.C. en lo relacionado con los procesos de administración y aplicación de los instrumentos archivísticos vigentes en el archivo de gestión de la Subdirección.&quot;."/>
    <s v="26 - contrato de prestacion de servicios de apoyo a la gestion"/>
    <n v="80111600"/>
    <n v="2"/>
    <n v="8"/>
    <n v="0"/>
    <n v="296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77"/>
    <x v="1"/>
    <s v="Sub. Gestión Humana"/>
    <s v="Jose Andres Ponce Caicedo"/>
    <s v="SGH - Prestar servicios de apoyo para ejecutar actividades en la gestión de  la Subdirección de Gestión Humana de la UAE Cuerpo Oficial de Bomberos de Bogotá D.C. en lo relacionado con los procesos de actualización, custodia y manejo del archivo de gestión de la Subdirección."/>
    <s v="26 - contrato de prestacion de servicios de apoyo a la gestion"/>
    <n v="80111600"/>
    <n v="2"/>
    <n v="8"/>
    <n v="0"/>
    <n v="26272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78"/>
    <x v="1"/>
    <s v="Sub. Gestión Humana"/>
    <s v="Jose Andres Ponce Caicedo"/>
    <s v="SGH-Prestación de servicios profesionales para acompañar a la subdirección de gestión humana en el desarrollo de las actividades encaminadas al diseño de piezas comunicativas que se requieran en el marco de los procesos y procedimientos a cargo de la dependencia."/>
    <s v="25 - contrato de prestacion de servicios profesionales"/>
    <n v="80111600"/>
    <n v="2"/>
    <n v="11"/>
    <n v="0"/>
    <n v="45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79"/>
    <x v="1"/>
    <s v="Sub. Gestión Humana"/>
    <s v="Jose Andres Ponce Caicedo"/>
    <s v="SGH - Prestar servicios profesionales con plena autonomia tecnica y administrativa para acompañar a la Subdireccion de Gestion Humana en la estructuracion y definicion de aspectos juridicos en las etapas precontractuales, contractuales y poscontractuales en el marco de los procesos y procedimientos a cargo de la dependencia"/>
    <s v="25 - contrato de prestacion de servicios profesionales"/>
    <n v="80111600"/>
    <n v="2"/>
    <n v="11"/>
    <n v="0"/>
    <n v="87546667"/>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2199 Otros servicios jurídicos n.c.p."/>
    <s v="Si Secop "/>
  </r>
  <r>
    <n v="20250580"/>
    <x v="1"/>
    <s v="Sub. Gestión Humana"/>
    <s v="Jose Andres Ponce Caicedo"/>
    <s v="SGH-Prestar servicios profesionales para acompañar a la subdirección de gestión humana en el desarrollo de las actividades realizadas en el marco de la actuación del comité de mujer y género"/>
    <s v="25 - contrato de prestacion de servicios profesionales"/>
    <n v="80111600"/>
    <n v="2"/>
    <n v="11"/>
    <n v="0"/>
    <n v="38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81"/>
    <x v="1"/>
    <s v="Sub. Gestión Humana"/>
    <s v="Jose Andres Ponce Caicedo"/>
    <s v="SGH - Prestar servicios profesionales para acompañar a la Subdireccion de Gestion Humana en la planeacion, trámite y seguimiento de los aspectos presupuestales, financieros y contractuales a cargo de la dependencia"/>
    <s v="25 - contrato de prestacion de servicios profesionales"/>
    <n v="80111600"/>
    <n v="2"/>
    <n v="11"/>
    <n v="0"/>
    <n v="64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82"/>
    <x v="1"/>
    <s v="Sub. Gestión Humana"/>
    <s v="Jose Andres Ponce Caicedo"/>
    <s v="SGH-prestar servicios profesionales para acompañar a la subdirección de gestión humana en la construcción del plan educativo institucional y en los procesos y procedimientos de la escuela de formación bomberil - academia de la unidad administrativa especial-cuerpo oficial bomberos de Bogotá."/>
    <s v="25 - contrato de prestacion de servicios profesionales"/>
    <n v="80111600"/>
    <n v="2"/>
    <n v="8"/>
    <n v="0"/>
    <n v="56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83"/>
    <x v="1"/>
    <s v="Sub. Gestión Humana"/>
    <s v="Jose Andres Ponce Caicedo"/>
    <s v="SGH - Prestar sus servicios profesionales en la Subdirección de Gestión Humana, en los procesos contractuales y demás actividades relacionadas con la Subdirección de Gestión Humana"/>
    <s v="25 - contrato de prestacion de servicios profesionales"/>
    <n v="80111600"/>
    <n v="2"/>
    <n v="11"/>
    <n v="0"/>
    <n v="408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84"/>
    <x v="1"/>
    <s v="Sub. Gestión Humana"/>
    <s v="Jose Andres Ponce Caicedo"/>
    <s v="SGH - Prestación de servicios profesionales para acompañar a la Subdirección de Gestión Humana en la construcción, diseño, validación y socialización de la propuesta de actualización, ajuste o modificación del modelo de operación por procesos, en el marco del proceso de fortalecimiento, a partir del diagnóstico realizado por la UAECOB y realizar la alineación con la estructura propuesta."/>
    <s v="25 - contrato de prestacion de servicios profesionales"/>
    <n v="80111600"/>
    <n v="2"/>
    <n v="11"/>
    <n v="0"/>
    <n v="272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85"/>
    <x v="1"/>
    <s v="Sub. Gestión Humana"/>
    <s v="Jose Andres Ponce Caicedo"/>
    <s v="SGH - Prestar servicios profesionales para realizar una propuesta de reorganización de planta de personal y de manuales específicos de funciones y competencias laborales a partir de los resultados de diagnóstico realizado por la UAECOB y del análisis funcional de los empleos existentes y de las dependencias."/>
    <s v="25 - contrato de prestacion de servicios profesionales"/>
    <n v="80111600"/>
    <n v="2"/>
    <n v="11"/>
    <n v="0"/>
    <n v="272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86"/>
    <x v="0"/>
    <s v="Oficina Juridica"/>
    <s v="Monica Perez Barragan"/>
    <s v="Prestar los servicios profesionales jurídicos para apoyar las actividades propias de la gestión contractual que adelanta la Oficina Jurídica"/>
    <s v="25 - contrato de prestacion de servicios profesionales"/>
    <n v="80111600"/>
    <n v="2"/>
    <n v="11"/>
    <n v="0"/>
    <n v="459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587"/>
    <x v="0"/>
    <s v="Oficina Juridica"/>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4"/>
    <n v="0"/>
    <n v="25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588"/>
    <x v="2"/>
    <s v="Sub. Gestión Corporativa"/>
    <s v="Fatima Veronica Quintero Nuñez"/>
    <s v="Adición No 1. al contrato 244 de 2024 que tiene como objeto &quot;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2"/>
    <n v="0"/>
    <n v="0"/>
    <n v="5684125"/>
    <x v="1"/>
    <s v="02 - selec. abrev. menor cuantía"/>
    <s v="No aplica"/>
    <s v="NA"/>
    <s v="NA"/>
    <s v="NA"/>
    <s v="N/A"/>
    <s v="N/A"/>
    <s v="N/A-N/A"/>
    <s v="N/A"/>
    <s v="N/A"/>
    <s v="N/A_N/A"/>
    <s v="N/A-N/A N/A_N/A"/>
    <s v="NANANAN/AN/A"/>
    <s v="N/A"/>
    <s v="No Aplica"/>
    <s v="No Secop"/>
  </r>
  <r>
    <n v="20250590"/>
    <x v="0"/>
    <s v="Sub. Gestión Corporativa"/>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91"/>
    <x v="0"/>
    <s v="Sub. Gestión Corporativa"/>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92"/>
    <x v="0"/>
    <s v="Sub. Gestión Corporativa"/>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93"/>
    <x v="0"/>
    <s v="Sub. Gestión Corporativa"/>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94"/>
    <x v="0"/>
    <s v="Sub. Gestión Corporativa"/>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95"/>
    <x v="0"/>
    <s v="Sub. Gestión Corporativa"/>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0"/>
    <x v="0"/>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96"/>
    <x v="0"/>
    <s v="Sub. Gestión Corporativa"/>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97"/>
    <x v="0"/>
    <s v="Sub. Gestión Corporativa"/>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98"/>
    <x v="0"/>
    <s v="Sub. Gestión Corporativa"/>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99"/>
    <x v="0"/>
    <s v="Sub. Gestión Corporativa"/>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5990412"/>
    <x v="0"/>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600"/>
    <x v="0"/>
    <s v="Sub. Gestión Corporativa"/>
    <s v="Fatima Veronica Quintero Nuñez"/>
    <s v="Prestación de servicios de apoyo a la gestión del proceso de inventarios de la Subdirección de Gestión Corporativa.-SGC"/>
    <s v="26 - contrato de prestacion de servicios de apoyo a la gestion"/>
    <s v="80111600;"/>
    <n v="2"/>
    <n v="9"/>
    <n v="0"/>
    <n v="232013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601"/>
    <x v="0"/>
    <s v="Sub. Gestión Corporativa"/>
    <s v="Fatima Veronica Quintero Nuñez"/>
    <s v="Prestar los servicios profesionales para el acompañamiento y seguimiento de los planes y proyectos del area de inventarios de la Subdireccion de Gestión Corporativa-SGC"/>
    <s v="25 - contrato de prestacion de servicios profesionales"/>
    <s v="80111600;"/>
    <n v="2"/>
    <n v="9"/>
    <n v="0"/>
    <n v="9115686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602"/>
    <x v="0"/>
    <s v="Sub. Gestión Corporativa"/>
    <s v="Fatima Veronica Quintero Nuñez"/>
    <s v="Prestar los servicios profesionales en el area de inventarios de la Subdireccion de Gestión Corporativa-SGC"/>
    <s v="25 - contrato de prestacion de servicios profesionales"/>
    <s v="80111600;"/>
    <n v="2"/>
    <n v="9"/>
    <n v="0"/>
    <n v="41288696"/>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603"/>
    <x v="2"/>
    <s v="Sub. Gestión Corporativa"/>
    <s v="Fatima Veronica Quintero Nuñez"/>
    <s v="Contratar los seguros de casco aviación aeronaves no tri-puladas (drones)de propiedad y de aquellos por los cuales es legalmente responsable a Unidad Administrativa Especial del Cuerpo Oficial de Bomberos de Bogotá-SGC"/>
    <s v="15 - contrato de seguros"/>
    <n v="84131515"/>
    <n v="2"/>
    <n v="12"/>
    <n v="0"/>
    <n v="500000000"/>
    <x v="1"/>
    <s v="02 - selec. abrev. menor cuantía"/>
    <s v="No aplica"/>
    <s v="NA"/>
    <s v="NA"/>
    <s v="NA"/>
    <s v="N/A"/>
    <s v="N/A"/>
    <s v="N/A-N/A"/>
    <s v="N/A"/>
    <s v="N/A"/>
    <s v="N/A_N/A"/>
    <s v="N/A-N/A N/A_N/A"/>
    <s v="NANANAN/AN/A"/>
    <s v="N/A"/>
    <s v="No Aplica"/>
    <s v="Si Secop "/>
  </r>
  <r>
    <n v="20250604"/>
    <x v="1"/>
    <s v="Sub. Logística"/>
    <s v="Omer Mauricio Rivera Ruiz"/>
    <s v="Adición al contrato No. 392 - 2024 cuyo objeto es: Prestar el servicio de mantenimiento preventivo y correctivo, incluyendo el suministro de repuestos, insumos y mano de obra especializada para las motobombas forestales FOX, propiedad de la Unidad Administrativa Especial Cuerpo Oficial de Bomberos de Bogotá D.C. (UAECOB)."/>
    <s v="03 - contrato de prestacion de servicios"/>
    <n v="46161600"/>
    <n v="2"/>
    <n v="3"/>
    <n v="0"/>
    <n v="253666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No Secop"/>
  </r>
  <r>
    <n v="20250605"/>
    <x v="1"/>
    <s v="Sub. Logística"/>
    <s v="Omer Mauricio Rivera Ruiz"/>
    <s v="Prestar servicios de apoyo a la gestión en las actividades de soporte operacional de la UAECOB Subdirección Logística. SBLG"/>
    <s v="26 - contrato de prestacion de servicios de apoyo a la gestion"/>
    <n v="80111600"/>
    <n v="3"/>
    <n v="8"/>
    <n v="0"/>
    <n v="22995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606"/>
    <x v="1"/>
    <s v="Sub. Logística"/>
    <s v="Omer Mauricio Rivera Ruiz"/>
    <s v="Prestar servicios de apoyo a la gestión en las actividades de soporte operacional de la UAECOB Subdirección Logística. SBLG"/>
    <s v="26 - contrato de prestacion de servicios de apoyo a la gestion"/>
    <n v="80111600"/>
    <n v="3"/>
    <n v="8"/>
    <n v="0"/>
    <n v="2624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607"/>
    <x v="1"/>
    <s v="Sub. Logística"/>
    <s v="Omer Mauricio Rivera Ruiz"/>
    <s v="Prestar servicios de apoyo a la gestión en las actividades de soporte operacional de la UAECOB Subdirección Logística. SBLG"/>
    <s v="26 - contrato de prestacion de servicios de apoyo a la gestion"/>
    <n v="80111600"/>
    <n v="3"/>
    <n v="8"/>
    <n v="0"/>
    <n v="1971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608"/>
    <x v="1"/>
    <s v="Sub. Logística"/>
    <s v="Omer Mauricio Rivera Ruiz"/>
    <s v="Prestar servicios de apoyo a la gestión en las actividades de soporte operacional de la UAECOB Subdirección Logística. SBLG"/>
    <s v="26 - contrato de prestacion de servicios de apoyo a la gestion"/>
    <n v="80111600"/>
    <n v="3"/>
    <n v="8"/>
    <n v="0"/>
    <n v="2624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609"/>
    <x v="1"/>
    <s v="Sub. Logística"/>
    <s v="Omer Mauricio Rivera Ruiz"/>
    <s v="Prestar servicios de apoyo a la gestión en las actividades de soporte operacional de la UAECOB Subdirección Logística. SBLG"/>
    <s v="26 - contrato de prestacion de servicios de apoyo a la gestion"/>
    <n v="80111600"/>
    <n v="3"/>
    <n v="8"/>
    <n v="0"/>
    <n v="2624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610"/>
    <x v="1"/>
    <s v="Sub. Logística"/>
    <s v="Omer Mauricio Rivera Ruiz"/>
    <s v="Prestar servicios de apoyo a la gestión en las actividades de soporte operacional de la UAECOB Subdirección Logística. SBLG"/>
    <s v="26 - contrato de prestacion de servicios de apoyo a la gestion"/>
    <n v="80111600"/>
    <n v="3"/>
    <n v="8"/>
    <n v="0"/>
    <n v="2624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613"/>
    <x v="0"/>
    <s v="Dirección Tic"/>
    <s v="Paula Ximena Henao Escobar"/>
    <s v="Contratar la adquisición de pantallas interactivas y televisores para el fortalecimiento de la infraestructura tecnológica para el desarrollo de la gestión misional y administrativa general de la UAE Cuerpo Oficial de Bomberos de Bogotá."/>
    <s v="24 - contrato de servicio"/>
    <n v="46171619"/>
    <n v="10"/>
    <n v="2"/>
    <n v="0"/>
    <n v="57910392"/>
    <x v="0"/>
    <s v="17 - acuerdo marco de precios"/>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r>
  <r>
    <n v="20250614"/>
    <x v="0"/>
    <s v="Dirección Tic"/>
    <s v="Paula Ximena Henao Escobar"/>
    <s v="Prestar los servicios profesionales al área de Tecnologías de la Información y las Comunicaciones de la U.A.E. Cuerpo Oficial de Bomberos Bogotá, para desarrollar actividades administrativas en todos los niveles relacionados con los servicios tecnológicos del Edificio Comando, Estaciones y Supercades, de la Entidad."/>
    <s v="25 - contrato de prestacion de servicios profesionales"/>
    <n v="80111600"/>
    <n v="2"/>
    <n v="11"/>
    <n v="0"/>
    <n v="495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617"/>
    <x v="0"/>
    <s v="Dirección Tic"/>
    <s v="Paula Ximena Henao Escobar"/>
    <s v="Prestar los servicios profesionales en la estructuración, sustanciación, revisión y trámite de los procesos de contratación y gestión jurídica en el marco de los procesos y procedimientos a cargo de la dirección de la U.A.E. Cuerpo Oficial de Bomberos_x000a_Bogotá D.C"/>
    <s v="25 - contrato de prestacion de servicios profesionales"/>
    <n v="80111600"/>
    <n v="2"/>
    <n v="7"/>
    <n v="0"/>
    <n v="490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2199 Otros servicios jurídicos n.c.p."/>
    <s v="Si Secop "/>
  </r>
  <r>
    <n v="20250618"/>
    <x v="0"/>
    <s v="Dirección Tic"/>
    <s v="Paula Ximena Henao Escobar"/>
    <s v="Prestar los servicios profesionales en el área de Tecnologías de la Información y las Comunicaciones de la U.A.E. Cuerpo Oficial de Bomberos Bogota, para apoyar en el análisis, modelamiento, acompañamiento, pruebas funcionales, soporte y documentación técnica y funcional de los sistemas de información, en el marco de los procesos y procedimientos vigentes de la entidad"/>
    <s v="25 - contrato de prestacion de servicios profesionales"/>
    <n v="80111600"/>
    <n v="2"/>
    <n v="5"/>
    <n v="0"/>
    <n v="3500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619"/>
    <x v="0"/>
    <s v="Dirección Tic"/>
    <s v="Paula Ximena Henao Escobar"/>
    <s v="Adicion y prorroga a la orden de compra 121621, identificada con el numero de contrato 618-2023, cuyo objeto es  “Contratar el servicio de nube publica para la U.A.E Cuerpo Oficial de Bomberos de Bogotá - TIC”"/>
    <s v="03 - contrato de prestacion de servicios"/>
    <n v="81112006"/>
    <n v="2"/>
    <n v="4"/>
    <n v="0"/>
    <n v="7000000"/>
    <x v="0"/>
    <s v="17 - acuerdo marco de precios"/>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No Secop"/>
  </r>
  <r>
    <n v="20250620"/>
    <x v="0"/>
    <s v="Dirección Tic"/>
    <s v="Paula Ximena Henao Escobar"/>
    <s v="Actualización y renovación para ASMS( Aranda service manangment suite), soporte y mantenimiento del licenciamiento Software Aranda para la U.A.E. Cuerpo Oficial de Bomberos Bogota - TIC"/>
    <s v="19 - contrato de renovacion de licencias"/>
    <s v="81112222_x000a_81111811_x000a_43231501_x000a_43231513 "/>
    <n v="4"/>
    <n v="12"/>
    <n v="0"/>
    <n v="54997754"/>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r>
  <r>
    <n v="20250621"/>
    <x v="0"/>
    <s v="Sub. Gestión Corporativa"/>
    <s v="Fatima Veronica Quintero Nuñez"/>
    <s v="Austeridad 5% en los proyectos que tengan_x000a_definidos productos de fortalecimiento institucional "/>
    <s v="25 - contrato de prestacion de servicios profesionales"/>
    <n v="80111600"/>
    <n v="0"/>
    <n v="0"/>
    <n v="0"/>
    <n v="109465255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623"/>
    <x v="0"/>
    <s v="Oficina Asesora de Planeación"/>
    <s v="Manuel Eduardo Castillo Guzman"/>
    <s v="Prestar servicios profesionales para orientar las actividades relacionadas con la implementación del Sistema de Administración del Riesgo de Lavado de Activos y Financiación del Terrorismo (SARLAFT) en la Unidad Administrativa Especial Cuerpo Oficial de Bomberos de Bogotá."/>
    <s v="26 - contrato de prestacion de servicios de apoyo a la gestion"/>
    <n v="80111600"/>
    <n v="3"/>
    <n v="10"/>
    <n v="0"/>
    <n v="100000000"/>
    <x v="0"/>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624"/>
    <x v="1"/>
    <s v="Sub. Gestión Humana"/>
    <s v="Jose Andres Ponce Caicedo"/>
    <s v="SGH - Prestar servicios de apoyo a la gestión en la realizacion de actividades relacionadas con la organización, actualización, registro y verificación de la documentación  digital y física de la evaluación de desempeño, licencias de conducción, hojas de vida, entre otras bases, de los/as servidores/as de la entidad"/>
    <s v="26 - contrato de prestacion de servicios de apoyo a la gestion"/>
    <n v="80111600"/>
    <n v="2"/>
    <n v="8"/>
    <n v="0"/>
    <n v="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625"/>
    <x v="1"/>
    <s v="Sub. Gestión Humana"/>
    <s v="Jose Andres Ponce Caicedo"/>
    <s v="SGH - Prestar servicios de apoyo a la gestión para acompañar a la Subdirección de Gestión Humana para en la realización de las actividades referentes al Plan de Bienestar e Incentivos."/>
    <s v="26 - contrato de prestacion de servicios de apoyo a la gestion"/>
    <n v="80111600"/>
    <n v="2"/>
    <n v="8"/>
    <n v="0"/>
    <n v="296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626"/>
    <x v="1"/>
    <s v="Sub. Logística"/>
    <s v="Omer Mauricio Rivera Ruiz"/>
    <s v="Prestar servicio de apoyo a la gestión para asistir a la Subdirección Logística en el seguimiento técnico y administrativo de los mantenimientos requeridos en la Subdirección Logística - SBLG"/>
    <s v="26 - contrato de prestacion de servicios de apoyo a la gestion"/>
    <n v="80111600"/>
    <n v="2"/>
    <n v="6"/>
    <n v="0"/>
    <n v="18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628"/>
    <x v="1"/>
    <s v="Sub. Gestión Riesgos"/>
    <s v="William Tovar Segura"/>
    <s v="ADICCION Y PRORROGA CTO  342-2024 cuyo objeto es  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
    <s v="03 - contrato de prestacion de servicios"/>
    <s v="80141900_x000a_90111500_x000a_90111600_x000a_80141600_x000a_80161502"/>
    <n v="2"/>
    <n v="12"/>
    <n v="0"/>
    <n v="190000000"/>
    <x v="0"/>
    <s v="02 - selec. abrev. menor cuantía"/>
    <s v="8173 1-Implementación 6 estrategias de reducción del riesgo de incendios,  incidentes con materiales peligrosos y rescate en todas sus modalidades en la ciudad de Bogotá"/>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No Secop"/>
  </r>
  <r>
    <n v="20250629"/>
    <x v="1"/>
    <s v="Sub. Gestión Riesgos"/>
    <s v="William Tovar Segura"/>
    <s v="ADICION Y PRORROGA CTO 399-2024 cuyo objeto es 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03 - contrato de prestacion de servicios"/>
    <s v="78121600_x000a_78131800_x000a_92111600_x000a_72141500"/>
    <n v="2"/>
    <n v="3"/>
    <n v="0"/>
    <n v="197777090"/>
    <x v="0"/>
    <s v="01 - licitación públic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No Secop"/>
  </r>
  <r>
    <n v="20250630"/>
    <x v="1"/>
    <s v="Sub. Operativa"/>
    <s v="Yenire Yohansy Lozano Ascanio"/>
    <s v="Prestación de servicios profesionales para  apoyar los procesos contractuales de la Subdirección Operativa en todas sus etapas, seguimiento financiero y apoyo técnico con base en las necesidades propias de la dependencia S.O."/>
    <s v="25 - contrato de prestacion de servicios profesionales"/>
    <n v="80111600"/>
    <n v="2"/>
    <n v="10"/>
    <n v="0"/>
    <n v="33333333"/>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31"/>
    <x v="1"/>
    <s v="Sub. Operativa"/>
    <s v="Yenire Yohansy Lozano Ascanio"/>
    <s v="Prestación de servicios profesionales para  apoyar los procesos contractuales de la Subdirección Operativa en todas sus etapas y apoyo técnico en los proyectos y procesos de la dependencia S.O."/>
    <s v="25 - contrato de prestacion de servicios profesionales"/>
    <n v="80111600"/>
    <n v="2"/>
    <n v="10"/>
    <n v="0"/>
    <n v="70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32"/>
    <x v="1"/>
    <s v="Sub. Operativa"/>
    <s v="Yenire Yohansy Lozano Ascanio"/>
    <s v="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
    <s v="25 - contrato de prestacion de servicios profesionales"/>
    <n v="80111600"/>
    <n v="2"/>
    <n v="10"/>
    <n v="0"/>
    <n v="70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33"/>
    <x v="1"/>
    <s v="Sub. Operativa"/>
    <s v="Yenire Yohansy Lozano Ascanio"/>
    <s v="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
    <s v="25 - contrato de prestacion de servicios profesionales"/>
    <n v="80111600"/>
    <n v="2"/>
    <n v="10"/>
    <n v="0"/>
    <n v="65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35"/>
    <x v="1"/>
    <s v="Sub. Operativa"/>
    <s v="Yenire Yohansy Lozano Ascanio"/>
    <s v="Prestar servicios profesionales para apoyar jurídicamente en la sustanciación, revisión y trámite de solicitudes dirigidas a autoridades administrativas, respuestas a PQRS, derechos de petición y requerimientos que efectúen los entes de control, así como realizar la gestión y desarrollo de todas las etapas precontractuales y contractuales correspondientes a la celebración de convenios, comodatos, memorandos de entendimiento y demás procesos de selección de La Subdirección Operativa S.O."/>
    <s v="25 - contrato de prestacion de servicios profesionales"/>
    <n v="80111600"/>
    <n v="2"/>
    <n v="9"/>
    <n v="15"/>
    <n v="66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36"/>
    <x v="1"/>
    <s v="Sub. Operativa"/>
    <s v="Yenire Yohansy Lozano Ascanio"/>
    <s v="Prestar los servicios profesionales para apoyar a la Subdirección Operativa en el fortalecimiento de los procesos de formación y capacitación al personal operativo y administrativo, en articulación con la academia y demás áreas de la entidad S.O."/>
    <s v="25 - contrato de prestacion de servicios profesionales"/>
    <n v="80111600"/>
    <n v="2"/>
    <n v="10"/>
    <n v="0"/>
    <n v="66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37"/>
    <x v="1"/>
    <s v="Sub. Operativa"/>
    <s v="Yenire Yohansy Lozano Ascanio"/>
    <s v="Prestación de servicios de apoyo a la gestión en las actividades documentales, administrativas y manejo de las herramientas de gestión que demanda la Subdirección Operativa S.O."/>
    <s v="26 - contrato de prestacion de servicios de apoyo a la gestion"/>
    <n v="80111600"/>
    <n v="2"/>
    <n v="10"/>
    <n v="0"/>
    <n v="28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38"/>
    <x v="1"/>
    <s v="Sub. Operativa"/>
    <s v="Yenire Yohansy Lozano Ascanio"/>
    <s v="Adquisición de elementos y accesorios para el grupo especializado UARBO de la UAECOB."/>
    <s v="06 - contrato de compraventa"/>
    <s v="49141503;49141504;_x000a_49141505;49141506;_x000a_49141507"/>
    <n v="5"/>
    <n v="3"/>
    <n v="0"/>
    <n v="64057500"/>
    <x v="0"/>
    <s v="04 - contratación mínima cuantía"/>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Si Secop "/>
  </r>
  <r>
    <n v="20250639"/>
    <x v="1"/>
    <s v="Sub. Operativa"/>
    <s v="Yenire Yohansy Lozano Ascanio"/>
    <s v="Adquisición de elementos y accesorios para el grupo especializado BRAE de la UAECOB."/>
    <s v="06 - contrato de compraventa"/>
    <s v="53102710; 10131600; 10141600;_x000a_10191700; 20102000; 21102400;_x000a_23101500; 39111600; 41102500;_x000a_41111500; 42121600; 42143600;_x000a_42172000; 46181500; 46182000;_x000a_46191500;"/>
    <n v="5"/>
    <n v="3"/>
    <n v="0"/>
    <n v="64057500"/>
    <x v="0"/>
    <s v="04 - contratación mínima cuantía"/>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Si Secop "/>
  </r>
  <r>
    <n v="20250640"/>
    <x v="1"/>
    <s v="Sub. Operativa"/>
    <s v="Yenire Yohansy Lozano Ascanio"/>
    <s v="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
    <s v="25 - contrato de prestacion de servicios profesionales"/>
    <n v="80111600"/>
    <n v="3"/>
    <n v="10"/>
    <n v="0"/>
    <n v="65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41"/>
    <x v="1"/>
    <s v="Sub. Gestión Corporativa"/>
    <s v="Fatima Veronica Quintero Nuñez"/>
    <s v="Prestación de servicios especializados en sostenibilidad ambiental, gestión de recursos naturales y seguridad y salud en el trabajo, incluyendo asesoría, capacitación e implementación de sistemas de gestión ambiental conforme a normativas ISO 14001, 45001 y estándares de calidad-SGC"/>
    <s v="25 - contrato de prestacion de servicios profesionales"/>
    <s v="80111600;"/>
    <n v="2"/>
    <n v="10"/>
    <n v="0"/>
    <n v="40000000"/>
    <x v="0"/>
    <s v="09 - contratación directa"/>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Si Secop "/>
  </r>
  <r>
    <n v="20250642"/>
    <x v="0"/>
    <s v="Sub. Gestión Corporativa"/>
    <s v="Fatima Veronica Quintero Nuñez"/>
    <s v="Prestación de servicios de apoyo en las actividades asociadas a los procesos administrativo de la Subdirección de Gestión Corporativa- SGC"/>
    <s v="26 - contrato de prestacion de servicios de apoyo a la gestion"/>
    <s v="80111600;"/>
    <n v="2"/>
    <n v="9"/>
    <n v="0"/>
    <n v="34384905"/>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643"/>
    <x v="0"/>
    <s v="Sub. Gestión Corporativa"/>
    <s v="Fatima Veronica Quintero Nuñez"/>
    <s v="Prestar los servicios profesionales para el acompañamiento y seguimiento de los planes y proyectos del grupo del almacén de la Subdireccion de Gestión Corporativa-SGC"/>
    <s v="25 - contrato de prestacion de servicios profesionales"/>
    <s v="80111600;"/>
    <n v="2"/>
    <n v="9"/>
    <n v="0"/>
    <n v="58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644"/>
    <x v="0"/>
    <s v="Sub. Gestión Corporativa"/>
    <s v="Fatima Veronica Quintero Nuñez"/>
    <s v="Prestar los servicios profesionales para apoyar las actividades de trabajo social propias que contribuyan al desarrollo de la infraestructura requerida por la entidad para la adecuada prestación del servicio-SGC"/>
    <s v="25 - contrato de prestacion de servicios profesionales"/>
    <s v="80111600;"/>
    <n v="2"/>
    <n v="9"/>
    <n v="0"/>
    <n v="54291951"/>
    <x v="0"/>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645"/>
    <x v="0"/>
    <s v="Sub. Gestión Corporativa"/>
    <s v="Fatima Veronica Quintero Nuñez"/>
    <s v="Adquisición de elementos de menaje para la sede comando de la UAECOB-SGC"/>
    <s v="06 - contrato de compraventa"/>
    <s v="48101800;_x000a_48101915;_x000a_24112601;_x000a_49121509;"/>
    <n v="4"/>
    <n v="3"/>
    <n v="0"/>
    <n v="3906735"/>
    <x v="0"/>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646"/>
    <x v="0"/>
    <s v="Sub. Gestión Corporativa"/>
    <s v="Fatima Veronica Quintero Nuñez"/>
    <s v="Prestar el servicio y mantenimiento de equipos de higienización, desodorización y aromatización para la UAECOB "/>
    <s v="03 - contrato de prestacion de servicios"/>
    <s v="76101501;_x000a_47131829;"/>
    <n v="10"/>
    <n v="3"/>
    <n v="0"/>
    <n v="7000000"/>
    <x v="0"/>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649"/>
    <x v="0"/>
    <s v="Sub. Gestión Corporativa"/>
    <s v="Fatima Veronica Quintero Nuñez"/>
    <s v="Adquisición de aviso de alto impacto visual para la recordación permanente del  edificio comando de la UAECOB-SGC"/>
    <s v="06 - contrato de compraventa"/>
    <s v="82121700;_x000a_82101500,;_x000a_82101600;_x000a_81161500;_x000a_13111203;_x000a_81112200;_x000a_55121700;"/>
    <n v="4"/>
    <n v="3"/>
    <n v="0"/>
    <n v="111000"/>
    <x v="0"/>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651"/>
    <x v="1"/>
    <s v="Sub. Operativa"/>
    <s v="Yenire Yohansy Lozano Ascanio"/>
    <s v="Prestar servicios de apoyo a la gestión en las actividades de monitoreo, seguimiento y reporte de información del Centro de Coordinación y Comunicaciones de la Subdirección Operativa."/>
    <s v="26 - contrato de prestacion de servicios de apoyo a la gestion"/>
    <n v="80111600"/>
    <n v="3"/>
    <n v="10"/>
    <n v="0"/>
    <n v="31198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52"/>
    <x v="1"/>
    <s v="Sub. Operativa"/>
    <s v="Yenire Yohansy Lozano Ascanio"/>
    <s v="Prestar servicios de apoyo a la gestión en las actividades de monitoreo, seguimiento y reporte de información del Centro de Coordinación y Comunicaciones de la Subdirección Operativa."/>
    <s v="26 - contrato de prestacion de servicios de apoyo a la gestion"/>
    <n v="80111600"/>
    <n v="3"/>
    <n v="10"/>
    <n v="0"/>
    <n v="31198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53"/>
    <x v="0"/>
    <s v="Dirección comunicaciones y Prensa"/>
    <s v="Paula Ximena Henao Escobar"/>
    <s v="Prestación de servicios profesionales en asuntos de comunicaciones y prensa para apoyar la conducción, presentación y divulgación de contenidos audiovisuales e informativos relacionados con la misionalidad de la UAECOB."/>
    <s v="25 - contrato de prestacion de servicios profesionales"/>
    <n v="80111600"/>
    <n v="3"/>
    <n v="6"/>
    <n v="0"/>
    <n v="42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654"/>
    <x v="1"/>
    <s v="Sub. Gestión Humana"/>
    <s v="Jose Andres Ponce Caicedo"/>
    <s v="SGH - Prestar servicios profesionales en el desarrollo de actividades relacionadas con los procesos de vinculación, permanencia y retiro del personal de la entidad, actualización de registros laborales del personal de la entidad, asicomo apoyar en las actividades a cargo de desarrollo organizacional de la Subdirección de Gestión Humana de la UAE Cuerpo Oficial de Bomberos de Bogotá"/>
    <s v="25 - contrato de prestacion de servicios profesionales"/>
    <n v="80111600"/>
    <n v="3"/>
    <n v="8"/>
    <n v="0"/>
    <n v="58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655"/>
    <x v="2"/>
    <s v="Sub. Gestión Humana"/>
    <s v="Jose Andres Ponce Caicedo"/>
    <s v="SGH - Adquirir elementos de protección personal para prevenir la aparición de enfermedades ocupacionales en el oido, del personal operativo de la UAE Cuerpo Oficial de Bomberos de Bogotá"/>
    <s v="06 - contrato de compraventa"/>
    <s v="46181900;46181901"/>
    <n v="11"/>
    <n v="3"/>
    <n v="0"/>
    <n v="50000000"/>
    <x v="1"/>
    <s v="04 - contratación mínima cuantía"/>
    <s v="No aplica"/>
    <s v="NA"/>
    <s v="NA"/>
    <s v="NA"/>
    <s v="N/A"/>
    <s v="N/A"/>
    <s v="N/A-N/A"/>
    <s v="N/A"/>
    <s v="N/A"/>
    <s v="N/A_N/A"/>
    <s v="N/A-N/A N/A_N/A"/>
    <s v="NANANAN/AN/A"/>
    <s v="N/A"/>
    <s v="No Aplica"/>
    <s v="Si Secop "/>
  </r>
  <r>
    <n v="20250656"/>
    <x v="0"/>
    <s v="Oficina Asesora de Planeación"/>
    <s v="Manuel Eduardo Castillo Guzman"/>
    <s v="Prestar servicios profesionales para apoyar la implementación del Sistema de Gestión de la Calidad, asegurando el cumplimiento de los estándares establecidos y promoviendo la mejora continua, en el marco del Modelo Integrado de Planeación y Gestión de los procesos de la UAECOB."/>
    <s v="26 - contrato de prestacion de servicios de apoyo a la gestion"/>
    <n v="80111601"/>
    <n v="3"/>
    <n v="8"/>
    <n v="0"/>
    <n v="450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657"/>
    <x v="1"/>
    <s v="Sub. Logística"/>
    <s v="Omer Mauricio Rivera Ruiz"/>
    <s v="Prestar servicios de apoyo a la gestión en las actividades de soporte operacional de la UAECOB Subdirección Logística. SBLG"/>
    <s v="26 - contrato de prestacion de servicios de apoyo a la gestion"/>
    <n v="80111600"/>
    <n v="3"/>
    <n v="8"/>
    <n v="0"/>
    <n v="8470053"/>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658"/>
    <x v="1"/>
    <s v="Sub. Logística"/>
    <s v="Omer Mauricio Rivera Ruiz"/>
    <s v="Adicion y prorroga al contato 398 de 2024 que tiene como objeto  &quot;Prestar el servicio de mantenimiento preventivo y correctivo, de latonería y pintura, incluyendo el suministro de repuestos, insumos y mano de obra especializada para los vehículos pertenecientes al parque automotor de la UAE Cuerpo Oficial de Bomberos de Bogotá D.C."/>
    <s v="17 - contrato de mantenimiento"/>
    <n v="78181500"/>
    <n v="3"/>
    <n v="3"/>
    <n v="0"/>
    <n v="1600000000"/>
    <x v="0"/>
    <s v="01 - licitación públic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714199 Servicio de mantenimiento y reparación de vehículos automotores n.c.p."/>
    <s v="No Secop"/>
  </r>
  <r>
    <n v="20250659"/>
    <x v="1"/>
    <s v="Sub. Logística"/>
    <s v="Omer Mauricio Rivera Ruiz"/>
    <s v="Pago de pasivo exigible UAECOB-contrato No. 125 de 2022"/>
    <s v="12 - resolucion"/>
    <s v="N/A"/>
    <n v="0"/>
    <n v="0"/>
    <n v="0"/>
    <n v="5635667"/>
    <x v="2"/>
    <s v="91 - n/a acto administrativo (resolución, decreto, acuerdo, etc.)"/>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0660"/>
    <x v="0"/>
    <s v="Dirección Tic"/>
    <s v="Paula Ximena Henao Escobar"/>
    <s v="Prestar los servicios profesionales al área de Tecnologías de la Información y las Comunicaciones de la U.A.E. Cuerpo Oficial de Bomberos Bogotá, para gestionar y brindar el soporte técnico de las herramientas tecnológicas desarrolladas en el marco de las funciones de las diferentes áreas y dependencias de la entidad."/>
    <s v="25 - contrato de prestacion de servicios profesionales"/>
    <n v="80111600"/>
    <n v="3"/>
    <n v="10"/>
    <n v="0"/>
    <n v="3500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661"/>
    <x v="1"/>
    <s v="Sub. Gestión Riesgos"/>
    <s v="William Tovar Segura"/>
    <s v="Prestar servicios profesionales  en las actividades de Programas y Campañas de Prevención para la Subdirección de Gestión del Riesgo. _SGR"/>
    <s v="25 - contrato de prestacion de servicios profesionales"/>
    <n v="80111600"/>
    <n v="9"/>
    <n v="4"/>
    <n v="0"/>
    <n v="210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0662"/>
    <x v="1"/>
    <s v="Sub. Gestión Riesgos"/>
    <s v="William Tovar Segura"/>
    <s v="pago pasivo exigible de &quot;Adición y Prorroga cto 495 de 2022 cuyo objeto es Prestar servicios profesionales para las actividades misionales de la Subdirección de Gestión del Riesgo._SGR&quot;"/>
    <s v="25 - contrato de prestacion de servicios profesionales"/>
    <n v="80111600"/>
    <n v="0"/>
    <n v="0"/>
    <n v="0"/>
    <n v="1410000"/>
    <x v="2"/>
    <s v="91 - n/a acto administrativo (resolución, decreto, acuerdo, etc.)"/>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No Secop"/>
  </r>
  <r>
    <n v="20250663"/>
    <x v="2"/>
    <s v="Sub. Logística"/>
    <s v="Omer Mauricio Rivera Ruiz"/>
    <s v="Adicion y Prorroga del cto 333 2024 , cuyo objeto es  &quot;Contratar el servicio de revision técnico mecánica y de emision de gases contaminantes para los vehiculos que forman parte del parque automotor de la Unidad Administrativa Especial Cuerpo Oficial de Bomberos de Bogotá - UAECOB-SBLG&quot;"/>
    <s v="03 - contrato de prestacion de servicios"/>
    <n v="78181505"/>
    <n v="3"/>
    <n v="2"/>
    <n v="0"/>
    <n v="2000000"/>
    <x v="1"/>
    <s v="04 - contratación mínima cuantía"/>
    <s v="No aplica"/>
    <s v="NA"/>
    <s v="NA"/>
    <s v="NA"/>
    <s v="N/A"/>
    <s v="N/A"/>
    <s v="N/A-N/A"/>
    <s v="N/A"/>
    <s v="N/A"/>
    <s v="N/A_N/A"/>
    <s v="N/A-N/A N/A_N/A"/>
    <s v="NANANAN/AN/A"/>
    <s v="N/A"/>
    <s v="O2120202008078714199 Servicio de mantenimiento y reparación de vehículos automotores n.c.p."/>
    <s v="No Secop"/>
  </r>
  <r>
    <n v="20250664"/>
    <x v="1"/>
    <s v="Sub. Logística"/>
    <s v="Omer Mauricio Rivera Ruiz"/>
    <s v="Prestar servicios de apoyo en asuntos administrativos, financieros, documentales y emisión de informes a cargo de la Subdireccion Logística-SBLG.  "/>
    <s v="26 - contrato de prestacion de servicios de apoyo a la gestion"/>
    <n v="80111600"/>
    <n v="3"/>
    <n v="6"/>
    <n v="0"/>
    <n v="1968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665"/>
    <x v="0"/>
    <s v="Sub. Gestión Corporativa"/>
    <s v="Fatima Veronica Quintero Nuñez"/>
    <s v="Adición No. 1 y prorroga No. 3 al contrato 779 de 2024 que tiene como objeto “Adquisición de mobiliario para la dotación de las instalaciones de la UAE cuerpo oficial de bomberos Bogotá- SGC.&quot;"/>
    <s v="22 - contrato de adquisicion de bienes"/>
    <s v="56101500;_x000a_56101700;_x000a_56101900;_x000a_56111500"/>
    <n v="3"/>
    <n v="3"/>
    <n v="0"/>
    <n v="50000000"/>
    <x v="0"/>
    <s v="03 - selec. abrev. subasta invers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666"/>
    <x v="0"/>
    <s v="Sub. Gestión Corporativa"/>
    <s v="Fatima Veronica Quintero Nuñez"/>
    <s v="Adición y prorroga 1 al contrato 683 de 2024 cuyo objeto obedece al Mantenimiento preventivo y correctivo, adquisición de repuestos y el suministro e instalación de los equipos gasodomésticos y solares y adecuaciones de las redes de gas natural para las Estaciones de Bomberos de UAE Cuerpo Oficial de Bomberos SGC"/>
    <s v="17 - contrato de mantenimiento"/>
    <s v="40102000;_x000a_72121400;_x000a_72101500;_x000a_72151700;_x000a_73152100_x000a_;95121700;_x000a_40101800; 48101500;"/>
    <n v="4"/>
    <n v="1"/>
    <n v="0"/>
    <n v="10000000"/>
    <x v="0"/>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999 Servicio de mantenimiento y reparación de otros equipos n.c.p."/>
    <s v="No Secop"/>
  </r>
  <r>
    <n v="20250667"/>
    <x v="0"/>
    <s v="Dirección Tic"/>
    <s v="Paula Ximena Henao Escobar"/>
    <s v="Prestar los servicios profesionales al área de Tecnologías de la Información y las Comunicaciones de la U.A.E. Cuerpo Oficial de Bomberos Bogotá, para desarrollar actividades administrativas en todos los niveles relacionados con los servicios tecnológicos del Edificio Comando, Estaciones y Supercades, de la Entidad."/>
    <s v="25 - contrato de prestacion de servicios profesionales"/>
    <n v="80111600"/>
    <n v="4"/>
    <n v="8"/>
    <n v="0"/>
    <n v="440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669"/>
    <x v="1"/>
    <s v="Sub. Operativa"/>
    <s v="Yenire Yohansy Lozano Ascanio"/>
    <s v="Prestar servicios de asesoría jurídica especializada en la estructuración, seguimiento y revisión de  las acciones, actividades, procesos contractuales y procedimientos asociados al proceso de manejo a cargo de la Subdirección Operativa."/>
    <s v="25 - contrato de prestacion de servicios profesionales"/>
    <n v="80111600"/>
    <n v="4"/>
    <n v="9"/>
    <n v="0"/>
    <n v="85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2199 Otros servicios jurídicos n.c.p."/>
    <s v="Si Secop "/>
  </r>
  <r>
    <n v="20250670"/>
    <x v="1"/>
    <s v="Sub. Operativa"/>
    <s v="Yenire Yohansy Lozano Ascanio"/>
    <s v="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
    <s v="25 - contrato de prestacion de servicios profesionales"/>
    <n v="80111600"/>
    <n v="4"/>
    <n v="9"/>
    <n v="0"/>
    <n v="85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2199 Otros servicios jurídicos n.c.p."/>
    <s v="Si Secop "/>
  </r>
  <r>
    <n v="20250671"/>
    <x v="1"/>
    <s v="Sub. Operativa"/>
    <s v="Yenire Yohansy Lozano Ascanio"/>
    <s v="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
    <s v="25 - contrato de prestacion de servicios profesionales"/>
    <n v="80111600"/>
    <n v="4"/>
    <n v="9"/>
    <n v="0"/>
    <n v="85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2199 Otros servicios jurídicos n.c.p."/>
    <s v="Si Secop "/>
  </r>
  <r>
    <n v="20250672"/>
    <x v="1"/>
    <s v="Sub. Operativa"/>
    <s v="Yenire Yohansy Lozano Ascanio"/>
    <s v="Prestación de servicios de apoyo a la gestión para ejecutar actividades administrativas y asistenciales, así como el diligenciamiento y seguimiento de las solicitudes en las herramientas de gestión de los procedimientos a cargo de la subdirección operativa -s.o."/>
    <s v="26 - contrato de prestacion de servicios de apoyo a la gestion"/>
    <n v="80111600"/>
    <n v="6"/>
    <n v="9"/>
    <n v="0"/>
    <n v="396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73"/>
    <x v="1"/>
    <s v="Sub. Operativa"/>
    <s v="Yenire Yohansy Lozano Ascanio"/>
    <s v="Prestación de servicios profesionales para estructurar, definir y verificar en los aspectos técnicos de los diferentes procesos de contratación de bienes y servicios de la Subdirección Operativa en las etapas precontractual, contractual y postcontractual."/>
    <s v="25 - contrato de prestacion de servicios profesionales"/>
    <n v="80111600"/>
    <n v="4"/>
    <n v="9"/>
    <n v="0"/>
    <n v="44324929"/>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74"/>
    <x v="1"/>
    <s v="Sub. Operativa"/>
    <s v="Yenire Yohansy Lozano Ascanio"/>
    <s v="Prestación de servicios de apoyo para desarrollar y mantener las condiciones básicas de bienestar de los caninos y de  animales rescatados o recuperados que atiende el grupo BRAE a Cargo de la Subdirección Operativa "/>
    <s v="26 - contrato de prestacion de servicios de apoyo a la gestion"/>
    <n v="80111600"/>
    <n v="4"/>
    <n v="6"/>
    <n v="0"/>
    <n v="215157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77"/>
    <x v="2"/>
    <s v="Sub. Operativa"/>
    <s v="Yenire Yohansy Lozano Ascanio"/>
    <s v="Adquisición de elementos de protección personal (E.P.P.) para la atención de emergencias de la UAE Cuerpo Oficial de Bomberos de Bogotá"/>
    <s v="06 - contrato de compraventa"/>
    <s v="46181500;_x000a_46181600"/>
    <n v="6"/>
    <n v="6"/>
    <n v="0"/>
    <n v="6000000000"/>
    <x v="1"/>
    <s v="03 - selec. abrev. subasta inversa"/>
    <s v="No aplica"/>
    <s v="NA"/>
    <s v="NA"/>
    <s v="NA"/>
    <s v="N/A"/>
    <s v="N/A"/>
    <s v="N/A-N/A"/>
    <s v="N/A"/>
    <s v="N/A"/>
    <s v="N/A_N/A"/>
    <s v="N/A-N/A N/A_N/A"/>
    <s v="NANANAN/AN/A"/>
    <s v="N/A"/>
    <s v="O2120201002082823609    Uniformes de trabajo"/>
    <s v="Si Secop "/>
  </r>
  <r>
    <n v="20250678"/>
    <x v="0"/>
    <s v="Dirección Tic"/>
    <s v="Paula Ximena Henao Escobar"/>
    <s v="Pago pasivo del contrato 149 de 2020 cuyo objeto es: &quot;prestar servicios profesionales en el levantamiento de las necesidades funcionales de los usuarios, y en el análisis y documentación de los requerimientos técnicos para la mejora o construcción de sistemas de información de la entidad, observando los estándares de calidad establecidos, contrato de prestación de servicios 149 de 2020.&quot;"/>
    <s v="12 - resolucion"/>
    <n v="80111600"/>
    <n v="4"/>
    <n v="1"/>
    <n v="0"/>
    <n v="200000"/>
    <x v="2"/>
    <s v="91 - n/a acto administrativo (resolución, decreto, acuerdo, etc.)"/>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No Secop"/>
  </r>
  <r>
    <n v="20250680"/>
    <x v="0"/>
    <s v="Dirección Tic"/>
    <s v="Paula Ximena Henao Escobar"/>
    <s v="Contratar el servicio de mantenimiento, soporte técnico y actualización del aplicativo PCT, utilizado por la UAE Cuerpo Oficial de Bomberos de Bogota - TIC"/>
    <s v="24 - contrato de servicio"/>
    <s v="81112200;81112201"/>
    <n v="4"/>
    <n v="9"/>
    <n v="0"/>
    <n v="185045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682"/>
    <x v="1"/>
    <s v="Sub. Gestión Humana"/>
    <s v="Jose Andres Ponce Caicedo"/>
    <s v="SGH - Prestar servicios profesionales para apoyar al equipo líder de la Escuela de Formación Bomberil – Academia, en los procesos y procedimientos administrativos, operativos y pedagógicos que le sean asignados."/>
    <s v="25 - contrato de prestacion de servicios profesionales"/>
    <n v="80111600"/>
    <n v="4"/>
    <n v="8"/>
    <n v="0"/>
    <n v="48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683"/>
    <x v="1"/>
    <s v="Sub. Gestión Humana"/>
    <s v="Jose Andres Ponce Caicedo"/>
    <s v="SGH - Prestar sus servicios profesionales especializados, en materia de producción audiovisual e imágenes en movimiento, enfocados al fortalecimiento de la imagen y redes institucionales, que sean requeridas por la Subdirección de Gestión Humana"/>
    <s v="25 - contrato de prestacion de servicios profesionales"/>
    <n v="80111600"/>
    <n v="4"/>
    <n v="8"/>
    <n v="0"/>
    <n v="736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684"/>
    <x v="1"/>
    <s v="Sub. Logística"/>
    <s v="Omer Mauricio Rivera Ruiz"/>
    <s v="Adicion y prorroga contrato  654 2024 cuyo objeto es &quot;Suministrar repuestos, accesorios e insumos para los equipos menores y transversales de propiedad de la UAECOB. – SBLG&quot;,"/>
    <s v="08 - contrato de suministro"/>
    <s v="31261500; 31161500; 31161600; 31162300; 31162800; 31171500; 31171700; 39121600; 27121600 "/>
    <n v="3"/>
    <n v="2"/>
    <n v="0"/>
    <n v="25000000"/>
    <x v="0"/>
    <s v="03 - selec. abrev. subasta invers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No Secop"/>
  </r>
  <r>
    <n v="20250685"/>
    <x v="2"/>
    <s v="Sub. Gestión Corporativa"/>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8"/>
    <n v="4"/>
    <n v="15"/>
    <n v="300000000"/>
    <x v="1"/>
    <s v="01 - licitación pública"/>
    <s v="No aplica"/>
    <s v="NA"/>
    <s v="NA"/>
    <s v="NA"/>
    <s v="N/A"/>
    <s v="N/A"/>
    <s v="N/A-N/A"/>
    <s v="N/A"/>
    <s v="N/A"/>
    <s v="N/A_N/A"/>
    <s v="N/A-N/A N/A_N/A"/>
    <s v="NANANAN/AN/A"/>
    <s v="N/A"/>
    <s v="No Aplica"/>
    <s v="Si Secop "/>
  </r>
  <r>
    <n v="20250686"/>
    <x v="0"/>
    <s v="Sub. Gestión Corporativa"/>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8"/>
    <n v="4"/>
    <n v="15"/>
    <n v="445347705"/>
    <x v="0"/>
    <s v="01 - licitación públic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250 Servicios de protección (guardas de seguridad)"/>
    <s v="Si Secop "/>
  </r>
  <r>
    <n v="20250687"/>
    <x v="1"/>
    <s v="Sub. Gestión Riesgos"/>
    <s v="William Tovar Segura"/>
    <s v="ADICION Y PRORROGA CTO 791-2024 Contratar un servicio de acceso a la herramienta LMS E-learning, que permita el desarrollo de las capacitaciones virtuales programadas en la UAECOB._SGR"/>
    <s v="03 - contrato de prestacion de servicios"/>
    <s v="43232300_x000a_43232500_x000a_43233700_x000a_86141500_x000a_81111800_x000a_81112500_x000a_86141700"/>
    <n v="4"/>
    <n v="4"/>
    <n v="0"/>
    <n v="19086500"/>
    <x v="0"/>
    <s v="04 - contratación mínima cuantí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No Secop"/>
  </r>
  <r>
    <n v="20250688"/>
    <x v="1"/>
    <s v="Sub. Gestión Riesgos"/>
    <s v="William Tovar Segura"/>
    <s v="Adquisición de elementos de soporte  operacional  para la emergencia_SGR"/>
    <s v="06 - contrato de compraventa"/>
    <s v="56101900_x000a_60131500_x000a_50101904   _x000a_31132100  _x000a_31132300 "/>
    <n v="5"/>
    <n v="4"/>
    <n v="0"/>
    <n v="7165123"/>
    <x v="0"/>
    <s v="04 - contratación mínima cuantía"/>
    <s v="8173 1-Implementación 6 estrategias de reducción del riesgo de incendios,  incidentes con materiales peligrosos y rescate en todas sus modalidades en la ciudad de Bogotá"/>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689"/>
    <x v="1"/>
    <s v="Sub. Gestión Riesgos"/>
    <s v="William Tovar Segura"/>
    <s v="Prestar sus servicios profesionales en las actividades relacionadas con la emision de conceptos a cargo de la Subdirección de Gestión del Riesgo._SGR"/>
    <s v="25 - contrato de prestacion de servicios profesionales"/>
    <n v="80111600"/>
    <n v="9"/>
    <n v="4"/>
    <n v="0"/>
    <n v="18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690"/>
    <x v="0"/>
    <s v="Dirección Tic"/>
    <s v="Paula Ximena Henao Escobar"/>
    <s v="Prestar los servicios profesionales en el área de Tecnologías de la Información y las Comunicaciones de la U.A.E. Cuerpo Oficial de Bomberos Bogotá, realizando la gestión y administración de la infraestructura tecnológica de servidores, servicios de nube y componentes relacionados, con los que cuenta la entidad."/>
    <s v="25 - contrato de prestacion de servicios profesionales"/>
    <n v="80111600"/>
    <n v="4"/>
    <n v="9"/>
    <n v="0"/>
    <n v="6705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693"/>
    <x v="2"/>
    <s v="Sub. Gestión Corporativa"/>
    <s v="Fatima Veronica Quintero Nuñez"/>
    <s v="Adición No. 7 y prórroga No. 8 al contrato 409 de 2021 que tiene como objeto &quot;Prestar los servicios de Custodia, Consulta y Traslado Documental de Acuerdo a las especificaciones Técnicas y requisitos contemplados en la normatividad Archivística Vigente-SGC"/>
    <s v="11 - orden de prestacion de servicios"/>
    <s v="78131800;80101500;80101600;80161500;81111900;81112000"/>
    <n v="4"/>
    <n v="4"/>
    <n v="0"/>
    <n v="18003072"/>
    <x v="1"/>
    <s v="01 - licitación pública"/>
    <s v="No aplica"/>
    <s v="NA"/>
    <s v="NA"/>
    <s v="NA"/>
    <s v="N/A"/>
    <s v="N/A"/>
    <s v="N/A-N/A"/>
    <s v="N/A"/>
    <s v="N/A"/>
    <s v="N/A_N/A"/>
    <s v="N/A-N/A N/A_N/A"/>
    <s v="NANANAN/AN/A"/>
    <s v="N/A"/>
    <s v="No Aplica"/>
    <s v="No Secop"/>
  </r>
  <r>
    <n v="20250694"/>
    <x v="1"/>
    <s v="Sub. Gestión Riesgos"/>
    <s v="William Tovar Segura"/>
    <s v="Prestar servicios apoyo técnico para el desarrollo de los contenidos graficos, piezas comunicativa y de imagen institucional para la Subdirección de Gestión del riesgo._SGR"/>
    <s v="26 - contrato de prestacion de servicios de apoyo a la gestion"/>
    <n v="80111600"/>
    <n v="6"/>
    <n v="8"/>
    <n v="0"/>
    <n v="304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50695"/>
    <x v="1"/>
    <s v="Sub. Gestión Humana"/>
    <s v="Jose Andres Ponce Caicedo"/>
    <s v="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
    <s v="25 - contrato de prestacion de servicios profesionales"/>
    <n v="80111600"/>
    <n v="5"/>
    <n v="4"/>
    <n v="0"/>
    <n v="20644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696"/>
    <x v="1"/>
    <s v="Sub. Gestión Humana"/>
    <s v="Jose Andres Ponce Caicedo"/>
    <s v="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
    <s v="25 - contrato de prestacion de servicios profesionales"/>
    <n v="80111600"/>
    <n v="5"/>
    <n v="4"/>
    <n v="0"/>
    <n v="20644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697"/>
    <x v="1"/>
    <s v="Sub. Gestión Humana"/>
    <s v="Jose Andres Ponce Caicedo"/>
    <s v="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
    <s v="25 - contrato de prestacion de servicios profesionales"/>
    <n v="80111600"/>
    <n v="5"/>
    <n v="4"/>
    <n v="0"/>
    <n v="20644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698"/>
    <x v="1"/>
    <s v="Sub. Gestión Humana"/>
    <s v="Jose Andres Ponce Caicedo"/>
    <s v="Prestar servicios profesionales en el levantamiento y procesamiento de cargas laborales en el instrumento dispuesto por la UAE Cuerpo Oficial de Bomberos de Bogotá D.C., que incida en el fortalecimiento de los programas de formación"/>
    <s v="25 - contrato de prestacion de servicios profesionales"/>
    <n v="80111600"/>
    <n v="5"/>
    <n v="3"/>
    <n v="0"/>
    <n v="15483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699"/>
    <x v="1"/>
    <s v="Sub. Gestión Humana"/>
    <s v="Jose Andres Ponce Caicedo"/>
    <s v="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
    <s v="25 - contrato de prestacion de servicios profesionales"/>
    <n v="80111600"/>
    <n v="5"/>
    <n v="4"/>
    <n v="0"/>
    <n v="15483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700"/>
    <x v="1"/>
    <s v="Sub. Gestión Humana"/>
    <s v="Jose Andres Ponce Caicedo"/>
    <s v="Prestar servicios profesionales en el levantamiento y procesamiento de cargas laborales en el instrumento dispuesto por la UAE Cuerpo Oficial de Bomberos de Bogotá D.C., que incida en el fortalecimiento de los programas de formación."/>
    <s v="25 - contrato de prestacion de servicios profesionales"/>
    <n v="80111600"/>
    <n v="5"/>
    <n v="3"/>
    <n v="0"/>
    <n v="15483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702"/>
    <x v="1"/>
    <s v="Sub. Logística"/>
    <s v="Omer Mauricio Rivera Ruiz"/>
    <s v="Adcion y prroroga al contratro  696 de 2024. cuyo objeto es :&quot;Prestar el servicio de mantenimiento preventivo y correctivo, de latonería y pintura, incluyendo el suministro de repuestos, insumos y mano de obra especializada para los vehículos livianos pertenecientes al parque automotor de la UAE Cuerpo Oficial de Bomberos de Bogotá DC, &quot;"/>
    <s v="17 - contrato de mantenimiento"/>
    <n v="78181500"/>
    <n v="8"/>
    <n v="12"/>
    <n v="0"/>
    <n v="200000000"/>
    <x v="0"/>
    <s v="01 - licitación públic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714199 Servicio de mantenimiento y reparación de vehículos automotores n.c.p."/>
    <s v="No Secop"/>
  </r>
  <r>
    <n v="20250703"/>
    <x v="1"/>
    <s v="Sub. Logística"/>
    <s v="Omer Mauricio Rivera Ruiz"/>
    <s v="Adición  del Cto 557 de 2024 cuyo objeto &quot;Prestación de servicios médicos veterinarios, con suministro de medicamentos e insumos veterinarios, para los caninos de la U.A.E. Cuerpo Oficial de Bomberos de Bogotá - SBLG"/>
    <s v="08 - contrato de suministro"/>
    <s v="10121801;10121802;10121602 "/>
    <n v="4"/>
    <n v="12"/>
    <n v="0"/>
    <n v="15000000"/>
    <x v="0"/>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590 Otros servicios veterinarios"/>
    <s v="No Secop"/>
  </r>
  <r>
    <n v="20250704"/>
    <x v="1"/>
    <s v="Sub. Logística"/>
    <s v="Omer Mauricio Rivera Ruiz"/>
    <s v="Adquisición de concentrado de espuma, mantenimiento y recarga de extintores, cilindros y tanques de las maquinas extintoras de la UAECOB.   LOTE I Y LOTE II - SBLG"/>
    <s v="08 - contrato de suministro"/>
    <s v="46191506;46191601"/>
    <n v="9"/>
    <n v="6"/>
    <n v="0"/>
    <n v="50000000"/>
    <x v="0"/>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1010030208 Otra maquinaria para usos especiales y sus partes y piezas"/>
    <s v="Si Secop "/>
  </r>
  <r>
    <n v="20250705"/>
    <x v="0"/>
    <s v="Oficina Asesora de Planeación"/>
    <s v="Manuel Eduardo Castillo Guzman"/>
    <s v="_x000a_Pago pasivo del contrato 406 de 2020 cuyo objeto es: &quot;prestar servicios profesionales a la Oficina Asesora de Planeación, en el marco de los procesos y procedimientos que adelanta la dependencia, contrato de prestación de servicios 406 de 2020.&quot;"/>
    <s v="25 - contrato de prestacion de servicios profesionales"/>
    <n v="80111600"/>
    <n v="0"/>
    <n v="0"/>
    <n v="0"/>
    <n v="333333"/>
    <x v="2"/>
    <s v="91 - n/a acto administrativo (resolución, decreto, acuerdo, etc.)"/>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No Secop"/>
  </r>
  <r>
    <n v="20250706"/>
    <x v="0"/>
    <s v="Oficina Asesora de Planeación"/>
    <s v="Manuel Eduardo Castillo Guzman"/>
    <s v="Pago pasivo del contrato 420 de 2022 cuyo objeto es: &quot;prestar servicios profesionales para apoyar a la Oficina Asesora de Planeación en la formulación, seguimiento y control presupuestal y estratégico de los proyectos de inversión de la Entidad.-OAP, CONTRATO DE PRESTACION DE SERVICIOS PROFESIONALES 420 DE 2022.&quot;"/>
    <s v="25 - contrato de prestacion de servicios profesionales"/>
    <n v="80111600"/>
    <n v="0"/>
    <n v="0"/>
    <n v="0"/>
    <n v="2100000"/>
    <x v="2"/>
    <s v="91 - n/a acto administrativo (resolución, decreto, acuerdo, etc.)"/>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No Secop"/>
  </r>
  <r>
    <n v="20250707"/>
    <x v="0"/>
    <s v="Oficina Asesora de Planeación"/>
    <s v="Manuel Eduardo Castillo Guzman"/>
    <s v="Pago pasivo del contrato 270 de 2022 cuyo objeto es: &quot;Adición y prórroga al Contrato 270 de 2022 cuyo objeto es &quot;Prestar servicios profesionales en la Oficina Asesora de Planeación para liderar el fortalecimiento y cumplimiento de la Gestión Estratégica y la mejora continua en la entidad -OAP-&quot;, Otro Si No. 02 de 2022.&quot;"/>
    <s v="25 - contrato de prestacion de servicios profesionales"/>
    <n v="80111600"/>
    <n v="0"/>
    <n v="0"/>
    <n v="0"/>
    <n v="283334"/>
    <x v="2"/>
    <s v="91 - n/a acto administrativo (resolución, decreto, acuerdo, etc.)"/>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No Secop"/>
  </r>
  <r>
    <n v="20250708"/>
    <x v="0"/>
    <s v="Oficina Asesora de Planeación"/>
    <s v="Manuel Eduardo Castillo Guzman"/>
    <s v="Pago pasivo del contrato 271 de 2023 cuyo objeto es: &quot;Prestar servicios profesionales en la Oficina Asesora de Planeación de la UAE Cuerpo Oficial de Bomberos de Bogotá en el control y seguimiento del cumplimiento al Modelo Integrado de Planeación y Gestión - MIPG-OAP, CONTRATO DE PRESTACION DE SERVICIOS PROFESIONALES&quot;"/>
    <s v="25 - contrato de prestacion de servicios profesionales"/>
    <n v="80111600"/>
    <n v="0"/>
    <n v="0"/>
    <n v="0"/>
    <n v="800000"/>
    <x v="2"/>
    <s v="91 - n/a acto administrativo (resolución, decreto, acuerdo, etc.)"/>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No Secop"/>
  </r>
  <r>
    <n v="20250709"/>
    <x v="0"/>
    <s v="Oficina Asesora de Planeación"/>
    <s v="Manuel Eduardo Castillo Guzman"/>
    <s v="Prestar servicios de apoyo asistencial a la Oficina Asesora de Planeación en la gestión de actividades operativas, procesos institucionales y herramientas de gestión, contribuyendo al fortalecimiento de la planeación estratégica y a la articulación de los lineamientos del Modelo Integrado de Planeación y Gestión – MIPG."/>
    <s v="26 - contrato de prestacion de servicios de apoyo a la gestion"/>
    <n v="80111600"/>
    <n v="5"/>
    <n v="7"/>
    <n v="0"/>
    <n v="31435712"/>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710"/>
    <x v="0"/>
    <s v="Oficina Juridica"/>
    <s v="Monica Perez Barragan"/>
    <s v="Adición y prórroga al contrato 61 de 2025 cuyo objeto es: &quot;Prestar los servicios profesionales jurídicos especializados en la Oficina Jurídica que garantice la verificación de la legalidad, en apoyo a cada una de las actuaciones a cargo de esta Oficina&quot;."/>
    <s v="25 - contrato de prestacion de servicios profesionales"/>
    <n v="80111600"/>
    <n v="6"/>
    <n v="2"/>
    <n v="0"/>
    <n v="21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712"/>
    <x v="0"/>
    <s v="Dirección Tic"/>
    <s v="Paula Ximena Henao Escobar"/>
    <s v="Aunar esfuerzos técnicos administrativos y financieros entre la Unidad Administrativa Especial Cuerpo Oficial de Bomberos y la Corporación Red Nacional Académica de Tecnología Avanzada RENATA para el fortalecimiento y modernización de la infraestructura tecnológica de la Unidad.  "/>
    <s v="09 - convenio interadministrativo"/>
    <s v="81111500; 81111900; 81112200; 43232400; 43231500"/>
    <n v="6"/>
    <n v="12"/>
    <n v="0"/>
    <n v="65000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713"/>
    <x v="1"/>
    <s v="Sub. Logística"/>
    <s v="Omer Mauricio Rivera Ruiz"/>
    <s v="Adicion y Prorrga Contrato  801 de 2024.cuyo objeto es &quot;Contratar el mantenimiento y recarga de los extintores y otros elementos pertinentes a la U.A.E.Cuerpo Oficial de Bomberos de Bogotá. - SBLG&quot;"/>
    <s v="08 - contrato de suministro"/>
    <s v="46191506;46191601"/>
    <n v="5"/>
    <n v="2"/>
    <n v="0"/>
    <n v="5000000"/>
    <x v="0"/>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1010030208 Otra maquinaria para usos especiales y sus partes y piezas"/>
    <s v="Si Secop "/>
  </r>
  <r>
    <n v="20250714"/>
    <x v="0"/>
    <s v="Sub. Gestión Corporativa"/>
    <s v="Fatima Veronica Quintero Nuñez"/>
    <s v=" Reconocimiento pasivo exigible contrato de prestación servicios No 117 de 2022 suscrito con ANGIE TATIANA GAMBA WILCHES, para prestación de servicios profesionales en la implementación, consolidación, seguimiento y reporte de los lineamientos ambientales en cada una de las sedes de la UAE Cuerpo Oficial de Bomberos Bogotá-SGC. Reconoce $513.333 según cuenta de cobro del 03 febrero del 2025. Resolución 0161 de 2025. "/>
    <s v="12 - resolucion"/>
    <s v="N/A"/>
    <s v="N/A"/>
    <s v="N/A"/>
    <s v="N/A"/>
    <n v="513333"/>
    <x v="2"/>
    <s v="91 - n/a acto administrativo (resolución, decreto, acuerdo, etc.)"/>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715"/>
    <x v="0"/>
    <s v="Sub. Gestión Corporativa"/>
    <s v="Fatima Veronica Quintero Nuñez"/>
    <s v=" Reconocimiento y pago pasivo exigible contrato de prestación servicios No 342 de 2022 suscrito con PEDRO MARTIN POVEDA CHOCONTA, para Prestación de servicios profesionales a la Subdirección de Gestión Corporativa para apoyar las actividades jurídicas requeridas por esta dependencia-SGC. Reconoce $1´100.000 según cuenta de cobro del 06 febrero del 2025. Resolución 0161 de 2025. "/>
    <s v="12 - resolucion"/>
    <s v="N/A"/>
    <s v="N/A"/>
    <s v="N/A"/>
    <s v="N/A"/>
    <n v="1100000"/>
    <x v="2"/>
    <s v="91 - n/a acto administrativo (resolución, decreto, acuerdo, etc.)"/>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No Secop"/>
  </r>
  <r>
    <n v="20250716"/>
    <x v="1"/>
    <s v="Sub. Gestión Corporativa"/>
    <s v="Fatima Veronica Quintero Nuñez"/>
    <s v=" Reconocimiento y pago pasivo exigible contrato de Obra No 568 de 2022 suscrito con BERMORI GRANADA VALENCIA, para realizar la adecuación y mejoramiento de las instalaciones de las estaciones de Bomberos de la UAE Cuerpo oficial de Bomberos Bogotá-SGC, (Grupo 1). Reconoce el valor de $80´100.864 según factura No. BGV1 118 del 24 de octubre de 2024. Resolución 0161 de 2025."/>
    <s v="12 - resolucion"/>
    <s v="N/A"/>
    <s v="N/A"/>
    <s v="N/A"/>
    <s v="N/A"/>
    <n v="80100864"/>
    <x v="2"/>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5040554590 Otros servicios especializados de la construcción"/>
    <s v="No Secop"/>
  </r>
  <r>
    <n v="20250717"/>
    <x v="1"/>
    <s v="Sub. Gestión Corporativa"/>
    <s v="Fatima Veronica Quintero Nuñez"/>
    <s v=" Reconocimiento y pago pasivo exigible contrato de mantenimiento No 472 de 2018 suscrito con ESTRUVIAS LTDA, para reparación locativa y mantenimiento del área de la piscina de la Estación de Bomberos de Kennedy. Reconoce el valor de $35´774.826 según factura No. 1042 del 27 de diciembre de 2019. Resolución 0161 de 2025. "/>
    <s v="12 - resolucion"/>
    <s v="N/A"/>
    <s v="N/A"/>
    <s v="N/A"/>
    <s v="N/A"/>
    <n v="35774826"/>
    <x v="2"/>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5040554590 Otros servicios especializados de la construcción"/>
    <s v="No Secop"/>
  </r>
  <r>
    <n v="20250718"/>
    <x v="1"/>
    <s v="Sub. Gestión Corporativa"/>
    <s v="Fatima Veronica Quintero Nuñez"/>
    <s v=" Reconocimiento y pago pasivo exigible contrato de prestación servicios No 28 de 2022 suscrito con RAUL LIZANDRO MARTINEZ SILVA, para prestación de servicios de apoyo a la gestión, en la Subdirección de Gestión Corporativa en temas de infraestructura para el sostenimiento y mejoramiento de los equipamientos de la Unidad Administrativa Especial Cuerpo Oficial de Bomberos de Bogotá-SGC. Reconoce $2´450.000 según cuenta de cobro del 07 febrero del 2025. Resolución 0161 de 2025."/>
    <s v="12 - resolucion"/>
    <s v="N/A"/>
    <s v="N/A"/>
    <s v="N/A"/>
    <s v="N/A"/>
    <n v="2450000"/>
    <x v="2"/>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883990 Otros servicios profesionales, técnicos y empresariales n.c.p."/>
    <s v="No Secop"/>
  </r>
  <r>
    <n v="20250719"/>
    <x v="1"/>
    <s v="Sub. Gestión Corporativa"/>
    <s v="Fatima Veronica Quintero Nuñez"/>
    <s v=" Reconocimiento y pago pasivo exigible contrato de consultoría No 510 de 2022 suscrito con MC ARQUITECTOS SA, para la elaboración de estudios y diseños técnicos para la construcción de la estación de bomberos de Caobos Salazar B-13 de la UAE Cuerpo Oficial de Bomberos de Bogotá – SGC. Reconoce el valor de $95´749.143 según factura No. M1FE148 del 10 de diciembre de 2024. Resolución 0161 de 2025. "/>
    <s v="12 - resolucion"/>
    <s v="N/A"/>
    <s v="N/A"/>
    <s v="N/A"/>
    <s v="N/A"/>
    <n v="95749143"/>
    <x v="2"/>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5040554590 Otros servicios especializados de la construcción"/>
    <s v="No Secop"/>
  </r>
  <r>
    <n v="20250720"/>
    <x v="1"/>
    <s v="Sub. Gestión Corporativa"/>
    <s v="Fatima Veronica Quintero Nuñez"/>
    <s v=" Reconocimiento y pago pasivo exigible contrato de interventoría No 587 de 2022 suscrito con PROYECTOS Y CONSULTORIAS ORION SAS, para realizar la interventoría técnica, administrativa, legal, financiera, contable, seguridad y salud en el trabajo, social y ambiental del contrato con objeto &quot;realizar la adecuación y mejoramiento de las instalaciones de las estaciones de Bomberos de la UAE Cuerpo oficial de Bomberos Bogotá&quot;-SGC. Reconoce el valor de $10´284.691 según factura No. ORL1-1014 del 14 de mayo de 2024. Resolución 0161 de 2025. "/>
    <s v="12 - resolucion"/>
    <s v="N/A"/>
    <s v="N/A"/>
    <s v="N/A"/>
    <s v="N/A"/>
    <n v="10284691"/>
    <x v="2"/>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5040554590 Otros servicios especializados de la construcción"/>
    <s v="No Secop"/>
  </r>
  <r>
    <n v="20250721"/>
    <x v="2"/>
    <s v="Sub. Gestión Corporativa"/>
    <s v="Fatima Veronica Quintero Nuñez"/>
    <s v=" Reconocimiento y pago pasivo exigible contrato de Mantenimiento No 304 de 2021 suscrito con ASCENSORES SCHINDLER DE COLOMBIA SAS, para el mantenimiento correctivo y preventivo con suministro de repuestos para los Ascensores Edificio Comando. -SGC. Reconoce el valor de $1´732.849 según factura No. 9170281111 del 08 de marzo de 2022. Resolución 0161 de 2025. "/>
    <s v="12 - resolucion"/>
    <s v="N/A"/>
    <s v="N/A"/>
    <s v="N/A"/>
    <s v="N/A"/>
    <n v="1732849"/>
    <x v="2"/>
    <s v="91 - n/a acto administrativo (resolución, decreto, acuerdo, etc.)"/>
    <s v="No aplica"/>
    <s v="NA"/>
    <s v="NA"/>
    <s v="NA"/>
    <s v="N/A"/>
    <s v="N/A"/>
    <s v="N/A-N/A"/>
    <s v="N/A"/>
    <s v="N/A"/>
    <s v="N/A_N/A"/>
    <s v="N/A-N/A N/A_N/A"/>
    <s v="NANANAN/AN/A"/>
    <s v="N/A"/>
    <s v=" No Aplica "/>
    <s v="No Secop"/>
  </r>
  <r>
    <n v="20250722"/>
    <x v="0"/>
    <s v="Dirección Tic"/>
    <s v="Paula Ximena Henao Escobar"/>
    <s v="Contratar la renovación , servicio de actualización y soporte de licenciamiento Oracle para Base de Datos,  y Web Logic para la U.A.E. Cuerpo Oficial de Bomberos de Bogotá - TIC"/>
    <s v="19 - contrato de renovacion de licencias"/>
    <s v="81112204;81112501"/>
    <n v="6"/>
    <n v="12"/>
    <n v="0"/>
    <n v="187921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724"/>
    <x v="0"/>
    <s v="Dirección Tic"/>
    <s v="Paula Ximena Henao Escobar"/>
    <s v="Pago pasivo del contrato No. 614 de 2020 Adición y prorroga cuyo objeto es &quot;Prestar servicios profesionales en el levantamiento de las necesidades funcionales de lo susuarios, y en el análisis y documentación de los requerimientos técnicos para la mejora o construcción de sistemas de información de la entidad, observando los estándares de calidad establecidos, Otro Si No.01 de 2020.&quot;"/>
    <s v="12 - resolucion"/>
    <n v="80111600"/>
    <n v="6"/>
    <n v="6"/>
    <n v="0"/>
    <n v="213334"/>
    <x v="2"/>
    <s v="91 - n/a acto administrativo (resolución, decreto, acuerdo, etc.)"/>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No Secop"/>
  </r>
  <r>
    <n v="20250726"/>
    <x v="0"/>
    <s v="Oficina Juridica"/>
    <s v="Monica Perez Barragan"/>
    <s v="Adición y prórroga al contrato 164 de 2025 cuyo objeto es: &quo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quot;"/>
    <s v="25 - contrato de prestacion de servicios profesionales"/>
    <n v="80111600"/>
    <n v="6"/>
    <n v="1"/>
    <n v="0"/>
    <n v="7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No Secop"/>
  </r>
  <r>
    <n v="20250727"/>
    <x v="0"/>
    <s v="Oficina Juridica"/>
    <s v="Monica Perez Barragan"/>
    <s v="Adición y prórroga al contrato 40 de 2025 cuyo objeto es: &quo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quot;"/>
    <s v="25 - contrato de prestacion de servicios profesionales"/>
    <n v="80111600"/>
    <n v="2"/>
    <n v="11"/>
    <n v="0"/>
    <n v="15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No Secop"/>
  </r>
  <r>
    <n v="20250728"/>
    <x v="1"/>
    <s v="Sub. Operativa"/>
    <s v="Yenire Yohansy Lozano Ascanio"/>
    <s v="Adquisición de elementos de protección personal (E.P.P.) para la atención de emergencias de la UAE Cuerpo Oficial de Bomberos de Bogotá"/>
    <s v="06 - contrato de compraventa"/>
    <s v="46181500;_x000a_46181600"/>
    <n v="6"/>
    <n v="6"/>
    <n v="0"/>
    <n v="5607172370"/>
    <x v="0"/>
    <s v="03 - selec. abrev. subasta invers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1003083899997 Artículos n.c.p. para protección"/>
    <s v="Si Secop "/>
  </r>
  <r>
    <n v="20250729"/>
    <x v="1"/>
    <s v="Sub. Logística"/>
    <s v="Omer Mauricio Rivera Ruiz"/>
    <s v="Adición y prórroga  Contrato  374-2024 cuyo objeto es:   &quot;Prestación del servicio de mantenimiento preventivo y correctivo de los equipos de respiración autónoma Interspiro propiedad de la UAECOB, incluido el suministro de repuestos, insumos y mano de obra especializada&quot;"/>
    <s v="03 - contrato de prestacion de servicios"/>
    <n v="72101509"/>
    <n v="6"/>
    <n v="2"/>
    <n v="0"/>
    <n v="300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No Secop"/>
  </r>
  <r>
    <n v="20250730"/>
    <x v="1"/>
    <s v="Sub. Logística"/>
    <s v="Omer Mauricio Rivera Ruiz"/>
    <s v="Adicion y prorroga Contrato 580 de 2024 Cuyo objeto es: &quot;Suministro de alimentacion e hidratación para el cuerpo operativo en la atención  de emergencias, entrenamientos, capacitaciones y actividades de prevención. - SBLG&quot;"/>
    <s v="08 - contrato de suministro"/>
    <s v="90101800;90101600;50192700;50112000;50202311;50201709;50161509;50192110;93131602"/>
    <n v="6"/>
    <n v="12"/>
    <n v="0"/>
    <n v="60000000"/>
    <x v="0"/>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663393 Otros servicios de comidas contratadas"/>
    <s v="No Secop"/>
  </r>
  <r>
    <n v="20250731"/>
    <x v="0"/>
    <s v="Sub. Gestión Corporativa"/>
    <s v="Fatima Veronica Quintero Nuñez"/>
    <s v="Contratar la prestación del servicio de aseo y cafetería incluido insumos para la UAE Cuerpo Oficial de Bomberos -SGC"/>
    <s v="03 - contrato de prestacion de servicios"/>
    <s v="44121700;44121800;44121900;44122000"/>
    <n v="8"/>
    <n v="4"/>
    <n v="0"/>
    <n v="182025513"/>
    <x v="0"/>
    <s v="17 - acuerdo marco de precios"/>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330 Servicios de limpieza general"/>
    <s v="Si Secop "/>
  </r>
  <r>
    <n v="20250732"/>
    <x v="0"/>
    <s v="Sub. Gestión Corporativa"/>
    <s v="Fatima Veronica Quintero Nuñez"/>
    <s v=" Adición No. 2 y Prorroga No 3 del CTO 357 de 2024 cuyo objeto es &quot;Realizar el mantenimiento predictivo, preventivo, correctivo, mejoras y dotación a las instalaciones de las dependencias de la Unidad Administrativa Especial Cuerpo Oficial de Bomberos de Bogotá D.C. - SGC"/>
    <s v="17 - contrato de mantenimiento"/>
    <s v="72102900; _x000a_72121400; _x000a_72151700;_x000a_72154000;_x000a_72101500"/>
    <n v="7"/>
    <n v="1"/>
    <n v="17"/>
    <n v="200000000"/>
    <x v="0"/>
    <s v="01 - licitación públic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5040554590 Otros servicios especializados de la construcción"/>
    <s v="Si Secop "/>
  </r>
  <r>
    <n v="20250733"/>
    <x v="0"/>
    <s v="Sub. Gestión Corporativa"/>
    <s v="Fatima Veronica Quintero Nuñez"/>
    <s v=" Adición No. 2 y Prorroga No 3 del 379 de 2024 - Interventoría técnica, administrativa, financiera, contable, jurídica y ambiental para la realización del mantenimiento predictivo preventivo, correctivo, mejoras y dotación a las instalaciones de las dependencias de la Unidad Administrativa Especial Cuerpo Oficial de Bomberos de Bogotá D.C. - SGC"/>
    <s v="14 - contrato de interventoria"/>
    <s v="80101600;_x000a_81101500; _x000a_72101500; _x000a_72121400"/>
    <n v="7"/>
    <n v="1"/>
    <n v="17"/>
    <n v="47080000"/>
    <x v="0"/>
    <s v="06 - concurso de méritos abierto"/>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5040554590 Otros servicios especializados de la construcción"/>
    <s v="Si Secop "/>
  </r>
  <r>
    <n v="20250734"/>
    <x v="2"/>
    <s v="Sub. Gestión Corporativa"/>
    <s v="Fatima Veronica Quintero Nuñez"/>
    <s v="Contratar la prestación del servicio de aseo y cafetería incluido insumos para la UAE Cuerpo Oficial de Bomberos -SGC"/>
    <s v="03 - contrato de prestacion de servicios"/>
    <s v="44121700;44121800;44121900;44122000"/>
    <n v="8"/>
    <n v="4"/>
    <n v="0"/>
    <n v="116520528"/>
    <x v="1"/>
    <s v="17 - acuerdo marco de precios"/>
    <s v="No aplica"/>
    <s v="NA"/>
    <s v="NA"/>
    <s v="NA"/>
    <s v="N/A"/>
    <s v="N/A"/>
    <s v="N/A-N/A"/>
    <s v="N/A"/>
    <s v="N/A"/>
    <s v="N/A_N/A"/>
    <s v="N/A-N/A N/A_N/A"/>
    <s v="NANANAN/AN/A"/>
    <s v="N/A"/>
    <s v="No Aplica"/>
    <s v="Si Secop "/>
  </r>
  <r>
    <n v="20250735"/>
    <x v="2"/>
    <s v="Sub. Gestión Corporativa"/>
    <s v="Fatima Veronica Quintero Nuñez"/>
    <s v="Contratar la prestación del servicio de aseo y cafetería incluido insumos para la UAE Cuerpo Oficial de Bomberos -SGC"/>
    <s v="03 - contrato de prestacion de servicios"/>
    <s v="44121700;44121800;44121900;44122000"/>
    <n v="8"/>
    <n v="4"/>
    <n v="0"/>
    <n v="166486111"/>
    <x v="1"/>
    <s v="17 - acuerdo marco de precios"/>
    <s v="No aplica"/>
    <s v="NA"/>
    <s v="NA"/>
    <s v="NA"/>
    <s v="N/A"/>
    <s v="N/A"/>
    <s v="N/A-N/A"/>
    <s v="N/A"/>
    <s v="N/A"/>
    <s v="N/A_N/A"/>
    <s v="N/A-N/A N/A_N/A"/>
    <s v="NANANAN/AN/A"/>
    <s v="N/A"/>
    <s v="No Aplica"/>
    <s v="Si Secop "/>
  </r>
  <r>
    <n v="20250736"/>
    <x v="0"/>
    <s v="Sub. Gestión Corporativa"/>
    <s v="Fatima Veronica Quintero Nuñez"/>
    <s v="Prestar los servicios profesionales para el acompañamiento y el seguimiento de los comodatos y demás actividades relacionadas con los procesos y procedimientos de inventarios de la Subdireccion de Gestión Corporativa-SGC"/>
    <s v="25 - contrato de prestacion de servicios profesionales"/>
    <s v="80111600;"/>
    <n v="2"/>
    <n v="6"/>
    <n v="0"/>
    <n v="42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737"/>
    <x v="2"/>
    <s v="Sub. Gestión Corporativa"/>
    <s v="Fatima Veronica Quintero Nuñez"/>
    <s v="Mantenimiento correctivo y preventivo con suministro de repuestos para los Ascensores Edificio Comando-SGC"/>
    <s v="27 - contrato de prestacion de servicios de mantenimiento"/>
    <s v="72101506;_x000a_72154010;"/>
    <n v="4"/>
    <n v="8"/>
    <n v="0"/>
    <n v="20500000"/>
    <x v="1"/>
    <s v="09 - contratación directa"/>
    <s v="No aplica"/>
    <s v="NA"/>
    <s v="NA"/>
    <s v="NA"/>
    <s v="N/A"/>
    <s v="N/A"/>
    <s v="N/A-N/A"/>
    <s v="N/A"/>
    <s v="N/A"/>
    <s v="N/A_N/A"/>
    <s v="N/A-N/A N/A_N/A"/>
    <s v="NANANAN/AN/A"/>
    <s v="N/A"/>
    <s v="No Aplica"/>
    <s v="Si Secop "/>
  </r>
  <r>
    <n v="20250738"/>
    <x v="2"/>
    <s v="Sub. Gestión Corporativa"/>
    <s v="Fatima Veronica Quintero Nuñez"/>
    <s v="Mantenimiento correctivo y preventivo con suministro de repuestos ascensor nueva Estación de Bomberos BELLAVISTA- SGC"/>
    <s v="27 - contrato de prestacion de servicios de mantenimiento"/>
    <s v="72101506;_x000a_72154010;"/>
    <n v="3"/>
    <n v="8"/>
    <n v="0"/>
    <n v="8714800"/>
    <x v="1"/>
    <s v="09 - contratación directa"/>
    <s v="No aplica"/>
    <s v="NA"/>
    <s v="NA"/>
    <s v="NA"/>
    <s v="N/A"/>
    <s v="N/A"/>
    <s v="N/A-N/A"/>
    <s v="N/A"/>
    <s v="N/A"/>
    <s v="N/A_N/A"/>
    <s v="N/A-N/A N/A_N/A"/>
    <s v="NANANAN/AN/A"/>
    <s v="N/A"/>
    <s v="No Aplica"/>
    <s v="Si Secop "/>
  </r>
  <r>
    <n v="20250739"/>
    <x v="2"/>
    <s v="Sub. Gestión Corporativa"/>
    <s v="Fatima Veronica Quintero Nuñez"/>
    <s v=" Reconocimiento y pago pasivo exigible contrato de Mantenimiento No 304 de 2022 suscrito con  MITSUBISHI ELECTRIC DE COLOMBIA LTDA, para el mantenimiento ascensor nueva Estación de Bomberos de Fontibón-SGCReconoce el valor de $ 737.336 según factura No. T46259572 del 03 de abril de 2025. "/>
    <s v="12 - resolucion"/>
    <s v="N/A"/>
    <s v="N/A"/>
    <s v="N/A"/>
    <s v="N/A"/>
    <n v="737336"/>
    <x v="2"/>
    <s v="91 - n/a acto administrativo (resolución, decreto, acuerdo, etc.)"/>
    <s v="No aplica"/>
    <s v="NA"/>
    <s v="NA"/>
    <s v="NA"/>
    <s v="N/A"/>
    <s v="N/A"/>
    <s v="N/A-N/A"/>
    <s v="N/A"/>
    <s v="N/A"/>
    <s v="N/A_N/A"/>
    <s v="N/A-N/A N/A_N/A"/>
    <s v="NANANAN/AN/A"/>
    <s v="N/A"/>
    <s v="No Aplica"/>
    <s v="No Secop"/>
  </r>
  <r>
    <n v="20250740"/>
    <x v="2"/>
    <s v="Sub. Gestión Corporativa"/>
    <s v="Fatima Veronica Quintero Nuñez"/>
    <s v=" Reconocimiento y pago pasivo exigible contrato de Mantenimiento No 395 de 2022 suscrito con ASCENSORES SCHINDLER DE COLOMBIA SAS,para el mantenimiento correctivo y preventivo con suministro de repuestos para los Ascensores Edificio Comando. -SGC. Reconoce el valor de $1´830.230 según factura No. 9170465436 del 25 de abril de 2025."/>
    <s v="12 - resolucion"/>
    <s v="N/A"/>
    <s v="N/A"/>
    <s v="N/A"/>
    <s v="N/A"/>
    <n v="1830230"/>
    <x v="2"/>
    <s v="91 - n/a acto administrativo (resolución, decreto, acuerdo, etc.)"/>
    <s v="No aplica"/>
    <s v="NA"/>
    <s v="NA"/>
    <s v="NA"/>
    <s v="N/A"/>
    <s v="N/A"/>
    <s v="N/A-N/A"/>
    <s v="N/A"/>
    <s v="N/A"/>
    <s v="N/A_N/A"/>
    <s v="N/A-N/A N/A_N/A"/>
    <s v="NANANAN/AN/A"/>
    <s v="N/A"/>
    <s v="No Aplica"/>
    <s v="No Secop"/>
  </r>
  <r>
    <n v="20250741"/>
    <x v="2"/>
    <s v="Sub. Gestión Corporativa"/>
    <s v="Fatima Veronica Quintero Nuñez"/>
    <s v=" Reconocimiento y pago pasivo exigible contrato de Mantenimiento No 503 de 2023 suscrito con MITSUBISHI ELECTRIC DE COLOMBIA LTD, para el mantenimiento ascensor nueva Estación de Bomberos de Fontibón-SG. Reconoce el valor de $855.310 según factura No. T46255479 del 06 de marzo de 2025"/>
    <s v="12 - resolucion"/>
    <s v="N/A"/>
    <s v="N/A"/>
    <s v="N/A"/>
    <s v="N/A"/>
    <n v="855310"/>
    <x v="2"/>
    <s v="91 - n/a acto administrativo (resolución, decreto, acuerdo, etc.)"/>
    <s v="No aplica"/>
    <s v="NA"/>
    <s v="NA"/>
    <s v="NA"/>
    <s v="N/A"/>
    <s v="N/A"/>
    <s v="N/A-N/A"/>
    <s v="N/A"/>
    <s v="N/A"/>
    <s v="N/A_N/A"/>
    <s v="N/A-N/A N/A_N/A"/>
    <s v="NANANAN/AN/A"/>
    <s v="N/A"/>
    <s v="No Aplica"/>
    <s v="No Secop"/>
  </r>
  <r>
    <n v="20250742"/>
    <x v="1"/>
    <s v="Sub. Gestión Riesgos"/>
    <s v="William Tovar Segura"/>
    <s v="Prestar sus servicios de apoyo tecnico para realizar las inspecciones relacionadas con la emision de conceptos a cargo de la Subdirección de Gestión del Riesgo._SGR"/>
    <s v="26 - contrato de prestacion de servicios de apoyo a la gestion"/>
    <n v="80111600"/>
    <n v="10"/>
    <n v="2"/>
    <n v="0"/>
    <n v="8000000"/>
    <x v="0"/>
    <s v="09 - contratación directa"/>
    <s v="8173 5-Realizar 3 Estrategias de Investigación, desarrollo e innovación en gestión del riesgo"/>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743"/>
    <x v="1"/>
    <s v="Sub. Gestión Riesgos"/>
    <s v="William Tovar Segura"/>
    <s v="Prestar servicios profesionales para apoyar la planeación y gestión de las  estrategias de reducción y/o conocimiento del riesgo  para la Subdirección de Gestión del Riesgo._SGR"/>
    <s v="25 - contrato de prestacion de servicios profesionales"/>
    <n v="80111600"/>
    <n v="9"/>
    <n v="4"/>
    <n v="0"/>
    <n v="210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50744"/>
    <x v="1"/>
    <s v="Sub. Gestión Riesgos"/>
    <s v="William Tovar Segura"/>
    <s v="Prestar servicios profesionales en las actividades de identificacion de escenarios a cargo de la Subdirección de Gestión del Riesgo._SGR"/>
    <s v="25 - contrato de prestacion de servicios profesionales"/>
    <n v="80111600"/>
    <n v="7"/>
    <n v="6"/>
    <n v="0"/>
    <n v="30000000"/>
    <x v="0"/>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745"/>
    <x v="1"/>
    <s v="Sub. Gestión Riesgos"/>
    <s v="William Tovar Segura"/>
    <s v="Prestar servicios profesionales para la estructuracion y seguimiento de los procesos contractuales y demas aspectos juridicos de la Subdirección de Gestión del riesgo._SGR"/>
    <s v="25 - contrato de prestacion de servicios profesionales"/>
    <n v="80111600"/>
    <n v="8"/>
    <n v="5"/>
    <n v="0"/>
    <n v="240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2199 Otros servicios jurídicos n.c.p."/>
    <s v="Si Secop "/>
  </r>
  <r>
    <n v="20250746"/>
    <x v="1"/>
    <s v="Sub. Gestión Riesgos"/>
    <s v="William Tovar Segura"/>
    <s v="Prestar  servicios profesionales en las actividades de proyeccion e innovacion para la Subdirección de Gestión del Riesgo._SGR"/>
    <s v="25 - contrato de prestacion de servicios profesionales"/>
    <n v="80111600"/>
    <n v="6"/>
    <n v="6"/>
    <n v="0"/>
    <n v="54000000"/>
    <x v="0"/>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747"/>
    <x v="1"/>
    <s v="Sub. Gestión Riesgos"/>
    <s v="William Tovar Segura"/>
    <s v="Prestar sus servicios de apoyo tecnico para realizar las inspecciones relacionadas con la emision de conceptos a cargo de la Subdirección de Gestión del Riesgo._SGR"/>
    <s v="26 - contrato de prestacion de servicios de apoyo a la gestion"/>
    <n v="80111600"/>
    <n v="10"/>
    <n v="2"/>
    <n v="0"/>
    <n v="8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749"/>
    <x v="0"/>
    <s v="Dirección Tic"/>
    <s v="Paula Ximena Henao Escobar"/>
    <s v="Prestar servicios profesionales para administrar, gestionar y mantener las bases de datos de la UAE Cuerpo Oficial de Bomberos Bogotá. -TIC"/>
    <s v="25 - contrato de prestacion de servicios profesionales"/>
    <n v="80111600"/>
    <n v="2"/>
    <n v="11"/>
    <n v="0"/>
    <n v="3725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750"/>
    <x v="0"/>
    <s v="Dirección Tic"/>
    <s v="Paula Ximena Henao Escobar"/>
    <s v="Prestar los servicios profesionales al área de Tecnologías de la Información y las Comunicaciones de la U.A.E. Cuerpo Oficial de Bomberos Bogotá, en la estructuración y definición de aspectos jurídicos en las etapas precontractuales, contractuales y postcontractuales en el marco de los procesos y procedimientos a cargo del área. "/>
    <s v="25 - contrato de prestacion de servicios profesionales"/>
    <n v="80111600"/>
    <n v="2"/>
    <n v="11"/>
    <n v="0"/>
    <n v="475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2199 Otros servicios jurídicos n.c.p."/>
    <s v="Si Secop "/>
  </r>
  <r>
    <n v="20250751"/>
    <x v="0"/>
    <s v="Dirección Tic"/>
    <s v="Paula Ximena Henao Escobar"/>
    <s v="Prestar servicios profesionales  como administrador y gestor de la infraestructura de las comunicaciones y red regulada  de la UAE Cuerpo Oficial de Bomberos Bogotá-TIC"/>
    <s v="25 - contrato de prestacion de servicios profesionales"/>
    <n v="80111600"/>
    <n v="2"/>
    <n v="11"/>
    <n v="0"/>
    <n v="33672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752"/>
    <x v="0"/>
    <s v="Dirección Tic"/>
    <s v="Paula Ximena Henao Escobar"/>
    <s v="Prestar los servicios profesionales en el área de Tecnologías de la Información y las Comunicaciones de la U.A.E. Cuerpo Oficial de Bomberos Bogotá, apoyando en la gestión jurídica y contractual en todas sus etapas de los procesos, procedimientos y contratos a cargo de esta área."/>
    <s v="25 - contrato de prestacion de servicios profesionales"/>
    <n v="80111600"/>
    <n v="2"/>
    <n v="11"/>
    <n v="0"/>
    <n v="3978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2199 Otros servicios jurídicos n.c.p."/>
    <s v="Si Secop "/>
  </r>
  <r>
    <n v="20250753"/>
    <x v="0"/>
    <s v="Dirección Tic"/>
    <s v="Paula Ximena Henao Escobar"/>
    <s v="Prestar los servicios profesionales en el área de Tecnologías de la Información y las Comunicaciones de la U.A.E. Cuerpo Oficial de Bomberos Bogotá, gestionando y administrando los sistemas de información y aplicativos tecnológicos, con los que cuenta la entidad. "/>
    <s v="25 - contrato de prestacion de servicios profesionales"/>
    <n v="80111600"/>
    <n v="2"/>
    <n v="11"/>
    <n v="0"/>
    <n v="2235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754"/>
    <x v="0"/>
    <s v="Dirección Tic"/>
    <s v="Paula Ximena Henao Escobar"/>
    <s v="Prestar los servicios profesionales al área de Tecnologías de la Información y las Comunicaciones de la U.A.E. Cuerpo Oficial de Bomberos Bogotá, en la sustanciación, revisión y trámite de los procesos contractuales y gestión jurídica de los procedimientos a cargo del área."/>
    <s v="25 - contrato de prestacion de servicios profesionales"/>
    <n v="80111600"/>
    <n v="2"/>
    <n v="11"/>
    <n v="0"/>
    <n v="325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2199 Otros servicios jurídicos n.c.p."/>
    <s v="Si Secop "/>
  </r>
  <r>
    <n v="20250755"/>
    <x v="0"/>
    <s v="Dirección Tic"/>
    <s v="Paula Ximena Henao Escobar"/>
    <s v="Prestar los servicios profesionales en el área de Tecnologías de la Información y las Comunicaciones de la U.A.E. Cuerpo Oficial de Bomberos Bogotá, desarrollando las actividades administrativas y financieras relacionadas con la gestión contractual y poscontractual asociadas a los procesos, procedimientos y funciones a cargo de esta área."/>
    <s v="25 - contrato de prestacion de servicios profesionales"/>
    <n v="80111600"/>
    <n v="2"/>
    <n v="11"/>
    <n v="0"/>
    <n v="37001667"/>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756"/>
    <x v="0"/>
    <s v="Dirección Tic"/>
    <s v="Paula Ximena Henao Escobar"/>
    <s v="Prestar los servicios profesionales en el área de Tecnologías de la Información y las Comunicaciones de la U.A.E. Cuerpo Oficial de Bomberos Bogota, para apoyar en el análisis, modelamiento, acompañamiento, pruebas funcionales, soporte y documentación técnica y funcional de los sistemas de información, en el marco de los procesos y procedimientos vigentes de la entidad"/>
    <s v="25 - contrato de prestacion de servicios profesionales"/>
    <n v="80111600"/>
    <n v="2"/>
    <n v="5"/>
    <n v="0"/>
    <n v="2800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757"/>
    <x v="0"/>
    <s v="Dirección Tic"/>
    <s v="Paula Ximena Henao Escobar"/>
    <s v="Prestar los servicios profesionales al área de Tecnologías de la Información y las Comunicaciones de la U.A.E. Cuerpo Oficial de Bomberos Bogotá, en los procesos de análisis, revisión de las necesidades y apoyo en las fases iniciales de creación de herramientas tecnológicas implementadas o que se requieran para el funcionamiento y desarrollo de las funciones de las diferentes áreas y dependencias de la entidad. "/>
    <s v="25 - contrato de prestacion de servicios profesionales"/>
    <n v="80111600"/>
    <n v="2"/>
    <n v="11"/>
    <n v="0"/>
    <n v="20468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758"/>
    <x v="0"/>
    <s v="Dirección Tic"/>
    <s v="Paula Ximena Henao Escobar"/>
    <s v="Prestar los servicios profesionales en el área de Tecnologías de la Información y las Comunicaciones de la U.A.E. Cuerpo Oficial de Bomberos Bogotá para apoyar en el seguimiento y control del presupuesto asociado a los procesos, procedimientos y contratos a cargo de esta dependencia."/>
    <s v="25 - contrato de prestacion de servicios profesionales"/>
    <n v="80111600"/>
    <n v="2"/>
    <n v="11"/>
    <n v="0"/>
    <n v="29500000"/>
    <x v="0"/>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759"/>
    <x v="0"/>
    <s v="Dirección Tic"/>
    <s v="Paula Ximena Henao Escobar"/>
    <s v="Adición y prórroga Cto. 54 cuyo objeto es: &quot;Prestar los servicios profesionales jurídicos para apoyar las actividades propias de la gestión contractual que adelanta la UAE Cuerpo Oficial de Bomberos&quot;"/>
    <s v="25 - contrato de prestacion de servicios profesionales"/>
    <n v="80111600"/>
    <n v="2"/>
    <n v="11"/>
    <n v="0"/>
    <n v="52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2199 Otros servicios jurídicos n.c.p."/>
    <s v="No Secop"/>
  </r>
  <r>
    <n v="20250761"/>
    <x v="0"/>
    <s v="Dirección Tic"/>
    <s v="Paula Ximena Henao Escobar"/>
    <s v="Adición y prórroga Cto. 197  cuyo objeto es: &quot;Prestar los servicios profesionales en la administración, actualización, desarrollo y mantenimiento del Sistema Integrado de Administración de Personal - SIAP para la U.A.E. Cuerpo Oficial de Bomberos Bogotá&quot;."/>
    <s v="25 - contrato de prestacion de servicios profesionales"/>
    <n v="80111600"/>
    <n v="2"/>
    <n v="11"/>
    <n v="0"/>
    <n v="3483333"/>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No Secop"/>
  </r>
  <r>
    <n v="20250762"/>
    <x v="0"/>
    <s v="Dirección Tic"/>
    <s v="Paula Ximena Henao Escobar"/>
    <s v="Adición y prórroga Cto. 339 cuyo objeto es: &quot;Prestar los servicios profesionales en la estructuración, sustanciación, revisión y trámite de los procesos de contratación y gestión jurídica en el marco de los procesos y procedimientos a cargo de la dirección de la U.A.E. Cuerpo Oficial de Bomberos&quot;"/>
    <s v="25 - contrato de prestacion de servicios profesionales"/>
    <n v="80111600"/>
    <n v="2"/>
    <n v="7"/>
    <n v="0"/>
    <n v="8633333"/>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2199 Otros servicios jurídicos n.c.p."/>
    <s v="No Secop"/>
  </r>
  <r>
    <n v="20250763"/>
    <x v="0"/>
    <s v="Dirección Tic"/>
    <s v="Paula Ximena Henao Escobar"/>
    <s v="Adquisición, actualización y configuración de la plataforma de comunicaciones de Voz IP compatible con la solución actual con la que cuenta la entidad."/>
    <s v="03 - contrato de prestacion de servicios"/>
    <s v="43191500_x000a_43221500_x000a_43222800_x000a_81161700_x000a_72151600"/>
    <n v="9"/>
    <n v="12"/>
    <n v="0"/>
    <n v="242005000"/>
    <x v="0"/>
    <s v="02 - selec. abrev. menor cuantí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r>
  <r>
    <n v="20250764"/>
    <x v="0"/>
    <s v="Dirección Tic"/>
    <s v="Paula Ximena Henao Escobar"/>
    <s v="Contratar el servicios de mantenimiento para el sistema de atención de turnos de la U.A.E. Cuerpo Ofical de Bomberos de Bogotá - TIC"/>
    <s v="27 - contrato de prestacion de servicios de mantenimiento"/>
    <s v="32131023;39121011;43232300"/>
    <n v="7"/>
    <n v="12"/>
    <n v="0"/>
    <n v="59016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765"/>
    <x v="2"/>
    <s v="Dirección Tic"/>
    <s v="Paula Ximena Henao Escobar"/>
    <s v="Renovación de equipos activos de red de la infraestructura tecnológica de la U.A.E. Cuerpo Oficial de Bomberos de Bogotá."/>
    <s v="06 - contrato de compraventa"/>
    <n v="43222600"/>
    <n v="10"/>
    <n v="6"/>
    <n v="0"/>
    <n v="200000000"/>
    <x v="1"/>
    <s v="03 - selec. abrev. subasta inversa"/>
    <s v="No aplica"/>
    <s v="NA"/>
    <s v="NA"/>
    <s v="NA"/>
    <s v="N/A"/>
    <s v="N/A"/>
    <s v="N/A-N/A"/>
    <s v="N/A"/>
    <s v="N/A"/>
    <s v="N/A_N/A"/>
    <s v="N/A-N/A N/A_N/A"/>
    <s v="NANANAN/AN/A"/>
    <s v="N/A"/>
    <s v="No Aplica"/>
    <s v="Si Secop "/>
  </r>
  <r>
    <n v="20250766"/>
    <x v="2"/>
    <s v="Dirección Tic"/>
    <s v="Paula Ximena Henao Escobar"/>
    <s v="Contratar la renovación de garantía y soporte de fabrica de los equipos activos que hacen parte de la infraestructura tecnológica de la U.A.E. Cuerpo Oficial de Bomberos de Bogotá."/>
    <s v="19 - contrato de renovacion de licencias"/>
    <n v="43222635"/>
    <n v="7"/>
    <n v="8"/>
    <n v="0"/>
    <n v="118825489"/>
    <x v="1"/>
    <s v="02 - selec. abrev. menor cuantía"/>
    <s v="No aplica"/>
    <s v="NA"/>
    <s v="NA"/>
    <s v="NA"/>
    <s v="N/A"/>
    <s v="N/A"/>
    <s v="N/A-N/A"/>
    <s v="N/A"/>
    <s v="N/A"/>
    <s v="N/A_N/A"/>
    <s v="N/A-N/A N/A_N/A"/>
    <s v="NANANAN/AN/A"/>
    <s v="N/A"/>
    <s v="O21202020080383141 Servicios de diseño y desarrollo de aplicaciones en tecnologías de la información (TI)"/>
    <s v="Si Secop "/>
  </r>
  <r>
    <n v="20250767"/>
    <x v="2"/>
    <s v="Dirección Tic"/>
    <s v="Paula Ximena Henao Escobar"/>
    <s v="Contratar la modernización integral  tecnológica, soporte y mantenimiento preventivo y correctivo con repuestos, para los sistemas de video vigilancia de la U.A.E. Cuerpo Oficial de Bomberos de Bogotá - TIC."/>
    <s v="24 - contrato de servicio"/>
    <s v="43233200; 72151700;  43233200; 81112200; 72151700; 45121600"/>
    <n v="10"/>
    <n v="8"/>
    <n v="0"/>
    <n v="240000000"/>
    <x v="1"/>
    <s v="03 - selec. abrev. subasta inversa"/>
    <s v="No aplica"/>
    <s v="NA"/>
    <s v="NA"/>
    <s v="NA"/>
    <s v="N/A"/>
    <s v="N/A"/>
    <s v="N/A-N/A"/>
    <s v="N/A"/>
    <s v="N/A"/>
    <s v="N/A_N/A"/>
    <s v="N/A-N/A N/A_N/A"/>
    <s v="NANANAN/AN/A"/>
    <s v="N/A"/>
    <s v="No Aplica"/>
    <s v="Si Secop "/>
  </r>
  <r>
    <n v="20250768"/>
    <x v="0"/>
    <s v="Oficina de Control Disciplinario Interno"/>
    <s v="Yenire Yohansy Lozano Ascanio"/>
    <s v="Adición y prórroga del Contrato 284-2025 cuyo objeto es: &quot;Prestar servicios profesionales jurídicos para apoyar la instrucción y demás actuaciones que deban surtirse en los procesos disciplinarios adelantados por la Oficina de Control Disciplinario Interno.&quot;"/>
    <s v="25 - contrato de prestacion de servicios profesionales"/>
    <n v="80111600"/>
    <n v="7"/>
    <n v="2"/>
    <n v="0"/>
    <n v="13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No Secop"/>
  </r>
  <r>
    <n v="20250769"/>
    <x v="0"/>
    <s v="Oficina de Control Disciplinario Interno"/>
    <s v="Yenire Yohansy Lozano Ascanio"/>
    <s v="Adición y prórroga del Contrato 295-2025 cuyo objeto es: &quot;Prestar servicios profesionales para ejercer las labores de secretaría común y actividades jurídicas que requieren las actuaciones disciplinarias en etapa de instrucción adelantadas por la Oficina de Control Disciplinario Interno.&quot;"/>
    <s v="25 - contrato de prestacion de servicios profesionales"/>
    <n v="80111600"/>
    <n v="7"/>
    <n v="2"/>
    <n v="0"/>
    <n v="10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No Secop"/>
  </r>
  <r>
    <n v="20250771"/>
    <x v="1"/>
    <s v="Sub. Gestión Humana"/>
    <s v="Jose Andres Ponce Caicedo"/>
    <s v="SGH - Prestación de servicios profesionales para acompañar a la Subdirección de Gestión Humana en la construcción, diseño, validación y socialización de la propuesta de actualización, ajuste o modificación del modelo de operación por procesos, que incluya también el proceso de fortalecimiento institucional y los relacionados con los programas de formación y capacitación, a partir del diagnóstico realizado por la UAE Cuerpo Oficial de Bomberos de Bogota y realizar la alineación con la estructura propuesta."/>
    <s v="25 - contrato de prestacion de servicios profesionales"/>
    <n v="80111600"/>
    <n v="8"/>
    <n v="5"/>
    <n v="0"/>
    <n v="34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772"/>
    <x v="1"/>
    <s v="Sub. Gestión Humana"/>
    <s v="Jose Andres Ponce Caicedo"/>
    <s v="SGH - Prestar servicios profesionales para realizar una propuesta de reorganización de planta de personal y de manuales específicos de funciones y competencias laborales, que contemple el fortalecimiento de los programas de formación y capacitación, a partir de los resultados de diagnóstico realizados por la UAE Cuerpo Oficial de Bomberos de Bogotá y del análisis funcional de los empleos existentes y de las dependencias."/>
    <s v="25 - contrato de prestacion de servicios profesionales"/>
    <n v="80111600"/>
    <n v="8"/>
    <n v="5"/>
    <n v="0"/>
    <n v="34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773"/>
    <x v="1"/>
    <s v="Sub. Gestión Humana"/>
    <s v="Jose Andres Ponce Caicedo"/>
    <s v="Adición y prórroga al contrato 262 de 2025, cuyo objeto es SGH - Prestar servicios profesionales juridicos para desarrollar actividades en la Subdireccion de Gestion Humana y el area de academia."/>
    <s v="25 - contrato de prestacion de servicios profesionales"/>
    <n v="80111600"/>
    <n v="4"/>
    <n v="10"/>
    <n v="0"/>
    <n v="136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2199 Otros servicios jurídicos n.c.p."/>
    <s v="No Secop"/>
  </r>
  <r>
    <n v="20250774"/>
    <x v="0"/>
    <s v="Oficina Juridica"/>
    <s v="Monica Perez Barragan"/>
    <s v="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
    <s v="25 - contrato de prestacion de servicios profesionales"/>
    <n v="80111600"/>
    <n v="8"/>
    <n v="5"/>
    <n v="0"/>
    <n v="297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775"/>
    <x v="0"/>
    <s v="Oficina Juridica"/>
    <s v="Monica Perez Barragan"/>
    <s v="Prestar servicios profesionales para apoyar en la estructuración de las acciones de mejora, seguimiento  a la gestión contractual de la Entidad y demás procedimientos, en el marco de las funciones de la Oficina Jurídica"/>
    <s v="25 - contrato de prestacion de servicios profesionales"/>
    <n v="80111600"/>
    <n v="8"/>
    <n v="5"/>
    <n v="0"/>
    <n v="54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776"/>
    <x v="0"/>
    <s v="Oficina Juridica"/>
    <s v="Monica Perez Barragan"/>
    <s v="Prestar servicios profesionales para apoyar en la estructuración de las acciones de mejora, elaboración de informes y soporte de las funciones administrativas y de mejora"/>
    <s v="25 - contrato de prestacion de servicios profesionales"/>
    <n v="80111600"/>
    <n v="8"/>
    <n v="5"/>
    <n v="0"/>
    <n v="294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777"/>
    <x v="0"/>
    <s v="Oficina Juridica"/>
    <s v="Monica Perez Barragan"/>
    <s v="Prestar los servicios profesionales jurídicos especializados para apoyar el desarrollo de las funciones de la Oficina Jurídica"/>
    <s v="25 - contrato de prestacion de servicios profesionales"/>
    <n v="80111600"/>
    <n v="8"/>
    <n v="5"/>
    <n v="0"/>
    <n v="44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778"/>
    <x v="0"/>
    <s v="Oficina Juridica"/>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8"/>
    <n v="5"/>
    <n v="0"/>
    <n v="37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779"/>
    <x v="0"/>
    <s v="Oficina Juridica"/>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8"/>
    <n v="5"/>
    <n v="0"/>
    <n v="25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780"/>
    <x v="0"/>
    <s v="Oficina Juridica"/>
    <s v="Monica Perez Barragan"/>
    <s v="Adición y prórroga al contrato 549 de 2025 cuyo objeto es: &quo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quot;"/>
    <s v="25 - contrato de prestacion de servicios profesionales"/>
    <n v="80111600"/>
    <n v="8"/>
    <n v="5"/>
    <n v="0"/>
    <n v="7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No Secop"/>
  </r>
  <r>
    <n v="20250781"/>
    <x v="0"/>
    <s v="Oficina Juridica"/>
    <s v="Monica Perez Barragan"/>
    <s v="Prestar servicios profesionales jurídicos para orientar y apoyar los procesos de contratación gestionados por la Oficina Jurídica, en el marco de las actividades propias de la gestión contractual, con el objetivo de garantizar el cumplimiento de las necesidades de la UAECOB."/>
    <s v="25 - contrato de prestacion de servicios profesionales"/>
    <n v="80111600"/>
    <n v="8"/>
    <n v="5"/>
    <n v="0"/>
    <n v="42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782"/>
    <x v="0"/>
    <s v="Oficina Juridica"/>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8"/>
    <n v="5"/>
    <n v="0"/>
    <n v="32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783"/>
    <x v="0"/>
    <s v="Oficina Juridica"/>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8"/>
    <n v="3"/>
    <n v="0"/>
    <n v="30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784"/>
    <x v="0"/>
    <s v="Oficina Juridica"/>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8"/>
    <n v="3"/>
    <n v="0"/>
    <n v="45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785"/>
    <x v="0"/>
    <s v="Oficina Juridica"/>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5 - contrato de prestacion de servicios profesionales"/>
    <n v="80111600"/>
    <n v="8"/>
    <n v="3"/>
    <n v="0"/>
    <n v="372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786"/>
    <x v="0"/>
    <s v="Oficina Juridica"/>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5 - contrato de prestacion de servicios profesionales"/>
    <n v="80111600"/>
    <n v="8"/>
    <n v="3"/>
    <n v="0"/>
    <n v="237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787"/>
    <x v="0"/>
    <s v="Oficina Juridica"/>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5 - contrato de prestacion de servicios profesionales"/>
    <n v="80111600"/>
    <n v="8"/>
    <n v="3"/>
    <n v="0"/>
    <n v="341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788"/>
    <x v="0"/>
    <s v="Oficina Juridica"/>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5 - contrato de prestacion de servicios profesionales"/>
    <n v="80111600"/>
    <n v="8"/>
    <n v="3"/>
    <n v="0"/>
    <n v="2666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789"/>
    <x v="0"/>
    <s v="Oficina Juridica"/>
    <s v="Monica Perez Barragan"/>
    <s v="Prestar los servicios profesionales para realizar el acompañamiento administrativo y financiero en temas de liquidación y cierre de expedientes, como demás actuaciones administrativas requeridas de los procesos contractuales"/>
    <s v="25 - contrato de prestacion de servicios profesionales"/>
    <n v="80111600"/>
    <n v="8"/>
    <n v="3"/>
    <n v="0"/>
    <n v="417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790"/>
    <x v="0"/>
    <s v="Oficina Juridica"/>
    <s v="Monica Perez Barragan"/>
    <s v="Prestar los servicios profesionales especializados para la representación judicial  de la Entidad y la prevención del daño antijurídico."/>
    <s v="25 - contrato de prestacion de servicios profesionales"/>
    <n v="80111600"/>
    <n v="8"/>
    <n v="3"/>
    <n v="0"/>
    <n v="96510208"/>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791"/>
    <x v="0"/>
    <s v="Oficina Juridica"/>
    <s v="Monica Perez Barragan"/>
    <s v="Prestar los servicios de apoyo para las gestiones administrativas requeridas en la Oficina Jurídica."/>
    <s v="26 - contrato de prestacion de servicios de apoyo a la gestion"/>
    <n v="80111600"/>
    <n v="8"/>
    <n v="3"/>
    <n v="0"/>
    <n v="136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792"/>
    <x v="0"/>
    <s v="Oficina Juridica"/>
    <s v="Monica Perez Barragan"/>
    <s v="Prestar los servicios de apoyo para las gestiones documentales y administrativas requerida por la Oficina  Jurídica."/>
    <s v="26 - contrato de prestacion de servicios de apoyo a la gestion"/>
    <n v="80111600"/>
    <n v="8"/>
    <n v="3"/>
    <n v="0"/>
    <n v="136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793"/>
    <x v="0"/>
    <s v="Oficina Juridica"/>
    <s v="Monica Perez Barragan"/>
    <s v="Prestar los servicios de apoyo para las gestiones documentales y administrativas requerida por la Oficina  Jurídica."/>
    <s v="26 - contrato de prestacion de servicios de apoyo a la gestion"/>
    <n v="80111600"/>
    <n v="8"/>
    <n v="3"/>
    <n v="0"/>
    <n v="136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794"/>
    <x v="0"/>
    <s v="Oficina Juridica"/>
    <s v="Monica Perez Barragan"/>
    <s v="Prestar los servicios profesionales para apoyar la gestión de la información y presupuestal y elaborar los informes reglamentarios que la Oficina Jurídica debe presentar a los entes de control, respuestas a la ciudadanía y otros informes que den cuanta de su gestión."/>
    <s v="25 - contrato de prestacion de servicios profesionales"/>
    <n v="80111600"/>
    <n v="8"/>
    <n v="6"/>
    <n v="0"/>
    <n v="42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795"/>
    <x v="0"/>
    <s v="Oficina Juridica"/>
    <s v="Monica Perez Barragan"/>
    <s v="Prestar servicios profesionales jurídicos para apoyar las actividades de defensa Judicial y de procesos penales que adelante la UAE Cuerpo Oficial de Bomberos de Bogotá"/>
    <s v="25 - contrato de prestacion de servicios profesionales"/>
    <n v="80111600"/>
    <n v="8"/>
    <n v="3"/>
    <n v="0"/>
    <n v="19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796"/>
    <x v="0"/>
    <s v="Oficina Juridica"/>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8"/>
    <n v="5"/>
    <n v="0"/>
    <n v="19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797"/>
    <x v="0"/>
    <s v="Oficina Juridica"/>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8"/>
    <n v="5"/>
    <n v="0"/>
    <n v="237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798"/>
    <x v="0"/>
    <s v="Oficina Juridica"/>
    <s v="Monica Perez Barragan"/>
    <s v="Prestar los servicios profesionales para apoyar la depuración de la cartera de cobro coactivo, así como actividades propias de la defensa judicial de la Entidad y demas actiuaciones relacionadas que requiera la Oficina Jurídica"/>
    <s v="25 - contrato de prestacion de servicios profesionales"/>
    <n v="80111600"/>
    <n v="8"/>
    <n v="5"/>
    <n v="0"/>
    <n v="26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799"/>
    <x v="0"/>
    <s v="Oficina Juridica"/>
    <s v="Monica Perez Barragan"/>
    <s v="Prestación de servicios profesionales jurídicos para orientar y apoyar el trámite y la gestión de los procesos disciplinarios que se adelanten en la Oficina Jurídica de la Unidad Administrativa Especial Cuerpo Oficial de Bomberos Bogotá"/>
    <s v="25 - contrato de prestacion de servicios profesionales"/>
    <n v="80111600"/>
    <n v="8"/>
    <n v="5"/>
    <n v="0"/>
    <n v="30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800"/>
    <x v="0"/>
    <s v="Oficina Juridica"/>
    <s v="Monica Perez Barragan"/>
    <s v="Prestar los servicios profesionales jurídicos para apoyar las actividades propias de la gestión contractual que adelanta la Oficina Jurídica"/>
    <s v="25 - contrato de prestacion de servicios profesionales"/>
    <n v="80111600"/>
    <n v="8"/>
    <n v="5"/>
    <n v="0"/>
    <n v="306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801"/>
    <x v="0"/>
    <s v="Oficina Juridica"/>
    <s v="Monica Perez Barragan"/>
    <s v="Prestar los servicios profesionales jurídicos especializados para orientar y apoyar los procesos de contratación en sus diferentes etapas adelantados por la Oficina Jurídica, tendientes a garantizar las necesidades propias de la UAECOB"/>
    <s v="25 - contrato de prestacion de servicios profesionales"/>
    <n v="80111600"/>
    <n v="8"/>
    <n v="5"/>
    <n v="0"/>
    <n v="47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802"/>
    <x v="0"/>
    <s v="Oficina Juridica"/>
    <s v="Monica Perez Barragan"/>
    <s v="Prestar los servicios profesionales jurídicos especializados en la Oficina Jurídica que garantice la verificación de la legalidad, en apoyo a cada una de las actuaciones a cargo de esta Oficina."/>
    <s v="25 - contrato de prestacion de servicios profesionales"/>
    <n v="80111600"/>
    <n v="8"/>
    <n v="5"/>
    <n v="0"/>
    <n v="42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803"/>
    <x v="1"/>
    <s v="Sub. Logística"/>
    <s v="Omer Mauricio Rivera Ruiz"/>
    <s v="Adicion y prorroga contrato 079-2024 cuyo objeto es: &quot;Suministrar combustible para los vehículos, y equipos especializados de la U.A.E. Cuerpo Oficial de Bomberos Bogotá dentro y fuera del perímetro del distrito capital de la  - SBLG&quot;"/>
    <s v="08 - contrato de suministro"/>
    <n v="15101500"/>
    <n v="7"/>
    <n v="0"/>
    <n v="20"/>
    <n v="64000000"/>
    <x v="0"/>
    <s v="17 - acuerdo marco de precios"/>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1003053543003 Aditivos para gasolina, aceites minerales y combustible en general"/>
    <s v="Si Secop "/>
  </r>
  <r>
    <n v="20250804"/>
    <x v="1"/>
    <s v="Sub. Logística"/>
    <s v="Omer Mauricio Rivera Ruiz"/>
    <s v="Adicion y prorroga contrato 502-2024 cuyo objeto es: &quot;Proveer el suministro de elementos de bioseguridad e insumos médicos básicos y otros para la atención de emergencias. - SBLG&quot;"/>
    <s v="08 - contrato de suministro"/>
    <s v="42141501;42141502;42141503;42142101;42142103;42142105;42142108;42172010;42172013;42172016;42172201;42281502;42291902"/>
    <n v="7"/>
    <n v="1"/>
    <n v="0"/>
    <n v="2000000"/>
    <x v="0"/>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1003083899997 Artículos n.c.p. para protección"/>
    <s v="Si Secop "/>
  </r>
  <r>
    <n v="20250805"/>
    <x v="2"/>
    <s v="Sub. Gestión Corporativa"/>
    <s v="Fatima Veronica Quintero Nuñez"/>
    <s v="Contratar los seguros obligatorios &quot;SOAT&quot; para el parque automotor de propiedad de la Unidad Administrativa Especial Cuerpo Oficial de Bomberos Bogotá D.C y de aquellos por los cuales fuere legalmente responsable-SGC"/>
    <s v="04 - contrato de consultoria"/>
    <s v="84131501;84131503;84131504;84131512;84131513;84131515; 84131601,84131603;84131607"/>
    <n v="8"/>
    <n v="12"/>
    <n v="0"/>
    <n v="133704463"/>
    <x v="1"/>
    <s v="02 - selec. abrev. menor cuantía"/>
    <s v="No aplica"/>
    <s v="NA"/>
    <s v="NA"/>
    <s v="NA"/>
    <s v="N/A"/>
    <s v="N/A"/>
    <s v="N/A-N/A"/>
    <s v="N/A"/>
    <s v="N/A"/>
    <s v="N/A_N/A"/>
    <s v="N/A-N/A N/A_N/A"/>
    <s v="NANANAN/AN/A"/>
    <s v="N/A"/>
    <s v="No Aplica"/>
    <s v="Si Secop "/>
  </r>
  <r>
    <n v="20250806"/>
    <x v="0"/>
    <s v="Dirección Tic"/>
    <s v="Paula Ximena Henao Escobar"/>
    <s v="Adquisición, implementación, configuración y soporte de una solución Cloud, enfocada en la protección, recuperación y continuidad operativa de la infraestructura de servidores físicos y virtuales de la entidad, mediante servicios especializados de backup en la nube, recuperación ante desastres (DRP), gestión de vulnerabilidades y seguridad avanzada."/>
    <s v="06 - contrato de compraventa"/>
    <s v="43232309; 43233416_x000a_43232915; 43233203_x000a_43233204; 43233405_x000a_43233403; 43233415; 81112201; 81112203; 43233205; 43231500; 43231501; 81111802; 81111808; 81111812; 43233400; 43232907"/>
    <n v="9"/>
    <n v="12"/>
    <n v="0"/>
    <n v="454800000"/>
    <x v="0"/>
    <s v="02 - selec. abrev. menor cuantí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r>
  <r>
    <n v="20250807"/>
    <x v="0"/>
    <s v="Oficina Juridica"/>
    <s v="Monica Perez Barragan"/>
    <s v="Brindar apoyo en temas propios de gestión documental y de soporte administrativo que se requieran en las actividades desplegadas por la Oficina Jurídica en etapa de juzgamiento de los procesos disciplinarios a cargo"/>
    <s v="26 - contrato de prestacion de servicios de apoyo a la gestion"/>
    <n v="80111600"/>
    <n v="8"/>
    <n v="3"/>
    <n v="0"/>
    <n v="186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808"/>
    <x v="0"/>
    <s v="Oficina Juridica"/>
    <s v="Monica Perez Barragan"/>
    <s v="Prestar los servicios profesionales jurídicos para apoyar las actuaciones procesales y procedimentales de la Oficina Jurídica"/>
    <s v="25 - contrato de prestacion de servicios profesionales"/>
    <n v="80111600"/>
    <n v="5"/>
    <n v="5"/>
    <n v="0"/>
    <n v="30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809"/>
    <x v="1"/>
    <s v="Sub. Gestión Riesgos"/>
    <s v="William Tovar Segura"/>
    <s v="Prestar servicios profesionales para apoyar la gestión jurídica y el desarrollo de actividades relacionadas con las funciones de la subdirección de gestión del riesgo_SGR"/>
    <s v="25 - contrato de prestacion de servicios profesionales"/>
    <n v="80111600"/>
    <n v="8"/>
    <n v="5"/>
    <n v="0"/>
    <n v="200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2199 Otros servicios jurídicos n.c.p."/>
    <s v="Si Secop "/>
  </r>
  <r>
    <n v="20250810"/>
    <x v="0"/>
    <s v="Oficina de Control Disciplinario Interno"/>
    <s v="Yenire Yohansy Lozano Ascanio"/>
    <s v="Adición y prórroga del Contrato 056-2025 cuyo objeto es: Prestar servicios profesionales jurídicos especializados en la Oficina de Control Disciplinario Interno de la entidad para orientar y apoyar la gestión de los procesos disciplinarios en etapa de instrucción."/>
    <s v="25 - contrato de prestacion de servicios profesionales"/>
    <n v="80111600"/>
    <n v="9"/>
    <n v="3"/>
    <n v="15"/>
    <n v="273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No Secop"/>
  </r>
  <r>
    <n v="20250811"/>
    <x v="0"/>
    <s v="Oficina de Control Disciplinario Interno"/>
    <s v="Yenire Yohansy Lozano Ascanio"/>
    <s v="Adición y prórroga del Contrato 088-2025 cuyo objeto es: Prestar los servicios profesionales jurídicos especializados en la Oficina de Control Disciplinario Interno de la entidad relacionados con los procesos disciplinarios que se deban tramitar en esa dependencia en etapa de instrucción."/>
    <s v="25 - contrato de prestacion de servicios profesionales"/>
    <n v="80111600"/>
    <n v="12"/>
    <n v="1"/>
    <n v="0"/>
    <n v="8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No Secop"/>
  </r>
  <r>
    <n v="20250812"/>
    <x v="0"/>
    <s v="Oficina de Control Disciplinario Interno"/>
    <s v="Yenire Yohansy Lozano Ascanio"/>
    <s v="Adición y prórroga del Contrato 032-2025 cuyo objeto es: Prestar servicios profesionales jurídicos en la Oficina de Control Disciplinario Interno de la entidad para apoyar la gestión de los procesos contractuales, administrativos, y las actuaciones disciplinarias que deban susrtirse en etapa de instrucción."/>
    <s v="25 - contrato de prestacion de servicios profesionales"/>
    <n v="80111600"/>
    <n v="12"/>
    <n v="1"/>
    <n v="7"/>
    <n v="92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No Secop"/>
  </r>
  <r>
    <n v="20250813"/>
    <x v="0"/>
    <s v="Oficina de Control Disciplinario Interno"/>
    <s v="Yenire Yohansy Lozano Ascanio"/>
    <s v="Adición y prórroga del Contrato 101-2025 cuyo objeto es: Prestación de servicios de apoyo técnico a la gestión a la Oficina de Control Disciplinario Interno de la UAECOB para el cumplimiento de las funciones asignadas a esta dependencia, especialmente en las que requieran tareas de carácter administrativo"/>
    <s v="26 - contrato de prestacion de servicios de apoyo a la gestion"/>
    <n v="80111600"/>
    <n v="8"/>
    <n v="1"/>
    <n v="0"/>
    <n v="33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814"/>
    <x v="0"/>
    <s v="Oficina de Control Disciplinario Interno"/>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8"/>
    <n v="4"/>
    <n v="20"/>
    <n v="30333333"/>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815"/>
    <x v="0"/>
    <s v="Oficina de Control Disciplinario Interno"/>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8"/>
    <n v="4"/>
    <n v="19"/>
    <n v="30116667"/>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816"/>
    <x v="0"/>
    <s v="Oficina de Control Disciplinario Interno"/>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8"/>
    <n v="4"/>
    <n v="7"/>
    <n v="27516667"/>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817"/>
    <x v="0"/>
    <s v="Oficina de Control Disciplinario Interno"/>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9"/>
    <n v="3"/>
    <n v="15"/>
    <n v="227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818"/>
    <x v="0"/>
    <s v="Oficina de Control Disciplinario Interno"/>
    <s v="Yenire Yohansy Lozano Ascanio"/>
    <s v="Prestar servicios profesionales para ejercer las labores de secretaría común y actividades jurídicas que requieren las actuaciones disciplinarias en etapa de instrucción adelantadas por la Oficina de Control Disciplinario Interno."/>
    <s v="25 - contrato de prestacion de servicios profesionales"/>
    <n v="80111600"/>
    <n v="9"/>
    <n v="3"/>
    <n v="15"/>
    <n v="17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819"/>
    <x v="0"/>
    <s v="Oficina de Control Disciplinario Interno"/>
    <s v="Yenire Yohansy Lozano Ascanio"/>
    <s v="Prestación de servicios de apoyo técnico a la gestión a la Oficina de Control Disciplinario Interno de la UAECOB para el cumplimiento de las funciones asignadas a esta dependencia, especialmente en las que requieran tareas de carácter administrativo"/>
    <s v="26 - contrato de prestacion de servicios de apoyo a la gestion"/>
    <n v="80111600"/>
    <n v="8"/>
    <n v="4"/>
    <n v="0"/>
    <n v="14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820"/>
    <x v="1"/>
    <s v="Sub. Logística"/>
    <s v="Omer Mauricio Rivera Ruiz"/>
    <s v="Adicion y prorroga Contrato 580 de 2024 Cuyo objeto es: &quot;Suministro de alimentacion e hidratación para el cuerpo operativo en la atención  de emergencias, entrenamientos, capacitaciones y actividades de prevención. - SBLG&quot;"/>
    <s v="08 - contrato de suministro"/>
    <s v="90101800;90101600;50192700;50112000;50202311;50201709;50161509;50192110;93131602"/>
    <n v="8"/>
    <n v="2"/>
    <n v="0"/>
    <n v="33000000"/>
    <x v="0"/>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663393 Otros servicios de comidas contratadas"/>
    <s v="No Secop"/>
  </r>
  <r>
    <n v="20250821"/>
    <x v="1"/>
    <s v="Sub. Logística"/>
    <s v="Omer Mauricio Rivera Ruiz"/>
    <s v="Adicion y prorroga contrato 079-2024 cuyo objeto es: &quot;Suministrar combustible para los vehículos, y equipos especializados de la U.A.E. Cuerpo Oficial de Bomberos Bogotá dentro y fuera del perímetro del distrito capital de la  - SBLG&quot;"/>
    <s v="08 - contrato de suministro"/>
    <n v="15101500"/>
    <n v="8"/>
    <n v="1"/>
    <n v="20"/>
    <n v="28000000"/>
    <x v="0"/>
    <s v="17 - acuerdo marco de precios"/>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1003053543003 Aditivos para gasolina, aceites minerales y combustible en general"/>
    <s v="No Secop"/>
  </r>
  <r>
    <n v="20250822"/>
    <x v="1"/>
    <s v="Sub. Operativa"/>
    <s v="Yenire Yohansy Lozano Ascanio"/>
    <s v="ADICIÓN Y PRÓRROGA AL CPS 277-2025  CUYO OBJETO ES: 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9"/>
    <n v="3"/>
    <n v="0"/>
    <n v="9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823"/>
    <x v="1"/>
    <s v="Sub. Operativa"/>
    <s v="Yenire Yohansy Lozano Ascanio"/>
    <s v="ADICIÓN Y PRÓRROGA AL CPS 300-2025  CUYO OBJETO ES: prestación de servicios para dar el apoyo y realizar  la gestión administrativa requerida  en la estación de bomberos asignada y a cargo de la subdirección operativa  s.o."/>
    <s v="26 - contrato de prestacion de servicios de apoyo a la gestion"/>
    <n v="80111600"/>
    <n v="9"/>
    <n v="3"/>
    <n v="0"/>
    <n v="87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824"/>
    <x v="1"/>
    <s v="Sub. Operativa"/>
    <s v="Yenire Yohansy Lozano Ascanio"/>
    <s v="ADICIÓN Y PRÓRROGA AL CPS 301-2025  CUYO OBJETO ES: prestación de servicios para dar el apoyo y realizar  la gestión administrativa requerida  en la estación de bomberos asignada y a cargo de la subdirección operativa  s.o."/>
    <s v="26 - contrato de prestacion de servicios de apoyo a la gestion"/>
    <n v="80111600"/>
    <n v="9"/>
    <n v="3"/>
    <n v="0"/>
    <n v="87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825"/>
    <x v="1"/>
    <s v="Sub. Operativa"/>
    <s v="Yenire Yohansy Lozano Ascanio"/>
    <s v="ADICIÓN Y PRÓRROGA AL CPS 303-2025  CUYO OBJETO ES: 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s v="80111600H47:S48H47:U48"/>
    <n v="9"/>
    <n v="3"/>
    <n v="0"/>
    <n v="9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826"/>
    <x v="1"/>
    <s v="Sub. Operativa"/>
    <s v="Yenire Yohansy Lozano Ascanio"/>
    <s v="ADICIÓN Y PRÓRROGA AL CPS 305-2025  CUYO OBJETO ES: 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9"/>
    <n v="3"/>
    <n v="0"/>
    <n v="9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827"/>
    <x v="1"/>
    <s v="Sub. Operativa"/>
    <s v="Yenire Yohansy Lozano Ascanio"/>
    <s v="ADICIÓN Y PRÓRROGA AL CPS 312-2025  CUYO OBJETO ES: prestación de servicios para dar el apoyo y realizar  la gestión administrativa requerida  en la estación de bomberos asignada y a cargo de la subdirección operativa  s.o."/>
    <s v="26 - contrato de prestacion de servicios de apoyo a la gestion"/>
    <n v="80111600"/>
    <n v="9"/>
    <n v="3"/>
    <n v="0"/>
    <n v="87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828"/>
    <x v="1"/>
    <s v="Sub. Operativa"/>
    <s v="Yenire Yohansy Lozano Ascanio"/>
    <s v="ADICIÓN Y PRÓRROGA AL CPS 320-2025  CUYO OBJETO ES: prestación de servicios para dar el apoyo y realizar  la gestión administrativa requerida  en la estación de bomberos asignada y a cargo de la subdirección operativa  s.o."/>
    <s v="26 - contrato de prestacion de servicios de apoyo a la gestion"/>
    <n v="80111600"/>
    <n v="9"/>
    <n v="3"/>
    <n v="0"/>
    <n v="87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829"/>
    <x v="1"/>
    <s v="Sub. Operativa"/>
    <s v="Yenire Yohansy Lozano Ascanio"/>
    <s v="Prestación de servicios profesionales para  apoyar jurídicamente los  proyectos, procesos y procedimientos a cargo de la Subdirección Operativa-S.O."/>
    <s v="25 - contrato de prestacion de servicios profesionales"/>
    <n v="80111600"/>
    <n v="8"/>
    <n v="5"/>
    <n v="0"/>
    <n v="42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2199 Otros servicios jurídicos n.c.p."/>
    <s v="Si Secop "/>
  </r>
  <r>
    <n v="20250830"/>
    <x v="2"/>
    <s v="Sub. Gestión Humana"/>
    <s v="Jose Andres Ponce Caicedo"/>
    <s v="UTILIZACIÓN LISTA DE ELEGIBLES CNSC PARA PROVISIÓN DE VACANTES"/>
    <s v="12 - resolucion"/>
    <s v="N/A"/>
    <n v="8"/>
    <n v="1"/>
    <n v="0"/>
    <n v="74022000"/>
    <x v="1"/>
    <s v="91 - n/a acto administrativo (resolución, decreto, acuerdo, etc.)"/>
    <s v="No aplica"/>
    <s v="NA"/>
    <s v="NA"/>
    <s v="NA"/>
    <s v="N/A"/>
    <s v="N/A"/>
    <s v="N/A-N/A"/>
    <s v="N/A"/>
    <s v="N/A"/>
    <s v="N/A_N/A"/>
    <s v="N/A-N/A N/A_N/A"/>
    <s v="NANANAN/AN/A"/>
    <s v="N/A"/>
    <s v="No Aplica"/>
    <s v="Si Secop "/>
  </r>
  <r>
    <n v="20250831"/>
    <x v="1"/>
    <s v="Sub. Gestión Humana"/>
    <s v="Jose Andres Ponce Caicedo"/>
    <s v="SGH- Reconocimiento y pago pasivo exigible contrato No 592 de 2022 Suscrito con ROBINSON LUIS CASARRUBIA CARDONA, cuyo objeto es SGH - prestar sus servicios profesionales para la construcción y ejecución de proyectos estratégicos en la Subdirección de Gestión Humana de la UAE Cuerpo Oficial de Bomberos de Bogotá D.C."/>
    <s v="12 - resolucion"/>
    <s v="N/A"/>
    <s v="N/A"/>
    <s v="N/A"/>
    <s v="N/A"/>
    <n v="2100000"/>
    <x v="2"/>
    <s v="91 - n/a acto administrativo (resolución, decreto, acuerdo, etc.)"/>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No Secop"/>
  </r>
  <r>
    <n v="20250832"/>
    <x v="0"/>
    <s v="Sub. Gestión Corporativa"/>
    <s v="Fatima Veronica Quintero Nuñez"/>
    <s v="Adición y prórroga No. 1 al contrato 112 de 2025  que tiene como objeto &quot;Contratar la prestación del servicio de aseo y cafetería incluido insumos para la UAE Cuerpo Oficial de Bomberos -SGC&quot;"/>
    <s v="03 - contrato de prestacion de servicios"/>
    <s v="44121700;44121800;44121900;44122000"/>
    <n v="8"/>
    <n v="1"/>
    <n v="0"/>
    <n v="39178422"/>
    <x v="0"/>
    <s v="17 - acuerdo marco de precios"/>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330 Servicios de limpieza general"/>
    <s v="Si Secop "/>
  </r>
  <r>
    <n v="20250833"/>
    <x v="2"/>
    <s v="Sub. Gestión Corporativa"/>
    <s v="Fatima Veronica Quintero Nuñez"/>
    <s v="Adición y prórroga No. 1 al contrato 112 de 2025  que tiene como objeto &quot;Contratar la prestación del servicio de aseo y cafetería incluido insumos para la UAE Cuerpo Oficial de Bomberos -SGC&quot;"/>
    <s v="03 - contrato de prestacion de servicios"/>
    <s v="44121700;44121800;44121900;44122000"/>
    <n v="8"/>
    <n v="1"/>
    <n v="0"/>
    <n v="39178422"/>
    <x v="1"/>
    <s v="17 - acuerdo marco de precios"/>
    <s v="No aplica"/>
    <s v="NA"/>
    <s v="NA"/>
    <s v="NA"/>
    <s v="N/A"/>
    <s v="N/A"/>
    <s v="N/A-N/A"/>
    <s v="N/A"/>
    <s v="N/A"/>
    <s v="N/A_N/A"/>
    <s v="N/A-N/A N/A_N/A"/>
    <s v="NANANAN/AN/A"/>
    <s v="N/A"/>
    <s v="No Aplica"/>
    <s v="Si Secop "/>
  </r>
  <r>
    <n v="20250834"/>
    <x v="2"/>
    <s v="Sub. Gestión Corporativa"/>
    <s v="Fatima Veronica Quintero Nuñez"/>
    <s v="Adición y prórroga No. 1 al contrato 112 de 2025  que tiene como objeto &quot;Contratar la prestación del servicio de aseo y cafetería incluido insumos para la UAE Cuerpo Oficial de Bomberos -SGC&quot;"/>
    <s v="03 - contrato de prestacion de servicios"/>
    <s v="44121700;44121800;44121900;44122000"/>
    <n v="8"/>
    <n v="1"/>
    <n v="0"/>
    <n v="24625216"/>
    <x v="1"/>
    <s v="17 - acuerdo marco de precios"/>
    <s v="No aplica"/>
    <s v="NA"/>
    <s v="NA"/>
    <s v="NA"/>
    <s v="N/A"/>
    <s v="N/A"/>
    <s v="N/A-N/A"/>
    <s v="N/A"/>
    <s v="N/A"/>
    <s v="N/A_N/A"/>
    <s v="N/A-N/A N/A_N/A"/>
    <s v="NANANAN/AN/A"/>
    <s v="N/A"/>
    <s v="No Aplica"/>
    <s v="Si Secop "/>
  </r>
  <r>
    <n v="20250835"/>
    <x v="1"/>
    <s v="Sub. Gestión Corporativa"/>
    <s v="Fatima Veronica Quintero Nuñez"/>
    <s v=" Reconocimiento y pago Pasivo Exigible contrato de interventoría No 586 de 2022 suscrito con GORDILLO &amp; ASOCIADOS SAS, cuyo objeto es interventoría técnica, administrativa, financiera, contable, jurídica, SST y ambiental para realizar la adecuación y mejoramiento de las instalaciones de la UAE Cuerpo oficial de Bomberos de Bogotá-SGC. Reconoce el valor de $12´461.974 según factura No. GA 190 14 de enero de2025. Resolución 1409 de 2025."/>
    <s v="12 - resolucion"/>
    <s v="N/A"/>
    <s v="N/A"/>
    <s v="N/A"/>
    <s v="N/A"/>
    <n v="12461974"/>
    <x v="2"/>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5040554590 Otros servicios especializados de la construcción"/>
    <s v="No Secop"/>
  </r>
  <r>
    <n v="20250836"/>
    <x v="1"/>
    <s v="Sub. Gestión Corporativa"/>
    <s v="Fatima Veronica Quintero Nuñez"/>
    <s v=" Reconocimiento y pago Pasivo Exigible contrato de consultoría No 537 de 2022 suscrito con SOLUCIONES INTEGRALES DE INGENIERIA SA, cuyo objetoes interventoría técnica, administrativa, financiera, contable, jurídicay ambiental para la elaboración de estudios y diseños técnicos para la construcción de la estación de Bomberos de Caobos Salazar B-13 de la UAECuerpo Oficial de Bomberos de Bogotá – SGC. Reconoce el valor de $19´812.726 según factura No. SODI350 del 10 de diciembre de 2024. Resolución 1409 de 2025."/>
    <s v="12 - resolucion"/>
    <s v="N/A"/>
    <s v="N/A"/>
    <s v="N/A"/>
    <s v="N/A"/>
    <n v="19812726"/>
    <x v="2"/>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5040554590 Otros servicios especializados de la construcción"/>
    <s v="No Secop"/>
  </r>
  <r>
    <n v="20250837"/>
    <x v="1"/>
    <s v="Sub. Gestión Corporativa"/>
    <s v="Fatima Veronica Quintero Nuñez"/>
    <s v=" Reconocimiento y pago Pasivo Exigible contrato de consultoría No 564 de 2021 suscrito con INTER OBRAS GR SAS cuyo objeto  Mantenimiento y/o rehabilitación de sala de máquinas y área de acceso de las instalaciones de la UAE Cuerpo Oficial de Bomberos de Bogotá.-SGC"/>
    <s v="12 - resolucion"/>
    <s v="N/A"/>
    <s v="N/A"/>
    <s v="N/A"/>
    <s v="N/A"/>
    <n v="21730672"/>
    <x v="2"/>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5040554590 Otros servicios especializados de la construcción"/>
    <s v="No Secop"/>
  </r>
  <r>
    <n v="20250838"/>
    <x v="0"/>
    <s v="Sub. Gestión Corporativa"/>
    <s v="Fatima Veronica Quintero Nuñez"/>
    <s v=" Reconocimiento y pago Pasivo Exigible contrato de consultoría No 566 de 2023 suscrito con CIDMAS S.A.S cuyo objeto  Mantenimiento preventivo y correctivo de la red contraincendios y sistemas de detección de alarmas contra incendios de las instalaciones de la UAECuerpo Oficial de Bomberos Bogotá SGC"/>
    <s v="12 - resolucion"/>
    <s v="N/A"/>
    <s v="N/A"/>
    <s v="N/A"/>
    <s v="N/A"/>
    <n v="9295000"/>
    <x v="2"/>
    <s v="91 - n/a acto administrativo (resolución, decreto, acuerdo, etc.)"/>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999 Servicio de mantenimiento y reparación de otros equipos n.c.p."/>
    <s v="No Secop"/>
  </r>
  <r>
    <n v="20250839"/>
    <x v="0"/>
    <s v="Sub. Gestión Corporativa"/>
    <s v="Fatima Veronica Quintero Nuñez"/>
    <s v="Reconocimiento y pago Pasivo Exigible contrato de prestación servicios No 147 de 2023 suscrito con EDUAR GIOVANNI MORA FORERO, cuyo objeto es prestación de servicios de apoyo a la gestión, en la Subdirección de Gestión Corporativa en temas de infraestructura para el sostenimiento y mejoramiento de los equipamientos de la Unidad Administrativa Especial Cuerpo Oficial de Bomberos de Bogotá-SGC. Reconoce $735.000 según cuentade cobro del 07 mayo del 2025. Resolución 1409 de 2025."/>
    <s v="12 - resolucion"/>
    <s v="N/A"/>
    <s v="N/A"/>
    <s v="N/A"/>
    <s v="N/A"/>
    <n v="735000"/>
    <x v="2"/>
    <s v="91 - n/a acto administrativo (resolución, decreto, acuerdo, etc.)"/>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840"/>
    <x v="0"/>
    <s v="Sub. Gestión Corporativa"/>
    <s v="Fatima Veronica Quintero Nuñez"/>
    <s v="Reconocimiento y pago Pasivo Exigible contrato de prestación servicios No 314 de 2022 suscrito con CARLOS ARTURO DIAZ DOMINGUEZ, cuyo objeto esprestación de servicios de apoyo a la gestión, en la Subdirección de Gestión Corporativa en temas de infraestructura para el sostenimiento y mejoramiento de los equipamientos de la Unidad Administrativa Especial Cuerpo Oficial de Bomberos de Bogotá-SGC. Reconoce $1´306.667 según cuenta de cobro del 02 abril del 2025. Resolución 1409 de 2025."/>
    <s v="12 - resolucion"/>
    <s v="N/A"/>
    <s v="N/A"/>
    <s v="N/A"/>
    <s v="N/A"/>
    <n v="1306667"/>
    <x v="2"/>
    <s v="91 - n/a acto administrativo (resolución, decreto, acuerdo, etc.)"/>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841"/>
    <x v="0"/>
    <s v="Sub. Gestión Corporativa"/>
    <s v="Fatima Veronica Quintero Nuñez"/>
    <s v="Reconocimiento y pago Pasivo Exigible contrato de prestación servicios No 516 de 2022 suscrito con UVALDINA ESTER CABRERA CASTRO, cuyo objeto es prestación de servicios profesionales especializados para apoyar las actividades técnicas del Área de Infraestructura de la Subdirección de Gestión Corporativa-SGC. Reconoce $1´460.000 según cuenta de cobro del 01 abril del 2025. Resolución 1409 de 2025."/>
    <s v="12 - resolucion"/>
    <s v="N/A"/>
    <s v="N/A"/>
    <s v="N/A"/>
    <s v="N/A"/>
    <n v="1460000"/>
    <x v="2"/>
    <s v="91 - n/a acto administrativo (resolución, decreto, acuerdo, etc.)"/>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842"/>
    <x v="0"/>
    <s v="Sub. Gestión Corporativa"/>
    <s v="Fatima Veronica Quintero Nuñez"/>
    <s v="Reconocimiento y pago Pasivo Exigible contrato de prestación servicios No 28 de 2022 suscrito con RAUL LIZANDRO MARTINEZ SILVA, cuyo objeto es prestación de servicios de apoyo a la gestión, en la Subdirección de Gestión Corporativa en temas de infraestructura para el sostenimiento y mejoramiento de los equipamientos de la Unidad Administrativa Especial Cuerpo Oficial de Bomberos de Bogotá-SGC. Reconoce $2´041.667 según cuenta de cobro del 01 abril del 2025. Resolución 1409 de 2025."/>
    <s v="12 - resolucion"/>
    <s v="N/A"/>
    <s v="N/A"/>
    <s v="N/A"/>
    <s v="N/A"/>
    <n v="2041667"/>
    <x v="2"/>
    <s v="91 - n/a acto administrativo (resolución, decreto, acuerdo, etc.)"/>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843"/>
    <x v="0"/>
    <s v="Sub. Gestión Corporativa"/>
    <s v="Fatima Veronica Quintero Nuñez"/>
    <s v="Reconocimiento y pago Pasivo Exigible contrato de prestación servicios No 525 de 2022 suscrito con JOHANNA ANDREA MUNAR VELANDIA, cuyo objeto es 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Reconoce $4´583.333 según cuenta de cobro del 02 mayo del 2025. Resolución 1409 de 2025."/>
    <s v="12 - resolucion"/>
    <s v="N/A"/>
    <s v="N/A"/>
    <s v="N/A"/>
    <s v="N/A"/>
    <n v="4583333"/>
    <x v="2"/>
    <s v="91 - n/a acto administrativo (resolución, decreto, acuerdo, etc.)"/>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845"/>
    <x v="0"/>
    <s v="Oficina Asesora de Planeación"/>
    <s v="Manuel Eduardo Castillo Guzman"/>
    <s v="Adición y prórroga al contrato 001 de 2025 cuyo objeto es: Prestación de servicios de apoyo en el desarrollo de las actividades encaminadas al control de la documentación de acuerdo a los lineamientos de las políticas de planeación institucional y gestión documental en el marco del Modelo Integrado de Planeación y Gestión MIPG."/>
    <s v="26 - contrato de prestacion de servicios de apoyo a la gestion"/>
    <n v="80111600"/>
    <n v="10"/>
    <n v="3"/>
    <n v="0"/>
    <n v="13472448"/>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No Secop"/>
  </r>
  <r>
    <n v="20250846"/>
    <x v="0"/>
    <s v="Oficina Asesora de Planeación"/>
    <s v="Manuel Eduardo Castillo Guzman"/>
    <s v="Prestación de servicios profesionales en el desarrollo de las actividades que se designen encaminadas a la implementación del sistema de gestión de la calidad y como apoyo en la implementación de las políticas que se desginen del Modelo Integrado de Planeación y Gestión MIPG."/>
    <s v="25 - contrato de prestacion de servicios profesionales"/>
    <n v="80111600"/>
    <n v="9"/>
    <n v="4"/>
    <n v="0"/>
    <n v="28000000"/>
    <x v="0"/>
    <s v="09 - contratación directa"/>
    <s v="8126 3-Implementar el 100% de los sistemas y modelos de gestión que defina la UAECOB en el marco del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50847"/>
    <x v="0"/>
    <s v="Oficina Asesora de Planeación"/>
    <s v="Manuel Eduardo Castillo Guzman"/>
    <s v="Adición y prórroga al contrato 144 de 2025 cuyo objeto es: Prestación de servicios profesionales en el desarrollo de las actividades relacionadas con la formulación, actualización y seguimiento de los proyectos de inversión asignados, así como la consolidación y reporte de los indicadores PMR, en las herramientas dispuestas por la entidad, en el marco de la política de la Gestión presupuestal y eficiencia del gasto público del Modelo Integrado de Planeación y Gestión  MIPG."/>
    <s v="25 - contrato de prestacion de servicios profesionales"/>
    <n v="80111600"/>
    <n v="9"/>
    <n v="3"/>
    <n v="0"/>
    <n v="219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No Secop"/>
  </r>
  <r>
    <n v="20250848"/>
    <x v="0"/>
    <s v="Oficina Asesora de Planeación"/>
    <s v="Manuel Eduardo Castillo Guzman"/>
    <s v="Prestación de servicios profesionales para el desarrollo de las actividades asignadas de acuerdo con el plan de trabajo de la implementación del Sistema de Gestión de la Calidaden el marco del Modelo Integrado de Planeación y Gestión (MIPG)"/>
    <s v="25 - contrato de prestacion de servicios profesionales"/>
    <n v="80111600"/>
    <n v="9"/>
    <n v="4"/>
    <n v="0"/>
    <n v="30000000"/>
    <x v="0"/>
    <s v="09 - contratación directa"/>
    <s v="8126 3-Implementar el 100% de los sistemas y modelos de gestión que defina la UAECOB en el marco del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50849"/>
    <x v="0"/>
    <s v="Oficina Asesora de Planeación"/>
    <s v="Manuel Eduardo Castillo Guzman"/>
    <s v="Prestar servicios de apoyo a la gestión para la ejecución de actividades asistenciales, administrativas y de gestión documental que se requieran en la implementación del sistema de gestión de la calidad."/>
    <s v="26 - contrato de prestacion de servicios de apoyo a la gestion"/>
    <n v="80111600"/>
    <n v="9"/>
    <n v="4"/>
    <n v="0"/>
    <n v="16000000"/>
    <x v="0"/>
    <s v="09 - contratación directa"/>
    <s v="8126 3-Implementar el 100% de los sistemas y modelos de gestión que defina la UAECOB en el marco del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50850"/>
    <x v="0"/>
    <s v="Oficina Asesora de Planeación"/>
    <s v="Manuel Eduardo Castillo Guzman"/>
    <s v="Adición y prórroga al contrato 119 de 2025 cuyo objeto es: 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
    <s v="25 - contrato de prestacion de servicios profesionales"/>
    <n v="80111600"/>
    <n v="9"/>
    <n v="3"/>
    <n v="0"/>
    <n v="255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No Secop"/>
  </r>
  <r>
    <n v="20250851"/>
    <x v="0"/>
    <s v="Oficina Asesora de Planeación"/>
    <s v="Manuel Eduardo Castillo Guzman"/>
    <s v="Adición y prórroga al contrato 232 de 2025 cuyo objeto es:  Prestación de servicios profesionales para la implementación de la metodología de la administración de los riesgos institucionales, asi como las actividades que se designen encaminadas a la implementación de las políticas del Modelo Integrado de Planeación y Gestión  MIPG."/>
    <s v="25 - contrato de prestacion de servicios profesionales"/>
    <n v="80111600"/>
    <n v="9"/>
    <n v="3"/>
    <n v="0"/>
    <n v="19500000"/>
    <x v="0"/>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No Secop"/>
  </r>
  <r>
    <n v="20250852"/>
    <x v="0"/>
    <s v="Oficina Asesora de Planeación"/>
    <s v="Manuel Eduardo Castillo Guzman"/>
    <s v="Adición y prórroga al contrato 251 de 2025 cuyo objeto es: Prestación de servicios profesionales en el desarrollo de las actividades que se designen para el seguimiento del plan de mejoramiento de la Oficina Asesora de Planeación, así como la implementación de las políticas del Modelo Integrado de Planeación y Gestión MIPG."/>
    <s v="25 - contrato de prestacion de servicios profesionales"/>
    <n v="80111600"/>
    <n v="9"/>
    <n v="3"/>
    <n v="0"/>
    <n v="21000000"/>
    <x v="0"/>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No Secop"/>
  </r>
  <r>
    <n v="20250853"/>
    <x v="0"/>
    <s v="Oficina Asesora de Planeación"/>
    <s v="Manuel Eduardo Castillo Guzman"/>
    <s v="Adición y prórroga al contrato 234 de 2025 cuyo objeto es: Prestar servicios asistenciales en el desarrollo de actividades relacionadas con la gestión administrativa en la Oficina Asesora de Planeación de la Unidad Administrativa Especial Cuerpo Oficial de Bomberos de Bogotá."/>
    <s v="26 - contrato de prestacion de servicios de apoyo a la gestion"/>
    <n v="80111600"/>
    <n v="12"/>
    <n v="1"/>
    <n v="0"/>
    <n v="4490816"/>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No Secop"/>
  </r>
  <r>
    <n v="20250854"/>
    <x v="0"/>
    <s v="Dirección comunicaciones y Prensa"/>
    <s v="Paula Ximena Henao Escobar"/>
    <s v="Adición y prórroga al Contrato 072 de 2025 con objeto &quot;Prestación de servicios de profesionales a la gestión en la Dirección para el acompañamiento en las labores administrativas en asuntos de Comunicaciones y Prensa de la UAECOB&quot;"/>
    <s v="25 - contrato de prestacion de servicios profesionales"/>
    <n v="80111600"/>
    <n v="8"/>
    <n v="3"/>
    <n v="0"/>
    <n v="15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No Secop"/>
  </r>
  <r>
    <n v="20250855"/>
    <x v="1"/>
    <s v="Sub. Gestión Corporativa"/>
    <s v="Fatima Veronica Quintero Nuñez"/>
    <s v="Adquisición de contenedores y bidones con su respectiva señalización, los cuáles permitan garantizar la segregación de residuos  aprovechables, no aprovechables y peligrosos, generados por las Estaciones y Edificio Comando de la UAE Cuerpo Oficial de Bomberos de Bogotá en cumplimiento de la normatividad ambiental vigente- SGC "/>
    <s v="06 - contrato de compraventa"/>
    <s v="24121807;_x000a_47121709;_x000a_55121704;_x000a_55121705;_x000a_55121718"/>
    <n v="8"/>
    <n v="2"/>
    <n v="0"/>
    <n v="40000000"/>
    <x v="0"/>
    <s v="04 - contratación mínima cuantí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1003063694012 Recipientes de material plástico-canecas para la basura"/>
    <s v="Si Secop "/>
  </r>
  <r>
    <n v="20250856"/>
    <x v="1"/>
    <s v="Sub. Gestión Corporativa"/>
    <s v="Fatima Veronica Quintero Nuñez"/>
    <s v="Adquisicion de las lavadoras y secadoras industriales para las instalaciones de la UAE Cuerpo Oficial de Bomberos de Bogotá-SGC"/>
    <s v="06 - contrato de compraventa"/>
    <s v="47111500; 47111700"/>
    <n v="8"/>
    <n v="3"/>
    <n v="0"/>
    <n v="300000000"/>
    <x v="3"/>
    <s v="03 - selec. abrev. subasta invers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1010030208 Otra maquinaria para usos especiales y sus partes y piezas"/>
    <s v="Si Secop "/>
  </r>
  <r>
    <n v="20250857"/>
    <x v="1"/>
    <s v="Sub. Gestión Corporativa"/>
    <s v="Fatima Veronica Quintero Nuñez"/>
    <s v="Adquisicion de equipos gasodomésticos y solares para las instalaciones de la UAE Cuerpo Oficial de Bomberos -SGC"/>
    <s v="06 - contrato de compraventa"/>
    <s v="48101500; 40101800; 40102000"/>
    <n v="9"/>
    <n v="3"/>
    <n v="0"/>
    <n v="108000000"/>
    <x v="0"/>
    <s v="03 - selec. abrev. subasta invers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1010030208 Otra maquinaria para usos especiales y sus partes y piezas"/>
    <s v="Si Secop "/>
  </r>
  <r>
    <n v="20250858"/>
    <x v="1"/>
    <s v="Sub. Gestión Corporativa"/>
    <s v="Fatima Veronica Quintero Nuñez"/>
    <s v="Adquisicion de equipos electrodomésticos para las instalaciones de la UAE Cuerpo Oficial de Bomberos- SGC"/>
    <s v="06 - contrato de compraventa"/>
    <s v="24131500;_x000a_52141500;_x000a_52151600;_x000a_ 52152000;_x000a_52152300; _x000a_52161500;"/>
    <n v="9"/>
    <n v="3"/>
    <n v="0"/>
    <n v="120000000"/>
    <x v="0"/>
    <s v="03 - selec. abrev. subasta invers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1010030208 Otra maquinaria para usos especiales y sus partes y piezas"/>
    <s v="Si Secop "/>
  </r>
  <r>
    <n v="20250859"/>
    <x v="1"/>
    <s v="Sub. Gestión Corporativa"/>
    <s v="Fatima Veronica Quintero Nuñez"/>
    <s v="Adquisicion de equipos de gimnasio para las instalaciones de la UAE Cuerpo Oficial de Bomberos- SGC"/>
    <s v="06 - contrato de compraventa"/>
    <s v="49201501; 49201503; 49201516; _x000a_ 49201604"/>
    <n v="9"/>
    <n v="3"/>
    <n v="0"/>
    <n v="66000000"/>
    <x v="0"/>
    <s v="03 - selec. abrev. subasta invers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1010030208 Otra maquinaria para usos especiales y sus partes y piezas"/>
    <s v="Si Secop "/>
  </r>
  <r>
    <n v="20250860"/>
    <x v="1"/>
    <s v="Sub. Gestión Corporativa"/>
    <s v="Fatima Veronica Quintero Nuñez"/>
    <s v="Adquisición de banderas con astas y accesorios para las sedes UAECOB-SGC"/>
    <s v="06 - contrato de compraventa"/>
    <s v="55121715;"/>
    <n v="8"/>
    <n v="2"/>
    <n v="0"/>
    <n v="34000000"/>
    <x v="0"/>
    <s v="04 - contratación mínima cuantí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1002072719002 Estandartes y banderas"/>
    <s v="Si Secop "/>
  </r>
  <r>
    <n v="20250861"/>
    <x v="1"/>
    <s v="Sub. Gestión Corporativa"/>
    <s v="Fatima Veronica Quintero Nuñez"/>
    <s v="Adquisición de elementos para el fortalecimiento de la imagen institucional y la identidad visual de la UAECOB-SGC"/>
    <s v="06 - contrato de compraventa"/>
    <s v="72154000;_x000a_55121900;_x000a_60121400;_x000a_52101500;_x000a_55121700;"/>
    <n v="9"/>
    <n v="2"/>
    <n v="0"/>
    <n v="81757803"/>
    <x v="3"/>
    <s v="03 - selec. abrev. subasta invers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1003023262002 Carteles y avisos"/>
    <s v="Si Secop "/>
  </r>
  <r>
    <n v="20250862"/>
    <x v="1"/>
    <s v="Sub. Gestión Corporativa"/>
    <s v="Fatima Veronica Quintero Nuñez"/>
    <s v="Adquisición de Estanteria proceso de Gestión Documental UAECOB-SGC"/>
    <s v="06 - contrato de compraventa"/>
    <s v="24102000;"/>
    <n v="8"/>
    <n v="2"/>
    <n v="0"/>
    <n v="130242197"/>
    <x v="0"/>
    <s v="03 - selec. abrev. subasta invers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1010030208 Otra maquinaria para usos especiales y sus partes y piezas"/>
    <s v="Si Secop "/>
  </r>
  <r>
    <n v="20250863"/>
    <x v="1"/>
    <s v="Sub. Gestión Corporativa"/>
    <s v="Fatima Veronica Quintero Nuñez"/>
    <s v="Adquisición de mobiliario y elementos para la dotación de las instalaciones de la UAE Cuerpo Oficial de Bomberos Bogotá- SGC"/>
    <s v="06 - contrato de compraventa"/>
    <s v="56101500;_x000a_56101700;_x000a_56101900;_x000a_56111500"/>
    <n v="10"/>
    <n v="2"/>
    <n v="0"/>
    <n v="1323628779"/>
    <x v="0"/>
    <s v="03 - selec. abrev. subasta invers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101004010102 Muebles del tipo utilizado en la oficina"/>
    <s v="Si Secop "/>
  </r>
  <r>
    <n v="20250864"/>
    <x v="1"/>
    <s v="Sub. Gestión Corporativa"/>
    <s v="Fatima Veronica Quintero Nuñez"/>
    <s v="Adquisición de elementos de menaje para la UAECOB-SGC"/>
    <s v="06 - contrato de compraventa"/>
    <s v="48101800;_x000a_48101915;_x000a_24112601;_x000a_49121509;"/>
    <n v="8"/>
    <n v="3"/>
    <n v="0"/>
    <n v="30000000"/>
    <x v="0"/>
    <s v="04 - contratación mínima cuantí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1003073722102 Utensilios de loza para mesa y la cocina"/>
    <s v="Si Secop "/>
  </r>
  <r>
    <n v="20250865"/>
    <x v="0"/>
    <s v="Sub. Gestión Corporativa"/>
    <s v="Fatima Veronica Quintero Nuñez"/>
    <s v="Adición y prórroga No.1 al contrato 492 de 2025 que tiene por objeto&quot; Prestar el servicio de vigilancia y seguridad privada en la modalidad de vigilancia fija, según especificaciones técnicas, en las instalaciones donde la UAE Especial Cuerpo Oficial de Bomberos requiera-SGC&quot;"/>
    <s v="03 - contrato de prestacion de servicios"/>
    <s v="92121500;"/>
    <n v="9"/>
    <n v="0"/>
    <n v="20"/>
    <n v="94585950"/>
    <x v="0"/>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250 Servicios de protección (guardas de seguridad)"/>
    <s v="No Secop"/>
  </r>
  <r>
    <n v="20250866"/>
    <x v="2"/>
    <s v="Sub. Gestión Corporativa"/>
    <s v="Fatima Veronica Quintero Nuñez"/>
    <s v="Adición y prórroga No.1 al contrato 492 de 2025 que tiene por objeto&quot; Prestar el servicio de vigilancia y seguridad privada en la modalidad de vigilancia fija, según especificaciones técnicas, en las instalaciones donde la UAE Especial Cuerpo Oficial de Bomberos requiera-SGC&quot;"/>
    <s v="03 - contrato de prestacion de servicios"/>
    <s v="92121500;"/>
    <n v="9"/>
    <n v="0"/>
    <n v="20"/>
    <n v="25414050"/>
    <x v="1"/>
    <s v="02 - selec. abrev. menor cuantía"/>
    <s v="No aplica"/>
    <s v="NA"/>
    <s v="NA"/>
    <s v="NA"/>
    <s v="N/A"/>
    <s v="N/A"/>
    <s v="N/A-N/A"/>
    <s v="N/A"/>
    <s v="N/A"/>
    <s v="N/A_N/A"/>
    <s v="N/A-N/A N/A_N/A"/>
    <s v="NANANAN/AN/A"/>
    <s v="N/A"/>
    <s v="No Aplica"/>
    <s v="No Secop"/>
  </r>
  <r>
    <n v="20250867"/>
    <x v="0"/>
    <s v="Oficina Asesora de Planeación"/>
    <s v="Manuel Eduardo Castillo Guzman"/>
    <s v="adicion y prorroga al contrato No. 10 de 2025, cuyo objeto es: ¨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 "/>
    <s v="25 - contrato de prestacion de servicios profesionales"/>
    <n v="80111600"/>
    <n v="11"/>
    <n v="1"/>
    <n v="0"/>
    <n v="1095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No Secop"/>
  </r>
  <r>
    <n v="20250868"/>
    <x v="1"/>
    <s v="Sub. Gestión Riesgos"/>
    <s v="William Tovar Segura"/>
    <s v="Adicion y prorroga CTO  71-2025 &quot;Prestar servicios de apoyo administrativos apoyando a la Subdirección de Gestión del Riesgo con lo relacionado al seguimiento y control de sus solicitudes y peticiones._SGR"/>
    <s v="26 - contrato de prestacion de servicios de apoyo a la gestion"/>
    <n v="80111600"/>
    <n v="9"/>
    <n v="3"/>
    <n v="0"/>
    <n v="120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No Secop"/>
  </r>
  <r>
    <n v="20250869"/>
    <x v="1"/>
    <s v="Sub. Gestión Riesgos"/>
    <s v="William Tovar Segura"/>
    <s v="Adicion y prorroga CTO  179-2025  Prestar sus servicios profesionales en las actividades relacionadas con la emision de conceptos a cargo de la Subdirección de Gestión del Riesgo._SGR"/>
    <s v="25 - contrato de prestacion de servicios profesionales"/>
    <n v="80111600"/>
    <n v="9"/>
    <n v="3"/>
    <n v="15"/>
    <n v="245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No Secop"/>
  </r>
  <r>
    <n v="20250870"/>
    <x v="1"/>
    <s v="Sub. Gestión Riesgos"/>
    <s v="William Tovar Segura"/>
    <s v="Adicion y prorroga CTO  145-2025 Prestar servicios profesionales en las actividades de identificacion de escenarios a cargo de la Subdirección de Gestión del Riesgo._SGR"/>
    <s v="25 - contrato de prestacion de servicios profesionales"/>
    <n v="80111600"/>
    <n v="9"/>
    <n v="3"/>
    <n v="0"/>
    <n v="21000000"/>
    <x v="0"/>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No Secop"/>
  </r>
  <r>
    <n v="20250871"/>
    <x v="1"/>
    <s v="Sub. Gestión Riesgos"/>
    <s v="William Tovar Segura"/>
    <s v="Adicion  y prorroga CTO 496-2025 Adquisición de elementos de identificación institucional para el programa comunitario de prevención de incendios forestales_SGR."/>
    <s v="08 - contrato de suministro"/>
    <s v="53103100_x000a_53102500"/>
    <n v="8"/>
    <n v="1"/>
    <n v="0"/>
    <n v="4116000"/>
    <x v="0"/>
    <s v="04 - contratación mínima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No Secop"/>
  </r>
  <r>
    <n v="20250872"/>
    <x v="1"/>
    <s v="Sub. Gestión Riesgos"/>
    <s v="William Tovar Segura"/>
    <s v="Adicion y Prorroga Cto 96 -2025 Prestar servicios profesionales en las actividades de identificacion de escenarios a cargo de la Subdirección de Gestión del Riesgo._SGR"/>
    <s v="25 - contrato de prestacion de servicios profesionales"/>
    <n v="80111600"/>
    <n v="9"/>
    <n v="3"/>
    <n v="0"/>
    <n v="16500000"/>
    <x v="0"/>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No Secop"/>
  </r>
  <r>
    <n v="20250873"/>
    <x v="1"/>
    <s v="Sub. Gestión Riesgos"/>
    <s v="William Tovar Segura"/>
    <s v="Adicion  y prorroga CTO 788-2024 Adquisición de elementos de identificación institucional para el personal de la UAECOB _SGR."/>
    <s v="08 - contrato de suministro"/>
    <s v="11000000_x000a_53101800_x000a_53101802_x000a_53101804"/>
    <n v="8"/>
    <n v="1"/>
    <n v="0"/>
    <n v="5798860"/>
    <x v="0"/>
    <s v="04 - contratación mínima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No Secop"/>
  </r>
  <r>
    <n v="20250874"/>
    <x v="1"/>
    <s v="Sub. Gestión Riesgos"/>
    <s v="William Tovar Segura"/>
    <s v="Adicion y prorroga CTO 177-2025  Prestar servicios profesionales en las actividades de identificacion de escenarios a cargo de la Subdirección de Gestión del Riesgo._SGR"/>
    <s v="25 - contrato de prestacion de servicios profesionales"/>
    <n v="80111600"/>
    <n v="9"/>
    <n v="3"/>
    <n v="0"/>
    <n v="15000000"/>
    <x v="0"/>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No Secop"/>
  </r>
  <r>
    <n v="20250875"/>
    <x v="1"/>
    <s v="Sub. Gestión Riesgos"/>
    <s v="William Tovar Segura"/>
    <s v="Adicion y prorroga CTO 74-2025 prestar servicios profesionales liderando las actividades de caracterización de escenarios y monitoreo de gestión del riesgo.SGR"/>
    <s v="25 - contrato de prestacion de servicios profesionales"/>
    <n v="80111600"/>
    <n v="9"/>
    <n v="4"/>
    <n v="0"/>
    <n v="31850000"/>
    <x v="0"/>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No Secop"/>
  </r>
  <r>
    <n v="20250876"/>
    <x v="1"/>
    <s v="Sub. Gestión Riesgos"/>
    <s v="William Tovar Segura"/>
    <s v="Adicion y prorroga CTO  114-2025 Prestar sus servicios profesionales en las actividades relacionadas con la emision de conceptos a cargo de la Subdirección de Gestión del Riesgo._SGR"/>
    <s v="25 - contrato de prestacion de servicios profesionales"/>
    <n v="80111600"/>
    <n v="9"/>
    <n v="3"/>
    <n v="0"/>
    <n v="15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No Secop"/>
  </r>
  <r>
    <n v="20250877"/>
    <x v="1"/>
    <s v="Sub. Gestión Riesgos"/>
    <s v="William Tovar Segura"/>
    <s v="Adicion y prorroga Cto 108-2025 Prestar servicios profesionales para realizar las actividdaes relacionadas con la emision de conceptos a cargo de la Subdirección de Gestión del Riesgo._SGR"/>
    <s v="25 - contrato de prestacion de servicios profesionales"/>
    <n v="80111600"/>
    <n v="9"/>
    <n v="3"/>
    <n v="0"/>
    <n v="15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No Secop"/>
  </r>
  <r>
    <n v="20250878"/>
    <x v="1"/>
    <s v="Sub. Gestión Riesgos"/>
    <s v="William Tovar Segura"/>
    <s v="Adicion y prorroga  CTO  169-2025 Prestar servicios profesionales en las actividades de Programas y Campañas de Prevención para la Subdirección de Gestión del Riesgo._SGR"/>
    <s v="25 - contrato de prestacion de servicios profesionales"/>
    <n v="80111600"/>
    <n v="9"/>
    <n v="3"/>
    <n v="0"/>
    <n v="150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No Secop"/>
  </r>
  <r>
    <n v="20250879"/>
    <x v="1"/>
    <s v="Sub. Operativa"/>
    <s v="Yenire Yohansy Lozano Ascanio"/>
    <s v="Prestación de servicios para realizar la gestión administrativa requerida en la estación de bomberos asignada, en apoyo al desarrollo de  la meta de renovación de equipos, herramientas, accesorios y elementos de protección personal para la UAECOB  a cargo de la Subdirección Operativa-S.O."/>
    <s v="26 - contrato de prestacion de servicios de apoyo a la gestion"/>
    <n v="80111600"/>
    <n v="9"/>
    <n v="3"/>
    <n v="15"/>
    <n v="1015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880"/>
    <x v="1"/>
    <s v="Sub. Operativa"/>
    <s v="Yenire Yohansy Lozano Ascanio"/>
    <s v="Prestación de servicios para realizar la gestión administrativa requerida en la estación de bomberos asignada, en apoyo al desarrollo de  la meta de renovación de equipos, herramientas, accesorios y elementos de protección personal para la UAECOB  a cargo de la Subdirección Operativa-S.O."/>
    <s v="26 - contrato de prestacion de servicios de apoyo a la gestion"/>
    <n v="80111600"/>
    <n v="9"/>
    <n v="3"/>
    <n v="15"/>
    <n v="1015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881"/>
    <x v="1"/>
    <s v="Sub. Operativa"/>
    <s v="Yenire Yohansy Lozano Ascanio"/>
    <s v="Prestación de servicios  para gestionar y ejecutar las actividades que dan soporte al proceso de comunicaciones en emergencias, del centro de coordinación y comunicaciones (c.c.c.) y en apoyo al desarrollo  de la meta de renovación de equipos, herramientas, accesorios y elementos de protección personal para la UAECOB  a cargo de la Subdirección Operativa-S.O."/>
    <s v="26 - contrato de prestacion de servicios de apoyo a la gestion"/>
    <n v="80111600"/>
    <n v="9"/>
    <n v="3"/>
    <n v="15"/>
    <n v="10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882"/>
    <x v="1"/>
    <s v="Sub. Operativa"/>
    <s v="Yenire Yohansy Lozano Ascanio"/>
    <s v="Prestación de servicios para realizar la gestión administrativa requerida en la estación de bomberos asignada, en apoyo al desarrollo de  la meta de renovación de equipos, herramientas, accesorios y elementos de protección personal para la UAECOB  a cargo de la Subdirección Operativa-S.O."/>
    <s v="26 - contrato de prestacion de servicios de apoyo a la gestion"/>
    <n v="80111600"/>
    <n v="9"/>
    <n v="3"/>
    <n v="0"/>
    <n v="87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883"/>
    <x v="1"/>
    <s v="Sub. Operativa"/>
    <s v="Yenire Yohansy Lozano Ascanio"/>
    <s v="Prestación de servicios  para gestionar y ejecutar las actividades que dan soporte al proceso de comunicaciones en emergencias, del centro de coordinación y comunicaciones (c.c.c.) y en apoyo al desarrollo  de la meta de renovación de equipos, herramientas, accesorios y elementos de protección personal para la UAECOB  a cargo de la Subdirección Operativa-S.O."/>
    <s v="26 - contrato de prestacion de servicios de apoyo a la gestion"/>
    <n v="80111600"/>
    <n v="9"/>
    <n v="3"/>
    <n v="0"/>
    <n v="9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884"/>
    <x v="1"/>
    <s v="Sub. Operativa"/>
    <s v="Yenire Yohansy Lozano Ascanio"/>
    <s v="Prestación de servicios  para gestionar y ejecutar las actividades que dan soporte al proceso de comunicaciones en emergencias, del centro de coordinación y comunicaciones (c.c.c.) y en apoyo al desarrollo  de la meta de renovación de equipos, herramientas, accesorios y elementos de protección personal para la UAECOB  a cargo de la Subdirección Operativa-S.O."/>
    <s v="26 - contrato de prestacion de servicios de apoyo a la gestion"/>
    <n v="80111600"/>
    <n v="9"/>
    <n v="3"/>
    <n v="0"/>
    <n v="9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885"/>
    <x v="1"/>
    <s v="Sub. Operativa"/>
    <s v="Yenire Yohansy Lozano Ascanio"/>
    <s v="Prestación de servicios profesionales para la elaboración de informes o documentos técnicos, infografías, reportes y consolidación de indicadores relacionados con los procesos, procedimientos, contratos y en desarrollo  de la meta de renovación de equipos, herramientas, accesorios y elementos de protección personal para la UAECOB  a cargo de la Subdirección Operativa-S.O."/>
    <s v="25 - contrato de prestacion de servicios profesionales"/>
    <n v="80111600"/>
    <n v="9"/>
    <n v="3"/>
    <n v="0"/>
    <n v="21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886"/>
    <x v="1"/>
    <s v="Sub. Operativa"/>
    <s v="Yenire Yohansy Lozano Ascanio"/>
    <s v="ADICIÓN Y PRÓRROGA AL CPS 328-2025 cuyo objeto es: prestación de servicios para dar el apoyo y realizar la gestión administrativa requerida en la estación de bomberos asignada y a cargo de la subdirección operativa s.o."/>
    <s v="26 - contrato de prestacion de servicios de apoyo a la gestion"/>
    <n v="80111600"/>
    <n v="10"/>
    <n v="2"/>
    <n v="15"/>
    <n v="725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887"/>
    <x v="1"/>
    <s v="Sub. Operativa"/>
    <s v="Yenire Yohansy Lozano Ascanio"/>
    <s v="ADICIÓN Y PRÓRROGA AL CPS 345-2025 cuyo objeto es: prestación de servicios para dar el apoyo y realizar la gestión administrativa requerida en la estación de bomberos asignada y a cargo de la subdirección operativa s.o."/>
    <s v="26 - contrato de prestacion de servicios de apoyo a la gestion"/>
    <n v="80111600"/>
    <n v="10"/>
    <n v="2"/>
    <n v="15"/>
    <n v="725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888"/>
    <x v="1"/>
    <s v="Sub. Operativa"/>
    <s v="Yenire Yohansy Lozano Ascanio"/>
    <s v="ADICIÓN Y PRÓRROGA AL CPS 350-2025 cuyo objeto es: prestación de servicios para dar el apoyo y realizar la gestión administrativa requerida en la estación de bomberos asignada y a cargo de la subdirección operativa s.o."/>
    <s v="26 - contrato de prestacion de servicios de apoyo a la gestion"/>
    <n v="80111600"/>
    <n v="10"/>
    <n v="2"/>
    <n v="15"/>
    <n v="725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889"/>
    <x v="1"/>
    <s v="Sub. Operativa"/>
    <s v="Yenire Yohansy Lozano Ascanio"/>
    <s v="ADICIÓN Y PRÓRROGA AL CPS 395-2025 cuyo objeto es: prestación de servicios para dar el apoyo y realizar la gestión administrativa requerida en la estación de bomberos asignada y a cargo de la subdirección operativa s.o."/>
    <s v="26 - contrato de prestacion de servicios de apoyo a la gestion"/>
    <n v="80111600"/>
    <n v="10"/>
    <n v="2"/>
    <n v="0"/>
    <n v="58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890"/>
    <x v="1"/>
    <s v="Sub. Operativa"/>
    <s v="Yenire Yohansy Lozano Ascanio"/>
    <s v="ADICIÓN Y PRÓRROGA AL CPS 419-2025 cuyo objeto es: prestación de servicios para dar el apoyo y realizar la gestión administrativa requerida en la estación de bomberos asignada y a cargo de la subdirección operativa s.o."/>
    <s v="26 - contrato de prestacion de servicios de apoyo a la gestion"/>
    <n v="80111600"/>
    <n v="10"/>
    <n v="2"/>
    <n v="0"/>
    <n v="58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891"/>
    <x v="1"/>
    <s v="Sub. Operativa"/>
    <s v="Yenire Yohansy Lozano Ascanio"/>
    <s v="ADICIÓN Y PRÓRROGA AL CPS 423-2025 cuyo objeto es: prestación de servicios para dar el apoyo y realizar la gestión administrativa requerida en la estación de bomberos asignada y a cargo de la subdirección operativa s.o."/>
    <s v="26 - contrato de prestacion de servicios de apoyo a la gestion"/>
    <n v="80111600"/>
    <n v="10"/>
    <n v="2"/>
    <n v="0"/>
    <n v="58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892"/>
    <x v="1"/>
    <s v="Sub. Operativa"/>
    <s v="Yenire Yohansy Lozano Ascanio"/>
    <s v="ADICIÓN Y PRÓRROGA AL CPS 425-2025 cuyo objeto es: Prestación de servicios para dar el apoyo y realizar la gestión administrativa requerida en la estación de bomberos asignada y a cargo de la subdirección operativa s.o."/>
    <s v="26 - contrato de prestacion de servicios de apoyo a la gestion"/>
    <n v="80111600"/>
    <n v="10"/>
    <n v="2"/>
    <n v="0"/>
    <n v="58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893"/>
    <x v="1"/>
    <s v="Sub. Operativa"/>
    <s v="Yenire Yohansy Lozano Ascanio"/>
    <s v="prestación de servicios profesionales para las actividades de seguimiento, verificación  de las actividades relacionadas con la Subdirección Logística en los procesos, procedimientos  y en desarrollo  de la meta de renovación de equipos, herramientas, accesorios y elementos de protección personal para la UAECOB  a cargo de la Subdirección Operativa-S.O."/>
    <s v="25 - contrato de prestacion de servicios profesionales"/>
    <n v="80111600"/>
    <n v="10"/>
    <n v="2"/>
    <n v="15"/>
    <n v="12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894"/>
    <x v="1"/>
    <s v="Sub. Operativa"/>
    <s v="Yenire Yohansy Lozano Ascanio"/>
    <s v="ADICIÓN Y PRÓRROGA AL CPS 364-2025 cuyo objeto es: Prestación de servicios para apoyar la gestión administrativa y documental requerida a cargo de la Subdirección Operativa S.O."/>
    <s v="26 - contrato de prestacion de servicios de apoyo a la gestion"/>
    <n v="80111600"/>
    <n v="11"/>
    <n v="2"/>
    <n v="0"/>
    <n v="6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895"/>
    <x v="1"/>
    <s v="Sub. Operativa"/>
    <s v="Yenire Yohansy Lozano Ascanio"/>
    <s v="ADICIÓN Y PRÓRROGA AL CPS 401-2025 cuyo objeto es: prestación de servicios para dar el apoyo y realizar la gestión administrativa requerida en la estación de bomberos asignada y a cargo de la subdirección operativa s.o."/>
    <s v="26 - contrato de prestacion de servicios de apoyo a la gestion"/>
    <n v="80111600"/>
    <n v="11"/>
    <n v="2"/>
    <n v="0"/>
    <n v="58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896"/>
    <x v="1"/>
    <s v="Sub. Operativa"/>
    <s v="Yenire Yohansy Lozano Ascanio"/>
    <s v="ADICIÓN Y PRÓRROGA AL CPS 461-2025 cuyo objeto es: prestación de servicios para dar el apoyo y realizar la gestión administrativa requerida en la estación de bomberos asignada y a cargo de la subdirección operativa s.o."/>
    <s v="26 - contrato de prestacion de servicios de apoyo a la gestion"/>
    <n v="80111600"/>
    <n v="11"/>
    <n v="2"/>
    <n v="0"/>
    <n v="58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897"/>
    <x v="1"/>
    <s v="Sub. Operativa"/>
    <s v="Yenire Yohansy Lozano Ascanio"/>
    <s v="ADICIÓN Y PRÓRROGA AL CPS 115-2025 cuyo objeto es: prestación de servicios profesionales para proyectar las solicitudes dirigidas a autoridades administrativas, respuestas a pqr s, derechos de petición, requerimientos efectuados por los entes de control y autoridades administrativas o que lleguen por los diferentes canales de atención de la entidad, en el marco de los procesos y procedimientos a cargo de la dependencia  s.o."/>
    <s v="25 - contrato de prestacion de servicios profesionales"/>
    <n v="80111600"/>
    <n v="12"/>
    <n v="0"/>
    <n v="13"/>
    <n v="2166667"/>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898"/>
    <x v="1"/>
    <s v="Sub. Operativa"/>
    <s v="Yenire Yohansy Lozano Ascanio"/>
    <s v="ADICIÓN Y PRÓRROGA AL CPS 191-2025 cuyo objeto es: prestación de servicios de apoyo para desarrollar y mantener las condiciones básicas de bienestar de los caninos y de animales rescatados o recuperados que atiende el grupo brae a cargo de la subdirección operativa s.o."/>
    <s v="25 - contrato de prestacion de servicios profesionales"/>
    <n v="80111600"/>
    <n v="12"/>
    <n v="0"/>
    <n v="9"/>
    <n v="1075785"/>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899"/>
    <x v="1"/>
    <s v="Sub. Operativa"/>
    <s v="Yenire Yohansy Lozano Ascanio"/>
    <s v="ADICIÓN Y PRÓRROGA AL CPS 221-2025 cuyo objeto es: prestación de servicios profesionales para estructurar, definir y verificar en los aspectos técnicos de los diferentes procesos de contratación de bienes y servicios de la subdirección operativa en las etapas precontractual, contractual y postcontractual-s.o."/>
    <s v="25 - contrato de prestacion de servicios profesionales"/>
    <n v="80111600"/>
    <n v="12"/>
    <n v="0"/>
    <n v="21"/>
    <n v="49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900"/>
    <x v="1"/>
    <s v="Sub. Operativa"/>
    <s v="Yenire Yohansy Lozano Ascanio"/>
    <s v="ADICIÓN Y PRÓRROGA AL CPS 236-2025 cuyo objeto es: prestación de servicios de apoyo para ejecutar las actividades administrativas, de gestión , trámite, seguimiento y verificación de solicitudes recibidas en el canal de comunicación de gestión operativa. - s.o."/>
    <s v="25 - contrato de prestacion de servicios profesionales"/>
    <n v="80111600"/>
    <n v="12"/>
    <n v="0"/>
    <n v="5"/>
    <n v="533333"/>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901"/>
    <x v="1"/>
    <s v="Sub. Operativa"/>
    <s v="Yenire Yohansy Lozano Ascanio"/>
    <s v="ADICIÓN Y PRÓRROGA AL CPS 256-2025 cuyo objeto es: prestar servicios profesionales para apoyar jurídicamente en la sustanciación, revisión y trámite de solicitudes dirigidas a autoridades administrativas, respuestas a pqrs, derechos de petición y requerimientos que efectúen los entes de control, así como realizar la gestión y desarrollo de todas las etapas precontractuales y contractuales correspondientes a la celebración de convenios, comodatos, memorandos de entendimiento y demás procesos de selección de la subdirección operativa s.o."/>
    <s v="25 - contrato de prestacion de servicios profesionales"/>
    <n v="80111600"/>
    <n v="12"/>
    <n v="0"/>
    <n v="10"/>
    <n v="2333333"/>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902"/>
    <x v="1"/>
    <s v="Sub. Operativa"/>
    <s v="Yenire Yohansy Lozano Ascanio"/>
    <s v="ADICIÓN Y PRÓRROGA AL CPS 307-2025 cuyo objeto es: prestación de servicios profesionales para ejecutar las actividades misionales en la elaboración, diseño y diagramación de piezas requeridas para los planes, programas, proyectos y procedimientos- s.o."/>
    <s v="25 - contrato de prestacion de servicios profesionales"/>
    <n v="80111600"/>
    <n v="12"/>
    <n v="0"/>
    <n v="10"/>
    <n v="2333333"/>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903"/>
    <x v="1"/>
    <s v="Sub. Operativa"/>
    <s v="Yenire Yohansy Lozano Ascanio"/>
    <s v="ADICIÓN Y PRÓRROGA AL CPS 488-2025 cuyo objeto es: Prestación de servicios de apoyo para desarrollar y mantener las condiciones básicas de bienestar de los caninos y de  animales rescatados o recuperados que atiende el grupo BRAE a Cargo de la Subdirección Operativa "/>
    <s v="25 - contrato de prestacion de servicios profesionales"/>
    <n v="80111600"/>
    <n v="12"/>
    <n v="0"/>
    <n v="14"/>
    <n v="1673443"/>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904"/>
    <x v="1"/>
    <s v="Sub. Gestión Riesgos"/>
    <s v="William Tovar Segura"/>
    <s v="Adición y prorroga cto 158-2025  &quot; Prestar servicios profesionales a la Subdirección de Gestión del Riesgo liderando las actividades del proceso de inspecciones técnicas del Riesgo._SGR&quot;"/>
    <s v="25 - contrato de prestacion de servicios profesionales"/>
    <n v="80111600"/>
    <n v="9"/>
    <n v="3"/>
    <n v="15"/>
    <n v="3185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No Secop"/>
  </r>
  <r>
    <n v="20250905"/>
    <x v="1"/>
    <s v="Sub. Gestión Riesgos"/>
    <s v="William Tovar Segura"/>
    <s v="Adición y prorroga cto 238-2025 &quot;Prestar servicios profesionales para la gestión de la SGR, estructurando el seguimiento de los procesos contractuales y seguimiento de los proyectos de inversión de la UAECOB._SGR&quot;"/>
    <s v="25 - contrato de prestacion de servicios profesionales"/>
    <n v="80111600"/>
    <n v="10"/>
    <n v="3"/>
    <n v="0"/>
    <n v="210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No Secop"/>
  </r>
  <r>
    <n v="20250906"/>
    <x v="1"/>
    <s v="Sub. Gestión Riesgos"/>
    <s v="William Tovar Segura"/>
    <s v="Adición y prorroga cto 418-2025 &quot;prestar servicios profesionales para las actividades de la Subdireccion de Gestion del Riesgo relacionadas con la gestion de los aspectos tecnologicos e informaticos._SGR&quot;"/>
    <s v="25 - contrato de prestacion de servicios profesionales"/>
    <n v="80111600"/>
    <n v="11"/>
    <n v="1"/>
    <n v="0"/>
    <n v="50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No Secop"/>
  </r>
  <r>
    <n v="20250907"/>
    <x v="1"/>
    <s v="Sub. Gestión Riesgos"/>
    <s v="William Tovar Segura"/>
    <s v="Adición y prorroga cto 273-2025 Prestar servicios de apoyo a la gestión como conductor en la Subdirección de Gestión del Riesgo._SGR"/>
    <s v="26 - contrato de prestacion de servicios de apoyo a la gestion"/>
    <n v="80111600"/>
    <n v="12"/>
    <n v="1"/>
    <n v="0"/>
    <n v="3760000"/>
    <x v="0"/>
    <s v="09 - contratación directa"/>
    <s v="8173 1-Implementación 6 estrategias de reducción del riesgo de incendios,  incidentes con materiales peligrosos y rescate en todas sus modalidades en la ciudad de Bogotá"/>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No Secop"/>
  </r>
  <r>
    <n v="20250908"/>
    <x v="1"/>
    <s v="Sub. Gestión Riesgos"/>
    <s v="William Tovar Segura"/>
    <s v="Adición y prorroga cto  84-2025 Prestar  servicios profesionales en las actividades de proyeccion e innovacion para la Subdirección de Gestión del Riesgo._SGR"/>
    <s v="25 - contrato de prestacion de servicios profesionales"/>
    <n v="80111600"/>
    <n v="12"/>
    <n v="1"/>
    <n v="0"/>
    <n v="8000000"/>
    <x v="0"/>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No Secop"/>
  </r>
  <r>
    <n v="20250909"/>
    <x v="1"/>
    <s v="Sub. Gestión Riesgos"/>
    <s v="William Tovar Segura"/>
    <s v="Adición y prorroga cto   344-2025  Prestar servicios profesionales en las actividades de monitoreo del riesgo para la Subdirección de Gestión del Riesgo._SGR"/>
    <s v="25 - contrato de prestacion de servicios profesionales"/>
    <n v="80111600"/>
    <n v="11"/>
    <n v="1"/>
    <n v="0"/>
    <n v="12000000"/>
    <x v="0"/>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No Secop"/>
  </r>
  <r>
    <n v="20250910"/>
    <x v="1"/>
    <s v="Sub. Gestión Riesgos"/>
    <s v="William Tovar Segura"/>
    <s v="Adición y prorroga cto  341-2025 Prestar  servicios profesionales en las actividades de proyeccion e innovacion para la Subdirección de Gestión del Riesgo._SGR"/>
    <s v="25 - contrato de prestacion de servicios profesionales"/>
    <n v="80111600"/>
    <n v="11"/>
    <n v="2"/>
    <n v="0"/>
    <n v="12000000"/>
    <x v="0"/>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No Secop"/>
  </r>
  <r>
    <n v="20250911"/>
    <x v="1"/>
    <s v="Sub. Gestión Riesgos"/>
    <s v="William Tovar Segura"/>
    <s v="Adición y prorroga cto 206-2025  Prestar sus servicios profesionales en las actividades relacionadas con la emision de conceptos a cargo de la Subdirección de Gestión del Riesgo._SGR"/>
    <s v="25 - contrato de prestacion de servicios profesionales"/>
    <n v="80111600"/>
    <n v="10"/>
    <n v="3"/>
    <n v="15"/>
    <n v="245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No Secop"/>
  </r>
  <r>
    <n v="20250912"/>
    <x v="1"/>
    <s v="Sub. Gestión Riesgos"/>
    <s v="William Tovar Segura"/>
    <s v="Adición y prorroga cto 335-2025 Prestar sus servicios de apoyo tecnico para realizar las inspecciones relacionadas con la emision de conceptos a cargo de la Subdirección de Gestión del Riesgo._SGR"/>
    <s v="26 - contrato de prestacion de servicios de apoyo a la gestion"/>
    <n v="80111600"/>
    <n v="10"/>
    <n v="2"/>
    <n v="0"/>
    <n v="88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No Secop"/>
  </r>
  <r>
    <n v="20250913"/>
    <x v="1"/>
    <s v="Sub. Gestión Riesgos"/>
    <s v="William Tovar Segura"/>
    <s v="Adición y prorroga cto 365-2025 Prestar servicios profesionales en las actividades de monitoreo del riesgo para la Subdirección de Gestión del Riesgo._SGR"/>
    <s v="25 - contrato de prestacion de servicios profesionales"/>
    <n v="80111600"/>
    <n v="11"/>
    <n v="2"/>
    <n v="0"/>
    <n v="10000000"/>
    <x v="0"/>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No Secop"/>
  </r>
  <r>
    <n v="20250914"/>
    <x v="1"/>
    <s v="Sub. Gestión Riesgos"/>
    <s v="William Tovar Segura"/>
    <s v="Adición y prorroga cto 299-2025 Prestar servicios de apoyo a la gestion en las actividades de monitoreo del riesgo para la Subdirección de Gestión del Riesgo._SGR"/>
    <s v="26 - contrato de prestacion de servicios de apoyo a la gestion"/>
    <n v="80111600"/>
    <n v="10"/>
    <n v="3"/>
    <n v="0"/>
    <n v="12000000"/>
    <x v="0"/>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No Secop"/>
  </r>
  <r>
    <n v="20250915"/>
    <x v="1"/>
    <s v="Sub. Gestión Riesgos"/>
    <s v="William Tovar Segura"/>
    <s v="Adición y prorroga cto  433-2025 Prestar servicios profesionales en las actividades de monitoreo del riesgo para la Subdirección de Gestión del Riesgo._SGR"/>
    <s v="25 - contrato de prestacion de servicios profesionales"/>
    <n v="80111600"/>
    <n v="11"/>
    <n v="1"/>
    <n v="0"/>
    <n v="5000000"/>
    <x v="0"/>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No Secop"/>
  </r>
  <r>
    <n v="20250916"/>
    <x v="1"/>
    <s v="Sub. Gestión Riesgos"/>
    <s v="William Tovar Segura"/>
    <s v="Adición y prorroga cto  204-2025  Prestar servicios de apoyo en las actividades de Programas y Campañas de Prevención para la Subdirección de Gestión del Riesgo._SGR"/>
    <s v="26 - contrato de prestacion de servicios de apoyo a la gestion"/>
    <n v="80111600"/>
    <n v="10"/>
    <n v="3"/>
    <n v="0"/>
    <n v="105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No Secop"/>
  </r>
  <r>
    <n v="20250917"/>
    <x v="1"/>
    <s v="Sub. Gestión Riesgos"/>
    <s v="William Tovar Segura"/>
    <s v="Adición y prorroga cto 192-2025 Prestar servicios profesionales para la gestión de la SGR, en su compomente técnico, administrativo y análisis financiero._SGR."/>
    <s v="25 - contrato de prestacion de servicios profesionales"/>
    <n v="80111600"/>
    <n v="10"/>
    <n v="3"/>
    <n v="0"/>
    <n v="210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No Secop"/>
  </r>
  <r>
    <n v="20250918"/>
    <x v="1"/>
    <s v="Sub. Gestión Riesgos"/>
    <s v="William Tovar Segura"/>
    <s v="Adición y prorroga ct 37-2025 Prestar sus servicios profesionales en las actividades relacionadas con la emision de conceptos a cargo de la Subdirección de Gestión del Riesgo._SGR"/>
    <s v="25 - contrato de prestacion de servicios profesionales"/>
    <n v="80111600"/>
    <n v="9"/>
    <n v="3"/>
    <n v="0"/>
    <n v="18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No Secop"/>
  </r>
  <r>
    <n v="20250919"/>
    <x v="1"/>
    <s v="Sub. Gestión Riesgos"/>
    <s v="William Tovar Segura"/>
    <s v="Adición y prorroga ct 185-2025 Prestar sus servicios profesionales en las actividades relacionadas con la emision de conceptos a cargo de la Subdirección de Gestión del Riesgo._SGR"/>
    <s v="25 - contrato de prestacion de servicios profesionales"/>
    <n v="80111600"/>
    <n v="10"/>
    <n v="3"/>
    <n v="0"/>
    <n v="18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No Secop"/>
  </r>
  <r>
    <n v="20250920"/>
    <x v="1"/>
    <s v="Sub. Gestión Riesgos"/>
    <s v="William Tovar Segura"/>
    <s v=" Adición y prorroga ct 76-2025 Prestar sus servicios de apoyo tecnico para realizar las inspecciones relacionadas con la emision de conceptos a cargo de la Subdirección de Gestión del Riesgo._SGR"/>
    <s v="26 - contrato de prestacion de servicios de apoyo a la gestion"/>
    <n v="80111600"/>
    <n v="12"/>
    <n v="1"/>
    <n v="0"/>
    <n v="4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No Secop"/>
  </r>
  <r>
    <n v="20250921"/>
    <x v="1"/>
    <s v="Sub. Gestión Riesgos"/>
    <s v="William Tovar Segura"/>
    <s v=" Adición y prorroga ct 21 -2025 Prestar sus servicios de apoyo tecnico para realizar las inspecciones relacionadas con la emision de conceptos a cargo de la Subdirección de Gestión del Riesgo._SGR"/>
    <s v="26 - contrato de prestacion de servicios de apoyo a la gestion"/>
    <n v="80111600"/>
    <n v="12"/>
    <n v="1"/>
    <n v="0"/>
    <n v="4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No Secop"/>
  </r>
  <r>
    <n v="20250922"/>
    <x v="1"/>
    <s v="Sub. Gestión Riesgos"/>
    <s v="William Tovar Segura"/>
    <s v=" Adición y prorroga ct 33 -2025 Prestar sus servicios de apoyo tecnico para realizar las inspecciones relacionadas con la emision de conceptos a cargo de la Subdirección de Gestión del Riesgo._SGR"/>
    <s v="26 - contrato de prestacion de servicios de apoyo a la gestion"/>
    <n v="80111600"/>
    <n v="12"/>
    <n v="1"/>
    <n v="0"/>
    <n v="4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No Secop"/>
  </r>
  <r>
    <n v="20250923"/>
    <x v="1"/>
    <s v="Sub. Gestión Riesgos"/>
    <s v="William Tovar Segura"/>
    <s v=" Adición y prorroga ct 22 -2025 Prestar sus servicios de apoyo tecnico para realizar las inspecciones relacionadas con la emision de conceptos a cargo de la Subdirección de Gestión del Riesgo._SGR"/>
    <s v="26 - contrato de prestacion de servicios de apoyo a la gestion"/>
    <n v="80111600"/>
    <n v="12"/>
    <n v="1"/>
    <n v="0"/>
    <n v="4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No Secop"/>
  </r>
  <r>
    <n v="20250924"/>
    <x v="1"/>
    <s v="Sub. Gestión Riesgos"/>
    <s v="William Tovar Segura"/>
    <s v=" Adición y prorroga ct 43 -2025 Prestar sus servicios de apoyo tecnico para realizar las inspecciones relacionadas con la emision de conceptos a cargo de la Subdirección de Gestión del Riesgo._SGR"/>
    <s v="26 - contrato de prestacion de servicios de apoyo a la gestion"/>
    <n v="80111600"/>
    <n v="12"/>
    <n v="1"/>
    <n v="0"/>
    <n v="4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No Secop"/>
  </r>
  <r>
    <n v="20250925"/>
    <x v="1"/>
    <s v="Sub. Gestión Riesgos"/>
    <s v="William Tovar Segura"/>
    <s v="  Adición y prorroga ct 304 -2025 Prestar sus servicios de apoyo tecnico para realizar las inspecciones relacionadas con la emision de conceptos a cargo de la Subdirección de Gestión del Riesgo._SGR"/>
    <s v="26 - contrato de prestacion de servicios de apoyo a la gestion"/>
    <n v="80111600"/>
    <n v="10"/>
    <n v="1"/>
    <n v="0"/>
    <n v="8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No Secop"/>
  </r>
  <r>
    <n v="20250926"/>
    <x v="1"/>
    <s v="Sub. Gestión Riesgos"/>
    <s v="William Tovar Segura"/>
    <s v="  Adición y prorroga ct 188 -2025Prestar sus servicios de apoyo tecnico para realizar las inspecciones relacionadas con la emision de conceptos a cargo de la Subdirección de Gestión del Riesgo._SGR"/>
    <s v="26 - contrato de prestacion de servicios de apoyo a la gestion"/>
    <n v="80111600"/>
    <n v="10"/>
    <n v="3"/>
    <n v="0"/>
    <n v="12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No Secop"/>
  </r>
  <r>
    <n v="20250927"/>
    <x v="1"/>
    <s v="Sub. Gestión Riesgos"/>
    <s v="William Tovar Segura"/>
    <s v="  Adición y prorroga ct 283 -2025 Prestar sus servicios de apoyo tecnico para realizar las inspecciones relacionadas con la emision de conceptos a cargo de la Subdirección de Gestión del Riesgo._SGR"/>
    <s v="26 - contrato de prestacion de servicios de apoyo a la gestion"/>
    <n v="80111600"/>
    <n v="10"/>
    <n v="3"/>
    <n v="0"/>
    <n v="12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No Secop"/>
  </r>
  <r>
    <n v="20250928"/>
    <x v="1"/>
    <s v="Sub. Gestión Riesgos"/>
    <s v="William Tovar Segura"/>
    <s v="  Adición y prorroga ct 381 -2025 Prestar servicios profesionales en los procesos de formacion y capacitacion de la subdirección de gestión del riesgo._SGR"/>
    <s v="25 - contrato de prestacion de servicios profesionales"/>
    <n v="80111600"/>
    <n v="11"/>
    <n v="1"/>
    <n v="15"/>
    <n v="95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No Secop"/>
  </r>
  <r>
    <n v="20250929"/>
    <x v="1"/>
    <s v="Sub. Gestión Riesgos"/>
    <s v="William Tovar Segura"/>
    <s v="  Adición y prorroga ct 142-2025 Prestar servicios profesionales para la gestión de la SGR, estructurando el seguimiento de los procesos contractuales y demás aspectos jurídicos._SGR"/>
    <s v="25 - contrato de prestacion de servicios profesionales"/>
    <n v="80111600"/>
    <n v="12"/>
    <n v="1"/>
    <n v="0"/>
    <n v="70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No Secop"/>
  </r>
  <r>
    <n v="20250930"/>
    <x v="1"/>
    <s v="Sub. Gestión Riesgos"/>
    <s v="William Tovar Segura"/>
    <s v="  Adición y prorroga ct 140-2025 Prestar servicios profesionales para el seguimiento de los componentes administrativo, técnico y financiero de la subdireccíon de Gestión del Riesgo. SGR"/>
    <s v="25 - contrato de prestacion de servicios profesionales"/>
    <n v="80111600"/>
    <n v="12"/>
    <n v="1"/>
    <n v="0"/>
    <n v="70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No Secop"/>
  </r>
  <r>
    <n v="20250931"/>
    <x v="1"/>
    <s v="Sub. Logística"/>
    <s v="Omer Mauricio Rivera Ruiz"/>
    <s v="Adicion y prorroga del Contrato 324 2025 cuyo objeto es  &quot;Prestar servicios de apoyo en asuntos administrativos, financieros, documentales y emisión de informes a cargo de la Subdireccion Logística-SBLG&quot;.  "/>
    <s v="26 - contrato de prestacion de servicios de apoyo a la gestion"/>
    <n v="80111600"/>
    <n v="10"/>
    <n v="3"/>
    <n v="0"/>
    <n v="984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0932"/>
    <x v="1"/>
    <s v="Sub. Logística"/>
    <s v="Omer Mauricio Rivera Ruiz"/>
    <s v="Adicion y prorroga del Contrato 475 2025 cuyo objeto es: &quot;Prestar servicios profesionales para el seguimiento y gestión de las actividades establecidas en los planes de acción y estratégicos; así como, de los procesos de planeación y administrativos propios de Subdirección Logística - SBLG&quot;. "/>
    <s v="25 - contrato de prestacion de servicios profesionales"/>
    <n v="80111600"/>
    <n v="10"/>
    <n v="2"/>
    <n v="13"/>
    <n v="1095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0933"/>
    <x v="1"/>
    <s v="Sub. Logística"/>
    <s v="Omer Mauricio Rivera Ruiz"/>
    <s v="Adicion y prorroga del Contrato 102 2025 cuyo objeto es: &quot;Prestación de servicios profesionales en la proyección y seguimiento de las etapas precontractual, contractual y postcontractual que desarrolle la Subdirección Logística en el ámbito de su competencia.- SBLG&quot;"/>
    <s v="25 - contrato de prestacion de servicios profesionales"/>
    <n v="80111600"/>
    <n v="10"/>
    <n v="3"/>
    <n v="9"/>
    <n v="231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0934"/>
    <x v="1"/>
    <s v="Sub. Logística"/>
    <s v="Omer Mauricio Rivera Ruiz"/>
    <s v="Adicion y prorroga del Contrato 302 2025 cuyo objeto es: &quot;Prestación de servicios profesionales, para apoyar la estructuración y seguimiento de los asuntos contractuales y jurídicos que requiera la Subdirección Logística en el ámbito de su competencia.- SBLG&quot;."/>
    <s v="25 - contrato de prestacion de servicios profesionales"/>
    <n v="80111600"/>
    <n v="10"/>
    <n v="3"/>
    <n v="0"/>
    <n v="24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0935"/>
    <x v="1"/>
    <s v="Sub. Logística"/>
    <s v="Omer Mauricio Rivera Ruiz"/>
    <s v="Adicion y prorroga del Contrato 282 2025 cuyo objeto es: &quot;Prestación de servicios profesionales para realizar el seguimiento y monitoreo a los diferentes procesos y procedimientos del equipo menor a cargo de la Subdirección Logística -  - SBLG&quot;."/>
    <s v="25 - contrato de prestacion de servicios profesionales"/>
    <n v="80111600"/>
    <n v="10"/>
    <n v="3"/>
    <n v="0"/>
    <n v="165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0936"/>
    <x v="1"/>
    <s v="Sub. Logística"/>
    <s v="Omer Mauricio Rivera Ruiz"/>
    <s v="Adicion y prorroga del Contrato 159 2025 cuyo objeto es: &quot;Prestar servicios profesionales para el seguimiento y control logístico en la cadena de suministros e insumos en la atención de emergencias garantizando la entrega de los bienes y servicios de la Subdirección Logística. SBLG&quot;"/>
    <s v="25 - contrato de prestacion de servicios profesionales"/>
    <n v="80111600"/>
    <n v="10"/>
    <n v="2"/>
    <n v="21"/>
    <n v="1755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0937"/>
    <x v="2"/>
    <s v="Sub. Gestión Corporativa"/>
    <s v="Fatima Veronica Quintero Nuñez"/>
    <s v="Adición No. 8 y prórroga No.10 al contrato 409 de 2021 que tiene como objeto &quot;Prestar los servicios de Custodia, Consulta y Traslado Documental de Acuerdo a las especificaciones Técnicas y requisitos contemplados en la normatividad Archivística Vigente-SGC"/>
    <s v="11 - orden de prestacion de servicios"/>
    <s v="78131800;_x000a_80101500;_x000a_80101600;_x000a_80161500;_x000a_81111900;_x000a_81112000"/>
    <n v="4"/>
    <n v="4"/>
    <n v="0"/>
    <n v="34872950"/>
    <x v="1"/>
    <s v="01 - licitación pública"/>
    <s v="No aplica"/>
    <s v="NA"/>
    <s v="NA"/>
    <s v="NA"/>
    <s v="N/A"/>
    <s v="N/A"/>
    <s v="N/A-N/A"/>
    <s v="N/A"/>
    <s v="N/A"/>
    <s v="N/A_N/A"/>
    <s v="N/A-N/A N/A_N/A"/>
    <s v="NANANAN/AN/A"/>
    <s v="N/A"/>
    <s v="No Aplica"/>
    <s v="No Secop"/>
  </r>
  <r>
    <n v="20250938"/>
    <x v="0"/>
    <s v="Sub. Gestión Corporativa"/>
    <s v="Fatima Veronica Quintero Nuñez"/>
    <s v="Adición No.1 al contrato 483 de 2025 que tiene por objeto &quot;Suministro de materiales, equipos y herramientas para el mejoramiento integral de las instalaciones de la UAE Cuerpo Oficial de Bomberos -SGC"/>
    <s v="08 - contrato de suministro"/>
    <s v="23131500;_x000a_23271800; _x000a_26111700; _x000a_26121500; _x000a_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
    <n v="10"/>
    <n v="0"/>
    <n v="0"/>
    <n v="105454585"/>
    <x v="0"/>
    <s v="17 - acuerdo marco de precios"/>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999 Servicio de mantenimiento y reparación de otros equipos n.c.p."/>
    <s v="No Secop"/>
  </r>
  <r>
    <n v="20250939"/>
    <x v="2"/>
    <s v="Sub. Gestión Corporativa"/>
    <s v="Fatima Veronica Quintero Nuñez"/>
    <s v="Adición No. 1 y prórroga No. 2 al contrato 396 de 2024 que tiene por objeto&quot; Prestar los servicios de mantenimiento y suministro de insumos de las piscinas ubicadas en las Estaciones de Bomberos de Kennedy &quot;Alejandro Lince&quot; B5 y B4 Puente Aranda - BRAE, como escenario para el acondicionamiento físico, entrenamiento del personal y canino del Cuerpo Oficial de Bomberos de Bogotá para el cumplimiento de su misionalidad-SGC."/>
    <s v="27 - contrato de prestacion de servicios de mantenimiento"/>
    <s v="91111602;_x000d__x000a_47101568;_x000d__x000a_49241712;_x000d__x000a_"/>
    <n v="10"/>
    <n v="5"/>
    <n v="0"/>
    <n v="9300000"/>
    <x v="1"/>
    <s v="27 - contrato de prestacion de servicios de mantenimiento"/>
    <s v="No aplica"/>
    <s v="NA"/>
    <s v="NA"/>
    <s v="NA"/>
    <s v="N/A"/>
    <s v="N/A"/>
    <s v="N/A-N/A"/>
    <s v="N/A"/>
    <s v="N/A"/>
    <s v="N/A_N/A"/>
    <s v="N/A-N/A N/A_N/A"/>
    <s v="NANANAN/AN/A"/>
    <s v="N/A"/>
    <s v="No Aplica"/>
    <s v="No Secop"/>
  </r>
  <r>
    <n v="20250940"/>
    <x v="0"/>
    <s v="Dirección"/>
    <s v="Paula Ximena Henao Escobar"/>
    <s v="Adición y prórroga al contrato 237-2025 con objeto &quot;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quot;"/>
    <s v="25 - contrato de prestacion de servicios profesionales"/>
    <n v="80111600"/>
    <n v="8"/>
    <n v="3"/>
    <n v="0"/>
    <n v="294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41"/>
    <x v="0"/>
    <s v="Dirección comunicaciones y Prensa"/>
    <s v="Paula Ximena Henao Escobar"/>
    <s v="Adición y prórroga al contrato 209-2025 con objeto &quot;Prestar servicios de apoyo a la gestión en asuntos de comunicaciones y prensa para realizar labores de diseño y diagramación de productos editoriales de la UAECOB&quot;"/>
    <s v="26 - contrato de prestacion de servicios de apoyo a la gestion"/>
    <n v="80111600"/>
    <n v="8"/>
    <n v="3"/>
    <n v="0"/>
    <n v="132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No Secop"/>
  </r>
  <r>
    <n v="20250942"/>
    <x v="1"/>
    <s v="Sub. Gestión Humana"/>
    <s v="Jose Andres Ponce Caicedo"/>
    <s v="Adición y prórroga al contrato 167 de 2025, cuyo objeto es SGH - Prestar servicios profesionales a la Subdirección de Gestión Humana para el fortalecimiento y seguimiento del proceso de la escuela de formación bomberil y su relacionamiento con el sistema de seguridad y salud en el trabajo"/>
    <s v="25 - contrato de prestacion de servicios profesionales"/>
    <n v="80111600"/>
    <n v="10"/>
    <n v="3"/>
    <n v="0"/>
    <n v="2117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No Secop"/>
  </r>
  <r>
    <n v="20250943"/>
    <x v="1"/>
    <s v="Sub. Gestión Humana"/>
    <s v="Jose Andres Ponce Caicedo"/>
    <s v="Adición y prórroga al contrato 110 de 2025, SGH - Prestar sus servicios profesionales en la Subdirección de Gestión Humana, en los procesos contractuales y demás actividades relacionadas con la Subdirección de Gestión Humana"/>
    <s v="25 - contrato de prestacion de servicios profesionales"/>
    <n v="80111600"/>
    <n v="10"/>
    <n v="3"/>
    <n v="0"/>
    <n v="127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No Secop"/>
  </r>
  <r>
    <n v="20250944"/>
    <x v="1"/>
    <s v="Sub. Gestión Humana"/>
    <s v="Jose Andres Ponce Caicedo"/>
    <s v="Adición y prórroga al contrato 263 de 2025, SGH - Prestar servicios profesionales para apoyar el programa de desórdenes musculo esqueléticos de la UAE Cuerpo Oficial de Bomberos de Bogotá."/>
    <s v="25 - contrato de prestacion de servicios profesionales"/>
    <n v="80111600"/>
    <n v="10"/>
    <n v="2"/>
    <n v="0"/>
    <n v="132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No Secop"/>
  </r>
  <r>
    <n v="20250945"/>
    <x v="1"/>
    <s v="Sub. Gestión Humana"/>
    <s v="Jose Andres Ponce Caicedo"/>
    <s v="Adición y prórroga al contrato 162 de 2025, SGH - Prestar sus servicios profesionales en la Subdirección de Gestión Humana, en la administración de sistema de seguridad y salud en el trabajo"/>
    <s v="25 - contrato de prestacion de servicios profesionales"/>
    <n v="80111600"/>
    <n v="10"/>
    <n v="2"/>
    <n v="0"/>
    <n v="16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No Secop"/>
  </r>
  <r>
    <n v="20250946"/>
    <x v="1"/>
    <s v="Sub. Gestión Humana"/>
    <s v="Jose Andres Ponce Caicedo"/>
    <s v="Adición y prórroga al contrato 078 de 2025, SGH - Prestar servicios profesionales especializados para desarrollar actividades jurídicas en atención a los distintos requerimientos de la Subdirección de Gestión Humana."/>
    <s v="25 - contrato de prestacion de servicios profesionales"/>
    <n v="80111600"/>
    <n v="10"/>
    <n v="2"/>
    <n v="0"/>
    <n v="19625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2199 Otros servicios jurídicos n.c.p."/>
    <s v="No Secop"/>
  </r>
  <r>
    <n v="20250947"/>
    <x v="1"/>
    <s v="Sub. Gestión Humana"/>
    <s v="Jose Andres Ponce Caicedo"/>
    <s v="Adición y prórroga al contrato 093 de 2025, SGH - Prestar servicios profesionales para apoyar el programa de vigilancia epidemiológico al riesgo psicosocial y actividades de seguridad y salud en el trabajo en la Subdirección de Gestión Humana."/>
    <s v="25 - contrato de prestacion de servicios profesionales"/>
    <n v="80111600"/>
    <n v="10"/>
    <n v="2"/>
    <n v="0"/>
    <n v="14375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No Secop"/>
  </r>
  <r>
    <n v="20250948"/>
    <x v="1"/>
    <s v="Sub. Gestión Humana"/>
    <s v="Jose Andres Ponce Caicedo"/>
    <s v="Adición y prórroga al contrato 086 de 2025, 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
    <s v="25 - contrato de prestacion de servicios profesionales"/>
    <n v="80111600"/>
    <n v="10"/>
    <n v="2"/>
    <n v="0"/>
    <n v="19625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No Secop"/>
  </r>
  <r>
    <n v="20250949"/>
    <x v="1"/>
    <s v="Sub. Gestión Humana"/>
    <s v="Jose Andres Ponce Caicedo"/>
    <s v="Adición y prórroga al contrato 107 de 2025, SGH - Prestar sus servicios profesionales en la gestión contractual y presupuestal de la Subdirección de Gestión Humana de la UAE Cuerpo Oficial de Bomberos."/>
    <s v="25 - contrato de prestacion de servicios profesionales"/>
    <n v="80111600"/>
    <n v="10"/>
    <n v="2"/>
    <n v="0"/>
    <n v="11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No Secop"/>
  </r>
  <r>
    <n v="20250950"/>
    <x v="0"/>
    <s v="Sub. Gestión Corporativa"/>
    <s v="Fatima Veronica Quintero Nuñez"/>
    <s v="Adición y prórroga No. 1 al contrato No. 098 de 2025 que tiene como objeto &quot;Prestación de servicios de apoyo a la gestión en la ejecución de los planes y programas de servicio al ciudadano a cargo de la Subdirección de Gestión Corporativa.-SGC"/>
    <s v="26 - contrato de prestacion de servicios de apoyo a la gestion"/>
    <s v="80111600;"/>
    <n v="10"/>
    <n v="1"/>
    <n v="27"/>
    <n v="624022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51"/>
    <x v="0"/>
    <s v="Sub. Gestión Corporativa"/>
    <s v="Fatima Veronica Quintero Nuñez"/>
    <s v="Adición y prórroga No. 1 al contrato No. 314 de 2025 que tiene como objeto &quot;Prestación de servicios profesionales para articular la gestión en la ejecución de los planes y programas de servicio al ciudadano a cargo de la Subdirección de Gestión Corporativa-SGC"/>
    <s v="25 - contrato de prestacion de servicios profesionales"/>
    <s v="80111600;"/>
    <n v="10"/>
    <n v="2"/>
    <n v="13"/>
    <n v="2218150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52"/>
    <x v="0"/>
    <s v="Sub. Gestión Corporativa"/>
    <s v="Fatima Veronica Quintero Nuñez"/>
    <s v="Adición y prórroga No. 1 al contrato No. 153 de 2025 que tiene como objeto &quot;Prestación de servicios de apoyo a la gestión en la ejecución de los planes y programas de servicio al ciudadano a cargo de la Subdirección de Gestión Corporativa.-SGC"/>
    <s v="26 - contrato de prestacion de servicios de apoyo a la gestion"/>
    <s v="80111600;"/>
    <n v="10"/>
    <n v="0"/>
    <n v="22"/>
    <n v="2408507"/>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53"/>
    <x v="0"/>
    <s v="Sub. Gestión Corporativa"/>
    <s v="Fatima Veronica Quintero Nuñez"/>
    <s v="Adición y prórroga No. 1 al contrato No. 035 de 2025 que tiene como objeto &quot;Prestación de servicios de apoyo a la gestión en la ejecución de los planes y programas de servicio al ciudadano a cargo de la Subdirección de Gestión Corporativa.-SGC"/>
    <s v="26 - contrato de prestacion de servicios de apoyo a la gestion"/>
    <s v="80111600;"/>
    <n v="10"/>
    <n v="1"/>
    <n v="7"/>
    <n v="405067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54"/>
    <x v="0"/>
    <s v="Sub. Gestión Corporativa"/>
    <s v="Fatima Veronica Quintero Nuñez"/>
    <s v="Adición y prórroga No. 1 al contrato No. 100 de 2025 que tiene como objeto &quot;Prestación de servicios de apoyo a la gestión en la ejecución de los planes y programas de servicio al ciudadano a cargo de la Subdirección de Gestión Corporativa. -SGC"/>
    <s v="26 - contrato de prestacion de servicios de apoyo a la gestion"/>
    <s v="80111600;"/>
    <n v="10"/>
    <n v="0"/>
    <n v="26"/>
    <n v="2846418"/>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55"/>
    <x v="0"/>
    <s v="Sub. Gestión Corporativa"/>
    <s v="Fatima Veronica Quintero Nuñez"/>
    <s v="Adición y prórroga No. 1 al contrato No. 327 de 2025 que tiene como objeto &quot; Prestación de servicios de apoyo a la gestión en la ejecución de los planes y programas de servicio al ciudadano a cargo de la Subdirección de Gestión Corporativa.-SGC"/>
    <s v="26 - contrato de prestacion de servicios de apoyo a la gestion"/>
    <s v="80111600;"/>
    <n v="10"/>
    <n v="0"/>
    <n v="10"/>
    <n v="100000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56"/>
    <x v="0"/>
    <s v="Sub. Gestión Corporativa"/>
    <s v="Fatima Veronica Quintero Nuñez"/>
    <s v="Adición y prórroga No. 1 al contrato No. 171 de 2025 que tiene como objeto &quot; Prestación de servicios de apoyo a la gestión en la ejecución de los planes y programas de servicio al ciudadano a cargo de la Subdirección de Gestión Corporativa. -SGC"/>
    <s v="26 - contrato de prestacion de servicios de apoyo a la gestion"/>
    <s v="80111600;"/>
    <n v="10"/>
    <n v="1"/>
    <n v="11"/>
    <n v="448858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57"/>
    <x v="0"/>
    <s v="Sub. Gestión Corporativa"/>
    <s v="Fatima Veronica Quintero Nuñez"/>
    <s v="Adición y prórroga No. 1 al contrato No. 028 de 2025 que tiene como objeto &quot;Prestación de servicios profesionales en la Subdirección de Gestión Corporativa adelantando las actividades necesarias para la ejecución del programa y los procesos de seguros de la Entidad-SGC"/>
    <s v="25 - contrato de prestacion de servicios profesionales"/>
    <s v="80111600;"/>
    <n v="10"/>
    <n v="3"/>
    <n v="4"/>
    <n v="25066667"/>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58"/>
    <x v="0"/>
    <s v="Sub. Gestión Corporativa"/>
    <s v="Fatima Veronica Quintero Nuñez"/>
    <s v="Adición y prórroga No. 1 al contrato No. 343 de 2025 que tiene como objeto &quot; Prestación de servicios de apoyo en la gestión de seguros de la Subdirección de Gestión Corporativa. –SGC"/>
    <s v="26 - contrato de prestacion de servicios de apoyo a la gestion"/>
    <s v="80111600;"/>
    <n v="10"/>
    <n v="2"/>
    <n v="11"/>
    <n v="1015237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59"/>
    <x v="0"/>
    <s v="Sub. Gestión Corporativa"/>
    <s v="Fatima Veronica Quintero Nuñez"/>
    <s v="Adición y prórroga No. 1 al contrato No. 252 de 2025 que tiene como objeto &quot; Prestación de servicios profesionales para apoyar a la Subdirección de Gestión Corporativa aplicando los procesos y procedimientos de seguros e inventarios -SGC"/>
    <s v="25 - contrato de prestacion de servicios profesionales"/>
    <s v="80111600;"/>
    <n v="10"/>
    <n v="2"/>
    <n v="0"/>
    <n v="10322174"/>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60"/>
    <x v="0"/>
    <s v="Sub. Gestión Corporativa"/>
    <s v="Fatima Veronica Quintero Nuñez"/>
    <s v="Adición y prórroga No. 1 al contrato No. 239 de 2025 que tiene como objeto &quot; Prestación de servicios de apoyo a la gestión de seguros de la Subdirección de Gestión Corporativa. –SGC"/>
    <s v="26 - contrato de prestacion de servicios de apoyo a la gestion"/>
    <s v="80111600;"/>
    <n v="10"/>
    <n v="1"/>
    <n v="1"/>
    <n v="3393806"/>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61"/>
    <x v="0"/>
    <s v="Sub. Gestión Corporativa"/>
    <s v="Fatima Veronica Quintero Nuñez"/>
    <s v="Adición y prórroga No. 1 al contrato No. 174 de 2025 que tiene como objeto &quot;Prestación de servicios profesionales en la Subdirección de Gestión Corporativa en las actividades relacionadas con MIPG-SGC"/>
    <s v="25 - contrato de prestacion de servicios profesionales"/>
    <s v="80111600;"/>
    <n v="10"/>
    <n v="1"/>
    <n v="19"/>
    <n v="12042536"/>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62"/>
    <x v="0"/>
    <s v="Sub. Gestión Corporativa"/>
    <s v="Fatima Veronica Quintero Nuñez"/>
    <s v="Adición y prórroga No. 1 al contrato No. 371 de 2025 que tiene como objeto &quot; Prestar servicios profesionales para realizar acompañamiento jurídico en la elaboración de los procesos contractuales adelantados por la Subdirección Gestión Corporativa - SGC"/>
    <s v="25 - contrato de prestacion de servicios profesionales"/>
    <s v="80111600;"/>
    <n v="10"/>
    <n v="1"/>
    <n v="5"/>
    <n v="7976225"/>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No Secop"/>
  </r>
  <r>
    <n v="20250963"/>
    <x v="0"/>
    <s v="Sub. Gestión Corporativa"/>
    <s v="Fatima Veronica Quintero Nuñez"/>
    <s v="Adición y prórroga No. 1 al contrato No. 243 de 2025 que tiene como objeto &quot; Prestación de servicios de apoyo a la gestión del proceso de inventarios de la Subdirección de Gestión Corporativa.-SGC"/>
    <s v="26 - contrato de prestacion de servicios de apoyo a la gestion"/>
    <s v="80111600;"/>
    <n v="10"/>
    <n v="0"/>
    <n v="25"/>
    <n v="2345949"/>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64"/>
    <x v="0"/>
    <s v="Sub. Gestión Corporativa"/>
    <s v="Fatima Veronica Quintero Nuñez"/>
    <s v="Adición y prórroga No. 1 al contrato No. 265 de 2025 que tiene como objeto &quot; Prestación de servicios de apoyo a la gestión del proceso de inventarios de la Subdirección de Gestión Corporativa.-SGC"/>
    <s v="26 - contrato de prestacion de servicios de apoyo a la gestion"/>
    <s v="80111600;"/>
    <n v="10"/>
    <n v="1"/>
    <n v="0"/>
    <n v="2815139"/>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65"/>
    <x v="0"/>
    <s v="Sub. Gestión Corporativa"/>
    <s v="Fatima Veronica Quintero Nuñez"/>
    <s v="Adición y prórroga No. 1 al contrato No. 315 de 2025 que tiene como objeto &quot; Prestación de servicios de apoyo a la gestión del proceso de inventarios de la Subdirección de Gestión Corporativa.-SGC"/>
    <s v="26 - contrato de prestacion de servicios de apoyo a la gestion"/>
    <s v="80111600;"/>
    <n v="10"/>
    <n v="0"/>
    <n v="18"/>
    <n v="168908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66"/>
    <x v="0"/>
    <s v="Sub. Gestión Corporativa"/>
    <s v="Fatima Veronica Quintero Nuñez"/>
    <s v="Adición y prórroga No. 1 al contrato No. 124 de 2025 que tiene como objeto &quot;Prestación de servicios de apoyo a la gestión del proceso de inventarios de la Subdirección de Gestión Corporativa.-SGC"/>
    <s v="26 - contrato de prestacion de servicios de apoyo a la gestion"/>
    <s v="80111600;"/>
    <n v="10"/>
    <n v="1"/>
    <n v="27"/>
    <n v="5348764"/>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67"/>
    <x v="0"/>
    <s v="Sub. Gestión Corporativa"/>
    <s v="Fatima Veronica Quintero Nuñez"/>
    <s v="Adición y prórroga No. 1 al contrato No. 099 de 2025 que tiene como objeto &quot;Prestar servicios profesionales en la Subdirección de Gestión Corporativa en lo relacionado con los procesos de inventarios, almacén y bajas-SGC"/>
    <s v="25 - contrato de prestacion de servicios profesionales"/>
    <s v="80111600;"/>
    <n v="10"/>
    <n v="2"/>
    <n v="2"/>
    <n v="1653333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68"/>
    <x v="0"/>
    <s v="Sub. Gestión Corporativa"/>
    <s v="Fatima Veronica Quintero Nuñez"/>
    <s v="Adición y prórroga No. 1 al contrato No. 189 de 2025 que tiene como objeto &quot; Prestar servicios profesionales para desarrollar e implementar sistemas de información, brindar soporte, mantenimiento y generar interoperabilidad en la Subdirección de Gestión Corporativa -SGC"/>
    <s v="25 - contrato de prestacion de servicios profesionales"/>
    <s v="80111600;"/>
    <n v="10"/>
    <n v="2"/>
    <n v="11"/>
    <n v="1772633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69"/>
    <x v="0"/>
    <s v="Sub. Gestión Corporativa"/>
    <s v="Fatima Veronica Quintero Nuñez"/>
    <s v="Adición y prórroga No. 1 al contrato No. 212 de 2025 que tiene como objeto &quot; Prestación de servicios profesionales para la ejecución de los procesos contables que se desarrollan en el Área Financiera de la UAE Cuerpo Oficial de Bomberos asignados.-SGC"/>
    <s v="25 - contrato de prestacion de servicios profesionales"/>
    <s v="80111600;"/>
    <n v="10"/>
    <n v="1"/>
    <n v="9"/>
    <n v="888779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70"/>
    <x v="0"/>
    <s v="Sub. Gestión Corporativa"/>
    <s v="Fatima Veronica Quintero Nuñez"/>
    <s v="Adición y prórroga No. 1 al contrato No. 215 de 2025 que tiene como objeto &quot; Prestación de servicios de apoyo a la gestión documental de la Subdirección de Gestión Corporativa de la Unidad.-SGC"/>
    <s v="26 - contrato de prestacion de servicios de apoyo a la gestion"/>
    <s v="80111600;"/>
    <n v="10"/>
    <n v="1"/>
    <n v="7"/>
    <n v="3472005"/>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71"/>
    <x v="0"/>
    <s v="Sub. Gestión Corporativa"/>
    <s v="Fatima Veronica Quintero Nuñez"/>
    <s v="Adición y prórroga No. 1 al contrato No. 176 de 2025 que tiene como objeto &quot; Prestación de servicios de apoyo a la gestión documental de la Subdirección de Gestión Corporativa de la Unidad.-SGC"/>
    <s v="26 - contrato de prestacion de servicios de apoyo a la gestion"/>
    <s v="80111600;"/>
    <n v="10"/>
    <n v="1"/>
    <n v="11"/>
    <n v="5038204"/>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72"/>
    <x v="0"/>
    <s v="Sub. Gestión Corporativa"/>
    <s v="Fatima Veronica Quintero Nuñez"/>
    <s v="Adición y prórroga No. 1 al contrato No. 007 de 2025 que tiene como objeto &quot;Prestación de servicios de apoyo a la gestión documental de la Subdirección de Gestión Corporativa de la Unidad.-SGC"/>
    <s v="26 - contrato de prestacion de servicios de apoyo a la gestion"/>
    <s v="80111600;"/>
    <n v="10"/>
    <n v="0"/>
    <n v="6"/>
    <n v="563028"/>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73"/>
    <x v="0"/>
    <s v="Sub. Gestión Corporativa"/>
    <s v="Fatima Veronica Quintero Nuñez"/>
    <s v="Adición y prórroga No. 1 al contrato No. 087 de 2025 que tiene como objeto &quot;Prestación de servicios de apoyo a la gestión documental de la Subdirección de Gestión Corporativa de la Unidad.-SGC"/>
    <s v="26 - contrato de prestacion de servicios de apoyo a la gestion"/>
    <s v="80111600;"/>
    <n v="10"/>
    <n v="2"/>
    <n v="28"/>
    <n v="909333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74"/>
    <x v="0"/>
    <s v="Sub. Gestión Corporativa"/>
    <s v="Fatima Veronica Quintero Nuñez"/>
    <s v="Adición y prórroga No. 1 al contrato No. 193 de 2025 que tiene como objeto &quot; Prestación de servicios profesionales para la implementación, consolidación, seguimiento y reporte de los lineamientos ambientales establecidos en el Programa de Información y Gestión Ambiental (PIGA) en cada una de las sedes de la UAE Cuerpo Oficial de Bomberos Bogotá-SGC"/>
    <s v="25 - contrato de prestacion de servicios profesionales"/>
    <s v="80111600;"/>
    <n v="10"/>
    <n v="0"/>
    <n v="18"/>
    <n v="309665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75"/>
    <x v="0"/>
    <s v="Sub. Gestión Corporativa"/>
    <s v="Fatima Veronica Quintero Nuñez"/>
    <s v="Adición y prórroga No. 1 al contrato No. 333 de 2025 que tiene como objeto &quot; Prestación de servicios profesionales para la implementación, consolidación, seguimiento y reporte de los lineamientos ambientales en cada una de las sedes de la entidad, con énfasis en los equipos de trabajo de la Subdirección de Gestión Corporativa (SGC), incluyendo el desarrollo y ejecución del programa PIGA de comunicación, formación y sensibilización ambiental"/>
    <s v="25 - contrato de prestacion de servicios profesionales"/>
    <s v="80111600;"/>
    <n v="10"/>
    <n v="0"/>
    <n v="10"/>
    <n v="172036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76"/>
    <x v="0"/>
    <s v="Sub. Gestión Corporativa"/>
    <s v="Fatima Veronica Quintero Nuñez"/>
    <s v="Adición y prórroga No. 1 al contrato No. 170 de 2025 que tiene como objeto &quot; Prestación de servicios profesionales para la implementación, seguimiento y reporte de los lineamientos ambientales en las sedes de la entidad, con énfasis en los equipos de la Subdirección de Gestión Corporativa (SGC), incluyendo el desarrollo y ejecución del programa de consumo sostenible, promoviendo prácticas responsables en el uso de recursos y su optimización"/>
    <s v="25 - contrato de prestacion de servicios profesionales"/>
    <s v="80111600;"/>
    <n v="10"/>
    <n v="1"/>
    <n v="16"/>
    <n v="7913667"/>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77"/>
    <x v="0"/>
    <s v="Sub. Gestión Corporativa"/>
    <s v="Fatima Veronica Quintero Nuñez"/>
    <s v="Adición y prórroga No. 1 al contrato No. 288 de 2025 que tiene como objeto &quot; Prestar los servicios profesionales para la gestión administrativa y operativa de la Subdirección de Gestión Corporativa en el proceso de adquisición de bienes y servicios - SGC"/>
    <s v="25 - contrato de prestacion de servicios profesionales"/>
    <s v="80111600;"/>
    <n v="10"/>
    <n v="0"/>
    <n v="12"/>
    <n v="2734706"/>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78"/>
    <x v="0"/>
    <s v="Sub. Gestión Corporativa"/>
    <s v="Fatima Veronica Quintero Nuñez"/>
    <s v="Adición y prórroga No. 1 al contrato No. 260 de 2025 que tiene como objeto &quot; Prestación de servicios de apoyo a la gestión en la Subdirección de Gestión Corporativa, en las actividades asociadas a los procesos y procedimientos del almacén de la Entidad.- SGC"/>
    <s v="26 - contrato de prestacion de servicios de apoyo a la gestion"/>
    <s v="80111600;"/>
    <n v="10"/>
    <n v="1"/>
    <n v="0"/>
    <n v="368649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79"/>
    <x v="0"/>
    <s v="Sub. Gestión Corporativa"/>
    <s v="Fatima Veronica Quintero Nuñez"/>
    <s v="Adición y prórroga No. 1 al contrato No. 131 de 2025 que tiene como objeto &quot; Prestar servicios profesionales en la Subdirección de Gestión Corporativa en el marco de las actividades administrativas de la Dependencia.-SGC"/>
    <s v="25 - contrato de prestacion de servicios profesionales"/>
    <s v="80111600;"/>
    <n v="10"/>
    <n v="1"/>
    <n v="9"/>
    <n v="888779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80"/>
    <x v="0"/>
    <s v="Sub. Gestión Corporativa"/>
    <s v="Fatima Veronica Quintero Nuñez"/>
    <s v="Adición y prórroga No. 1 al contrato No. 357 de 2025 que tiene como objeto &quot; Prestación de servicios profesionales, en temas jurídicos de la gestión administrativa a cargo de la Subdirección de Gestión Corporativa.- SGC"/>
    <s v="25 - contrato de prestacion de servicios profesionales"/>
    <s v="80111600;"/>
    <n v="10"/>
    <n v="0"/>
    <n v="22"/>
    <n v="3784797"/>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No Secop"/>
  </r>
  <r>
    <n v="20250981"/>
    <x v="0"/>
    <s v="Sub. Gestión Corporativa"/>
    <s v="Fatima Veronica Quintero Nuñez"/>
    <s v="Adición y prórroga No. 1 al contrato No. 151 de 2025 que tiene como objeto &quot;Prestación de servicios profesionales para adelantar actividades técnicas y trámites administrativos del Área de Infraestructura de la Subdirección de Gestión Corporativa-SGC"/>
    <s v="25 - contrato de prestacion de servicios profesionales"/>
    <s v="80111600;"/>
    <n v="10"/>
    <n v="1"/>
    <n v="25"/>
    <n v="13517132"/>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82"/>
    <x v="0"/>
    <s v="Sub. Gestión Corporativa"/>
    <s v="Fatima Veronica Quintero Nuñez"/>
    <s v="Adición y prórroga No. 1 al contrato No. 080 de 2025 que tiene como objeto &quot;Prestación de servicios profesionales especializados para articular y revisar los procesos y procedimientos del área de infraestructura, así como en el apoyo a la supervisión de los contratos que le sean asignados-SGC"/>
    <s v="25 - contrato de prestacion de servicios profesionales"/>
    <s v="80111600;"/>
    <n v="10"/>
    <n v="2"/>
    <n v="1"/>
    <n v="18300000"/>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83"/>
    <x v="0"/>
    <s v="Sub. Gestión Corporativa"/>
    <s v="Fatima Veronica Quintero Nuñez"/>
    <s v="Adición y prórroga No. 1 al contrato No. 085 de 2025 que tiene como objeto &quot;Prestación de Servicios Profesionales para la formulación, seguimiento y ejecución de procesos presupuestales y financieros a cargo de la Subdirección de Gestión Corporativa-SGC"/>
    <s v="25 - contrato de prestacion de servicios profesionales"/>
    <s v="80111600;"/>
    <n v="10"/>
    <n v="2"/>
    <n v="12"/>
    <n v="22262016"/>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84"/>
    <x v="0"/>
    <s v="Sub. Gestión Corporativa"/>
    <s v="Fatima Veronica Quintero Nuñez"/>
    <s v="Adición y prórroga No. 1 al contrato No. 166 de 2025 que tiene como objeto &quot;Prestar servicios profesionales especializados para acompañar jurídicamente los procesos y procedimientos del área de infraestructura de la Subdirección de Gestión Corporativa. SGC"/>
    <s v="25 - contrato de prestacion de servicios profesionales"/>
    <s v="80111600;"/>
    <n v="10"/>
    <n v="1"/>
    <n v="24"/>
    <n v="16696512.000000002"/>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No Secop"/>
  </r>
  <r>
    <n v="20250985"/>
    <x v="0"/>
    <s v="Sub. Gestión Corporativa"/>
    <s v="Fatima Veronica Quintero Nuñez"/>
    <s v="Adición y prórroga No. 1 al contrato No. 332 de 2025 que tiene como objeto &quot; Prestación de servicios profesionales para apoyar las actividades técnicas del Área de Infraestructura de la Subdirección de Gestión Corporativa-SGC"/>
    <s v="25 - contrato de prestacion de servicios profesionales"/>
    <s v="80111600;"/>
    <n v="10"/>
    <n v="0"/>
    <n v="12"/>
    <n v="2949192"/>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86"/>
    <x v="0"/>
    <s v="Sub. Gestión Corporativa"/>
    <s v="Fatima Veronica Quintero Nuñez"/>
    <s v="Adición y prórroga No. 1 al contrato No. 366 de 2025 que tiene como objeto &quot; Prestar los servicios como conductor de la Subdirección de Gestión Corporativa -SGC"/>
    <s v="26 - contrato de prestacion de servicios de apoyo a la gestion"/>
    <s v="80111600;"/>
    <n v="10"/>
    <n v="0"/>
    <n v="4"/>
    <n v="461333"/>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87"/>
    <x v="0"/>
    <s v="Sub. Gestión Corporativa"/>
    <s v="Fatima Veronica Quintero Nuñez"/>
    <s v="Adición y prórroga No. 1 al contrato No. 133 de 2025 que tiene como objeto &quot;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10"/>
    <n v="1"/>
    <n v="7"/>
    <n v="4050671"/>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88"/>
    <x v="0"/>
    <s v="Sub. Gestión Corporativa"/>
    <s v="Fatima Veronica Quintero Nuñez"/>
    <s v="Adición y prórroga No. 1 al contrato No. 015 de 2025 que tiene como objeto &quot;Prestación de servicios profesionales al área Financiera de la Subdirección de Gestión Corporativa--SGC"/>
    <s v="25 - contrato de prestacion de servicios profesionales"/>
    <s v="80111600;"/>
    <n v="10"/>
    <n v="2"/>
    <n v="11"/>
    <n v="1427677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89"/>
    <x v="0"/>
    <s v="Sub. Gestión Corporativa"/>
    <s v="Fatima Veronica Quintero Nuñez"/>
    <s v="Adición y prórroga No. 1 al contrato No. 014 de 2025 que tiene como objeto &quot;Prestación de servicios profesionales al área Financiera de la Subdirección de Gestión Corporativa--SGC"/>
    <s v="25 - contrato de prestacion de servicios profesionales"/>
    <s v="80111600;"/>
    <n v="10"/>
    <n v="2"/>
    <n v="10"/>
    <n v="1407569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90"/>
    <x v="0"/>
    <s v="Sub. Gestión Corporativa"/>
    <s v="Fatima Veronica Quintero Nuñez"/>
    <s v="Adición y prórroga No. 1 al contrato No. 041 de 2025 que tiene como objeto &quot;Prestación de servicios de apoyo a la gestión del área Financiera de la Subdirección de Gestión Corporativa.-SGC"/>
    <s v="26 - contrato de prestacion de servicios de apoyo a la gestion"/>
    <s v="80111600;"/>
    <n v="10"/>
    <n v="2"/>
    <n v="20"/>
    <n v="11975509"/>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91"/>
    <x v="0"/>
    <s v="Sub. Gestión Corporativa"/>
    <s v="Fatima Veronica Quintero Nuñez"/>
    <s v="Adición y prórroga No. 1 al contrato No. 225 de 2025 que tiene como objeto &quot; Prestación de servicios profesionales para el seguimiento, ejecución de los procesos de gestión de pagos que se desarrollan en el área Financiera de la UAE Cuerpo Oficial de Bomberos asignados. -SGC"/>
    <s v="25 - contrato de prestacion de servicios profesionales"/>
    <s v="80111600;"/>
    <n v="10"/>
    <n v="1"/>
    <n v="4"/>
    <n v="6836764"/>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92"/>
    <x v="0"/>
    <s v="Sub. Gestión Corporativa"/>
    <s v="Fatima Veronica Quintero Nuñez"/>
    <s v="Adición y prórroga No. 1 al contrato No. 358 de 2025 que tiene como objeto &quot; Prestación de servicios profesionales especializados para apoyar las actividades de seguimiento técnico del Área de Infraestructura de la Subdirección de Gestión Corporativa-SGC"/>
    <s v="25 - contrato de prestacion de servicios profesionales"/>
    <s v="80111600;"/>
    <n v="10"/>
    <n v="0"/>
    <n v="4"/>
    <n v="1236779"/>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93"/>
    <x v="0"/>
    <s v="Sub. Gestión Corporativa"/>
    <s v="Fatima Veronica Quintero Nuñez"/>
    <s v="Adición y prórroga No. 1 al contrato No. 311 de 2025 que tiene como objeto &quot; Prestar servicios profesionales para realizar acompañamiento juridico en la elaboración de los procesos contractuales adelantados por la Subdirección Gestión Corporativa - SGC"/>
    <s v="25 - contrato de prestacion de servicios profesionales"/>
    <s v="80111600;"/>
    <n v="10"/>
    <n v="3"/>
    <n v="12"/>
    <n v="25068135"/>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No Secop"/>
  </r>
  <r>
    <n v="20250994"/>
    <x v="0"/>
    <s v="Sub. Gestión Corporativa"/>
    <s v="Fatima Veronica Quintero Nuñez"/>
    <s v="Adición y prórroga No. 1 al contrato No. 187 de 2025 que tiene como objeto &quot; Prestación de servicios profesionales especializados para articular y revisar los procesos y procedimientos de la gestión administrativa a cargo de la Subdirección de Gestión Corporativa.- SGC"/>
    <s v="25 - contrato de prestacion de servicios profesionales"/>
    <s v="80111600;"/>
    <n v="10"/>
    <n v="1"/>
    <n v="20"/>
    <n v="1545973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95"/>
    <x v="0"/>
    <s v="Sub. Gestión Corporativa"/>
    <s v="Fatima Veronica Quintero Nuñez"/>
    <s v="Adición y prórroga No. 1 al contrato No. 228 de 2025 que tiene como objeto &quot; Prestar los servicios profesionales especializados para acompañar las actividades jurídicas relacionadas con la gestión contractual en las etapas precontractual, contractual y postcontractual del área administrativa de la Subdirección de Gestión Corporativa -SGC"/>
    <s v="25 - contrato de prestacion de servicios profesionales"/>
    <s v="80111600;"/>
    <n v="10"/>
    <n v="1"/>
    <n v="0"/>
    <n v="927584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No Secop"/>
  </r>
  <r>
    <n v="20250996"/>
    <x v="0"/>
    <s v="Sub. Gestión Corporativa"/>
    <s v="Fatima Veronica Quintero Nuñez"/>
    <s v="Adición y prórroga No. 1 al contrato No. 376 de 2025 que tiene como objeto &quot; Prestación de servicios de apoyo en las actividades asociadas a los procesos de almacén de la Subdirección de Gestión Corporativa SGC"/>
    <s v="26 - contrato de prestacion de servicios de apoyo a la gestion"/>
    <s v="80111600;"/>
    <n v="10"/>
    <n v="1"/>
    <n v="3"/>
    <n v="361276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97"/>
    <x v="0"/>
    <s v="Sub. Gestión Corporativa"/>
    <s v="Fatima Veronica Quintero Nuñez"/>
    <s v="Adición y prórroga No. 1 al contrato No. 392 de 2025 que tiene como objeto &quot; Prestación de servicios de apoyo a la gestión de los procesos contractuales en la plataforma SECOP II a cargo de la Subdirección de Gestión Corporativa-SGC"/>
    <s v="26 - contrato de prestacion de servicios de apoyo a la gestion"/>
    <s v="80111600;"/>
    <n v="10"/>
    <n v="0"/>
    <n v="8"/>
    <n v="1143929"/>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98"/>
    <x v="0"/>
    <s v="Sub. Gestión Corporativa"/>
    <s v="Fatima Veronica Quintero Nuñez"/>
    <s v="Adición y prórroga No. 1 al contrato No. 443 de 2025 que tiene como objeto &quot; Prestar los servicios profesionales de la gestión administrativa, así como la adquisición de bienes y servicios de la Subdirección de Gestión Corporativa SGC"/>
    <s v="25 - contrato de prestacion de servicios profesionales"/>
    <s v="80111600;"/>
    <n v="10"/>
    <n v="0"/>
    <n v="8"/>
    <n v="137629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99"/>
    <x v="0"/>
    <s v="Sub. Gestión Corporativa"/>
    <s v="Fatima Veronica Quintero Nuñez"/>
    <s v="Adición y prórroga No. 1 al contrato No. 361 de 2025 que tiene como objeto &quot; Prestación de servicios de apoyo a la gestión documental de la Subdirección de Gestión Corporativa de la Unidad.-SGC"/>
    <s v="26 - contrato de prestacion de servicios de apoyo a la gestion"/>
    <s v="80111600;"/>
    <n v="10"/>
    <n v="1"/>
    <n v="3"/>
    <n v="309665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000"/>
    <x v="0"/>
    <s v="Sub. Gestión Corporativa"/>
    <s v="Fatima Veronica Quintero Nuñez"/>
    <s v="Adición y prórroga No. 1 al contrato No. 354 de 2025 que tiene como objeto &quot; Prestación de servicios de apoyo a la gestión documental de la Subdirección de Gestión Corporativa de la Unidad.-SGC"/>
    <s v="26 - contrato de prestacion de servicios de apoyo a la gestion"/>
    <s v="80111600;"/>
    <n v="10"/>
    <n v="1"/>
    <n v="6"/>
    <n v="4584654"/>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001"/>
    <x v="0"/>
    <s v="Sub. Gestión Corporativa"/>
    <s v="Fatima Veronica Quintero Nuñez"/>
    <s v="Adición y prórroga No. 1 al contrato No. 331 de 2025 que tiene como objeto &quot; Prestación de servicios de apoyo técnico en la gestión documental de la Subdirección de Gestión Corporativa de la Unidad-SGC"/>
    <s v="26 - contrato de prestacion de servicios de apoyo a la gestion"/>
    <s v="80111600;"/>
    <n v="10"/>
    <n v="0"/>
    <n v="12"/>
    <n v="1715894"/>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002"/>
    <x v="0"/>
    <s v="Sub. Gestión Corporativa"/>
    <s v="Fatima Veronica Quintero Nuñez"/>
    <s v="Adición y prórroga No. 1 al contrato No. 105 de 2025 que tiene como objeto &quot;Prestación de servicios de apoyo a la gestión en la ejecución de los planes y programas de servicio al ciudadano a cargo de la Subdirección de Gestión Corporativa.-SGC"/>
    <s v="26 - contrato de prestacion de servicios de apoyo a la gestion"/>
    <s v="80111600;"/>
    <n v="10"/>
    <n v="1"/>
    <n v="26"/>
    <n v="6130746"/>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003"/>
    <x v="0"/>
    <s v="Sub. Gestión Corporativa"/>
    <s v="Fatima Veronica Quintero Nuñez"/>
    <s v="Adición y prórroga No. 1 al contrato No. 355 de 2025 que tiene como objeto &quot; Prestación de servicios de apoyo a la gestión en la ejecución de los planes y programas de servicio al ciudadano a cargo de la Subdirección de Gestión Corporativa.-SGC"/>
    <s v="26 - contrato de prestacion de servicios de apoyo a la gestion"/>
    <s v="80111600;"/>
    <n v="10"/>
    <n v="0"/>
    <n v="5"/>
    <n v="547388"/>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004"/>
    <x v="0"/>
    <s v="Sub. Gestión Corporativa"/>
    <s v="Fatima Veronica Quintero Nuñez"/>
    <s v="Adición y prórroga No. 1 al contrato No. 353 de 2025 que tiene como objeto &quot; Prestación de servicios de apoyo a la gestión en la ejecución de los planes y programas de servicio al ciudadano a cargo de la Subdirección de Gestión Corporativa.-SGC"/>
    <s v="26 - contrato de prestacion de servicios de apoyo a la gestion"/>
    <s v="80111600;"/>
    <n v="10"/>
    <n v="0"/>
    <n v="5"/>
    <n v="547388"/>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005"/>
    <x v="0"/>
    <s v="Sub. Gestión Corporativa"/>
    <s v="Fatima Veronica Quintero Nuñez"/>
    <s v="Adición y prórroga No. 1 al contrato No. 195 de 2025 que tiene como objeto &quot; Prestación de servicios de apoyo a la gestión en la ejecución de los planes y programas de servicio al ciudadano a cargo de la Subdirección de Gestión Corporativa.-SGC"/>
    <s v="26 - contrato de prestacion de servicios de apoyo a la gestion"/>
    <s v="80111600;"/>
    <n v="10"/>
    <n v="1"/>
    <n v="3"/>
    <n v="3612761"/>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006"/>
    <x v="0"/>
    <s v="Sub. Gestión Corporativa"/>
    <s v="Fatima Veronica Quintero Nuñez"/>
    <s v="Adición y prórroga No. 1 al contrato No. 254 de 2025 que tiene como objeto &quot; 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10"/>
    <n v="0"/>
    <n v="18"/>
    <n v="1970597"/>
    <x v="0"/>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007"/>
    <x v="0"/>
    <s v="Sub. Gestión Corporativa"/>
    <s v="Fatima Veronica Quintero Nuñez"/>
    <s v="Adición y prórroga No. 1 al contrato No. 143 de 2025 que tiene como objeto &quot;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10"/>
    <n v="1"/>
    <n v="7"/>
    <n v="4050671"/>
    <x v="0"/>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008"/>
    <x v="0"/>
    <s v="Sub. Gestión Corporativa"/>
    <s v="Fatima Veronica Quintero Nuñez"/>
    <s v="Adición y prórroga No. 1 al contrato No. 259 de 2025 que tiene como objeto &quot; 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10"/>
    <n v="0"/>
    <n v="16"/>
    <n v="1751642"/>
    <x v="0"/>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009"/>
    <x v="0"/>
    <s v="Sub. Gestión Corporativa"/>
    <s v="Fatima Veronica Quintero Nuñez"/>
    <s v="Adición y prórroga No. 1 al contrato No. 224 de 2025 que tiene como objeto &quot; Prestar los servicios profesionales para el acompañamiento y seguimiento de los planes y proyectos del área de inventarios de la Subdirección de Gestión Corporativa-SGC"/>
    <s v="25 - contrato de prestacion de servicios profesionales"/>
    <s v="80111600;"/>
    <n v="10"/>
    <n v="1"/>
    <n v="7"/>
    <n v="11242679"/>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010"/>
    <x v="0"/>
    <s v="Sub. Gestión Corporativa"/>
    <s v="Fatima Veronica Quintero Nuñez"/>
    <s v="Adición y prórroga No. 1 al contrato No. 349 de 2025 que tiene como objeto &quot; Prestar los servicios profesionales en el área de inventarios de la Subdirección de Gestión Corporativa-SGC"/>
    <s v="25 - contrato de prestacion de servicios profesionales"/>
    <s v="80111600;"/>
    <n v="10"/>
    <n v="1"/>
    <n v="0"/>
    <n v="5161087"/>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011"/>
    <x v="0"/>
    <s v="Sub. Gestión Corporativa"/>
    <s v="Fatima Veronica Quintero Nuñez"/>
    <s v="Adición y prórroga No. 1 al contrato No. 442 de 2025 que tiene como objeto &quot; Prestar los servicios profesionales para apoyar las actividades de trabajo social propias que contribuyan al desarrollo de la infraestructura requerida por la entidad para la adecuada prestación del servicio-SGC"/>
    <s v="25 - contrato de prestacion de servicios profesionales"/>
    <s v="80111600;"/>
    <n v="10"/>
    <n v="0"/>
    <n v="7"/>
    <n v="1204254"/>
    <x v="0"/>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012"/>
    <x v="0"/>
    <s v="Sub. Gestión Corporativa"/>
    <s v="Fatima Veronica Quintero Nuñez"/>
    <s v="Adición y prórroga No. 1 al contrato No. 517 de 2025 que tiene como objeto &quot; Prestar los servicios profesionales para el acompañamiento y el seguimiento de los comodatos y demás actividades relacionadas con los procesos y procedimientos de inventarios de la Subdirección de Gestión Corporativa-SGC"/>
    <s v="25 - contrato de prestacion de servicios profesionales"/>
    <s v="80111600;"/>
    <n v="10"/>
    <n v="0"/>
    <n v="22"/>
    <n v="5133333"/>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013"/>
    <x v="0"/>
    <s v="Sub. Gestión Corporativa"/>
    <s v="Fatima Veronica Quintero Nuñez"/>
    <s v="Reconocimiento y pago Pasivo Exigible contrato de prestación servicios No 663 de 2020 suscrito con ANDRES FELIPE RODRIGUEZ SANDOVAL, cuyo objeto es Prestación de servicios de apoyo a la gestión, en la Subdirección deGestión Corporativa en temas de infraestructura, obras civiles, mejoramiento y sostenimiento de los equipamientos de la UnidadAdministrativa Especial Cuerpo Oficial de Bomberos de Bogotá"/>
    <s v="12 - resolucion"/>
    <s v="N/A"/>
    <s v="N/A"/>
    <s v="N/A"/>
    <s v="N/A"/>
    <n v="833333"/>
    <x v="2"/>
    <s v="91 - n/a acto administrativo (resolución, decreto, acuerdo, etc.)"/>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014"/>
    <x v="0"/>
    <s v="Sub. Gestión Corporativa"/>
    <s v="Fatima Veronica Quintero Nuñez"/>
    <s v="Reconocimiento y pago Pasivo Exigible contrato de prestación servicios No 602 de 2022 suscrito con JONNATHAN ALBEIRO GONZALEZ HERRERA, cuyo objeto es Prestación de servicios de apoyo a la gestión para realizar actividades de tipo administrativo, en especial las relacionadas con las gestiones que se adelanten en temas de Infraestructura a cargo de la Subdirección de Gestión Corporativa - SGC"/>
    <s v="12 - resolucion"/>
    <s v="N/A"/>
    <s v="N/A"/>
    <s v="N/A"/>
    <s v="N/A"/>
    <n v="1833333"/>
    <x v="2"/>
    <s v="91 - n/a acto administrativo (resolución, decreto, acuerdo, etc.)"/>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015"/>
    <x v="0"/>
    <s v="Sub. Gestión Corporativa"/>
    <s v="Fatima Veronica Quintero Nuñez"/>
    <s v="Reconocimiento y pago Pasivo Exigible contrato de prestación servicios No 305 de 2023 suscrito con NORBERTO RICO GORDILLO , cuyo objeto es Prestar los servicios como conductor del área de infraestructura de la Subdirección de Gestión Corporativa-SGC"/>
    <s v="12 - resolucion"/>
    <s v="N/A"/>
    <s v="N/A"/>
    <s v="N/A"/>
    <s v="N/A"/>
    <n v="1689258"/>
    <x v="2"/>
    <s v="91 - n/a acto administrativo (resolución, decreto, acuerdo, etc.)"/>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016"/>
    <x v="0"/>
    <s v="Sub. Gestión Corporativa"/>
    <s v="Fatima Veronica Quintero Nuñez"/>
    <s v="Reconocimiento y pago Pasivo Exigible contrato de prestación servicios No 88 de 2022 suscrito con JUAN SEBASTIAN VELASCO SUAREZ , cuyo objeto es Prestar los servicios profesionales especializados para acompañar las actividades jurídicas relacionadas con la gestión contractual en las etapas precontractual, contractual y postcontractual del área administrativa de la Subdirección de Gestión Corporativa -SGC"/>
    <s v="12 - resolucion"/>
    <s v="N/A"/>
    <s v="N/A"/>
    <s v="N/A"/>
    <s v="N/A"/>
    <n v="533333"/>
    <x v="2"/>
    <s v="91 - n/a acto administrativo (resolución, decreto, acuerdo, etc.)"/>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No Secop"/>
  </r>
  <r>
    <n v="20251017"/>
    <x v="1"/>
    <s v="Sub. Gestión Corporativa"/>
    <s v="Fatima Veronica Quintero Nuñez"/>
    <s v=" Adición y prórroga No. 1 al contrato 052 de 2025 que tiene como objeto &quot;Prestación de servicios profesionales para apoyar las actividades de estructuración de procesos contractuales del Área de Infraestructura de la Subdirección de Gestión Corporativa-SGC&quot;"/>
    <s v="25 - contrato de prestacion de servicios profesionales"/>
    <s v="80111600;"/>
    <n v="10"/>
    <n v="1"/>
    <n v="22"/>
    <n v="15600000"/>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No Secop"/>
  </r>
  <r>
    <n v="20251018"/>
    <x v="1"/>
    <s v="Sub. Gestión Corporativa"/>
    <s v="Fatima Veronica Quintero Nuñez"/>
    <s v=" Adición y prórroga No. 1 al contrato 271  de 2025 que tiene como objeto &quot;Prestación de servicios profesionales para apoyar las actividades de estructuración de procesos contractuales del Área de Infraestructura de la Subdirección de Gestión Corporativa-SGC&quot;"/>
    <s v="25 - contrato de prestacion de servicios profesionales"/>
    <s v="80111600;"/>
    <n v="10"/>
    <n v="0"/>
    <n v="23"/>
    <n v="6900000"/>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883990 Otros servicios profesionales, técnicos y empresariales n.c.p."/>
    <s v="No Secop"/>
  </r>
  <r>
    <n v="20251019"/>
    <x v="1"/>
    <s v="Sub. Gestión Corporativa"/>
    <s v="Fatima Veronica Quintero Nuñez"/>
    <s v=" Adición y prórroga No. 1 al contrato 135 de 2025 que tiene como objeto &quot;Prestar servicios profesionales para realizar acompañamiento jurídico en la elaboración de los procesos contractuales adelantados por la Subdirección Gestión Corporativa - SGC&quot;"/>
    <s v="25 - contrato de prestacion de servicios profesionales"/>
    <s v="80111600;"/>
    <n v="10"/>
    <n v="2"/>
    <n v="7"/>
    <n v="16466324"/>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882199 Otros servicios jurídicos n.c.p."/>
    <s v="No Secop"/>
  </r>
  <r>
    <n v="20251020"/>
    <x v="1"/>
    <s v="Sub. Gestión Corporativa"/>
    <s v="Fatima Veronica Quintero Nuñez"/>
    <s v=" Adición y prórroga No. 1 al contrato 346 de 2025 que tiene como objeto &quot;Prestar servicios profesionales para realizar acompañamiento en los procesos contractuales adelantados por la Subdirección Gestión Corporativa -SGC&quot;"/>
    <s v="25 - contrato de prestacion de servicios profesionales"/>
    <s v="80111600;"/>
    <n v="10"/>
    <n v="0"/>
    <n v="28"/>
    <n v="6380980"/>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No Secop"/>
  </r>
  <r>
    <n v="20251021"/>
    <x v="1"/>
    <s v="Sub. Gestión Corporativa"/>
    <s v="Fatima Veronica Quintero Nuñez"/>
    <s v=" Adición y prórroga No. 1 al contrato 459 de 2025 que tiene como objeto &quot;Prestar los servicios profesionales jurídicos para apoyar las actividades propias, en procesos prediales que contribuyan al desarrollo de la infraestructura requerida por la entidad para la adecuada prestación del servicio-SGC&quot;"/>
    <s v="25 - contrato de prestacion de servicios profesionales"/>
    <s v="80111600;"/>
    <n v="10"/>
    <n v="1"/>
    <n v="3"/>
    <n v="7700000"/>
    <x v="0"/>
    <s v=" 09 - contratación directa "/>
    <s v="8173 8-Construir 1 sede de bomberos de la UAECOB"/>
    <s v="O230117"/>
    <s v="4503"/>
    <n v="20240255"/>
    <s v="08"/>
    <s v="Infraestructura física, mantenimiento y dotación (Sedes construidas, mantenidas reforzadas)"/>
    <s v="08-Infraestructura física, mantenimiento y dotación (Sedes construidas, mantenidas reforzadas)"/>
    <s v="015"/>
    <s v="Estaciones de bomberos construidas"/>
    <s v="015_Estaciones de bomberos construidas"/>
    <s v="08-Infraestructura física, mantenimiento y dotación (Sedes construidas, mantenidas reforzadas) 015_Estaciones de bomberos construidas"/>
    <s v="O23011745032024025508015"/>
    <s v="PM/0131/0108/45030150255"/>
    <s v="O232020200882199 Otros servicios jurídicos n.c.p."/>
    <s v="No Secop"/>
  </r>
  <r>
    <n v="20251022"/>
    <x v="1"/>
    <s v="Sub. Gestión Corporativa"/>
    <s v="Fatima Veronica Quintero Nuñez"/>
    <s v=" Adición y prórroga No. 1 al contrato 456 de 2025 que tiene como objeto &quot;Prestar los servicios profesionales técnicos para apoyar las actividades propias que contribuyan al desarrollo de la infraestructura requerida por la entidad para la adecuada prestación del servicio-SGC&quot;"/>
    <s v="25 - contrato de prestacion de servicios profesionales"/>
    <s v="80111600;"/>
    <n v="10"/>
    <n v="0"/>
    <n v="22"/>
    <n v="5133333"/>
    <x v="0"/>
    <s v=" 09 - contratación directa "/>
    <s v="8173 10-Realizar 2 documentos de lineamientos técnicos para la construcción de estaciones de bomberos"/>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s v="O23011745032024025508031_"/>
    <s v="PM/0131/0108/45030310255"/>
    <s v=" O232020200883990 Otros servicios profesionales, técnicos y empresariales n.c.p. "/>
    <s v="No Secop"/>
  </r>
  <r>
    <n v="20251023"/>
    <x v="1"/>
    <s v="Sub. Gestión Corporativa"/>
    <s v="Fatima Veronica Quintero Nuñez"/>
    <s v=" Adición y prórroga No. 1 al contrato 377 de 2025 que tiene como objeto &quot;Prestar servicios profesionales como ingeniero mecánico para apoyar las actividades propias que contribuyan al desarrollo de la infraestructura requerida por la entidad para la adecuada prestación del servicio-SGC&quot;"/>
    <s v="25 - contrato de prestacion de servicios profesionales"/>
    <s v="80111600;"/>
    <n v="10"/>
    <n v="0"/>
    <n v="22"/>
    <n v="5500000"/>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No Secop"/>
  </r>
  <r>
    <n v="20251024"/>
    <x v="1"/>
    <s v="Sub. Gestión Corporativa"/>
    <s v="Fatima Veronica Quintero Nuñez"/>
    <s v="Prestación de servicios profesionales especializados para desarrollar las actividades técnicas y administrativas del Área de Infraestructura de la Subdirección de Gestión Corporativa-SGC."/>
    <s v="25 - contrato de prestacion de servicios profesionales"/>
    <s v="80111600;"/>
    <n v="10"/>
    <n v="3"/>
    <n v="0"/>
    <n v="24000000"/>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Si Secop "/>
  </r>
  <r>
    <n v="20251025"/>
    <x v="0"/>
    <s v="Oficina de Control Disciplinario Interno"/>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9"/>
    <n v="3"/>
    <n v="0"/>
    <n v="21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1026"/>
    <x v="0"/>
    <s v="Oficina de Control Disciplinario Interno"/>
    <s v="Yenire Yohansy Lozano Ascanio"/>
    <s v="Prestación de servicios de apoyo a la gestión a la Oficina de Control Disciplinario Interno de la UAECOB para el cumplimiento de las funciones de carácter administrativo."/>
    <s v="26 - contrato de prestacion de servicios de apoyo a la gestion"/>
    <n v="80111600"/>
    <n v="11"/>
    <n v="2"/>
    <n v="0"/>
    <n v="56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1027"/>
    <x v="1"/>
    <s v="Sub. Gestión Riesgos"/>
    <s v="William Tovar Segura"/>
    <s v="Adquisición de elementos distintivos para reforzar los aprendizajes de los programas y campañas de la Subdirección de Gestión del Riesgo"/>
    <s v="06 - contrato de compraventa"/>
    <s v="53101801_x000a_53101803_x000a_53101501_x000a_53101503"/>
    <n v="10"/>
    <n v="2"/>
    <n v="0"/>
    <n v="62320601"/>
    <x v="0"/>
    <s v="04 - contratación mínima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1028"/>
    <x v="1"/>
    <s v="Sub. Gestión Riesgos"/>
    <s v="William Tovar Segura"/>
    <s v="Prestar  servicios profesionales en las actividades de proyeccion e innovacion para la Subdirección de Gestión del Riesgo._SGR"/>
    <s v="25 - contrato de prestacion de servicios profesionales"/>
    <n v="80111600"/>
    <n v="10"/>
    <n v="3"/>
    <n v="0"/>
    <n v="18000000"/>
    <x v="0"/>
    <s v="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1029"/>
    <x v="1"/>
    <s v="Sub. Gestión Riesgos"/>
    <s v="William Tovar Segura"/>
    <s v="Contratar los  servicio de transporte para el desarrollo de las actividades, de los programas y campañas de prevención adelantados por  la Subdirección de Gestión del Riesgo."/>
    <s v="11 - orden de prestacion de servicios"/>
    <s v="78111802_x000a_78111803"/>
    <n v="10"/>
    <n v="4"/>
    <n v="0"/>
    <n v="38683333"/>
    <x v="0"/>
    <s v="04 - contratación mínima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1031"/>
    <x v="1"/>
    <s v="Sub. Gestión Riesgos"/>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1032"/>
    <x v="1"/>
    <s v="Sub. Gestión Riesgos"/>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1033"/>
    <x v="1"/>
    <s v="Sub. Gestión Riesgos"/>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1034"/>
    <x v="1"/>
    <s v="Sub. Gestión Riesgos"/>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1035"/>
    <x v="1"/>
    <s v="Sub. Gestión Riesgos"/>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1036"/>
    <x v="1"/>
    <s v="Sub. Gestión Riesgos"/>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1037"/>
    <x v="1"/>
    <s v="Sub. Gestión Riesgos"/>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1038"/>
    <x v="1"/>
    <s v="Sub. Gestión Riesgos"/>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1039"/>
    <x v="1"/>
    <s v="Sub. Gestión Riesgos"/>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1040"/>
    <x v="1"/>
    <s v="Sub. Gestión Riesgos"/>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1041"/>
    <x v="1"/>
    <s v="Sub. Gestión Riesgos"/>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1042"/>
    <x v="1"/>
    <s v="Sub. Gestión Riesgos"/>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1043"/>
    <x v="1"/>
    <s v="Sub. Gestión Riesgos"/>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1044"/>
    <x v="1"/>
    <s v="Sub. Gestión Riesgos"/>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1045"/>
    <x v="1"/>
    <s v="Sub. Gestión Riesgos"/>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1046"/>
    <x v="1"/>
    <s v="Sub. Gestión Riesgos"/>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1047"/>
    <x v="1"/>
    <s v="Sub. Gestión Riesgos"/>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1048"/>
    <x v="1"/>
    <s v="Sub. Gestión Riesgos"/>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1049"/>
    <x v="1"/>
    <s v="Sub. Gestión Riesgos"/>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1050"/>
    <x v="1"/>
    <s v="Sub. Gestión Riesgos"/>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1051"/>
    <x v="1"/>
    <s v="Sub. Operativa"/>
    <s v="Yenire Yohansy Lozano Ascanio"/>
    <s v="Prestar servicios profesionales especializados a la Subdirección Operativa  en el fortalecimiento, articulación, seguimiento y gestión de los proyectos de inversión,  planes, indicadores del proceso de manejo  y en desarrollo  de la meta de renovación de equipos, herramientas, accesorios y elementos de protección personal para la UAECOB  a cargo de la Subdirección Operativa-S.O."/>
    <s v="25 - contrato de prestacion de servicios profesionales"/>
    <n v="80111600"/>
    <n v="10"/>
    <n v="3"/>
    <n v="0"/>
    <n v="28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1052"/>
    <x v="1"/>
    <s v="Sub. Operativa"/>
    <s v="Yenire Yohansy Lozano Ascanio"/>
    <s v="Prestar servicios profesionales para apoyar jurídicamente el seguimiento y la revisión de derechos de petición y requerimientos que efectúen los entes de control, así como en la revisión de documentación referida a procesos de contratación de la dependencia y en desarrollo de la meta de renovación de equipos, herramientas, accesorios y elementos de protección personal para la UAECOB a cargo de la Subdirección Operativa-S.O."/>
    <s v="25 - contrato de prestacion de servicios profesionales"/>
    <n v="80111600"/>
    <n v="10"/>
    <n v="3"/>
    <n v="0"/>
    <n v="36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2199 Otros servicios jurídicos n.c.p."/>
    <s v="Si Secop "/>
  </r>
  <r>
    <n v="20251053"/>
    <x v="1"/>
    <s v="Sub. Logística"/>
    <s v="Omer Mauricio Rivera Ruiz"/>
    <s v="Prestación de servicios profesionales en el control legal de los procesos y acciones, especialmente la gestión contractual requerida por la Subdirección Logística - SBLG"/>
    <s v="25 - contrato de prestacion de servicios profesionales"/>
    <n v="80111600"/>
    <n v="10"/>
    <n v="3"/>
    <n v="10"/>
    <n v="30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2199 Otros servicios jurídicos n.c.p."/>
    <s v="Si Secop "/>
  </r>
  <r>
    <n v="20251054"/>
    <x v="1"/>
    <s v="Sub. Logística"/>
    <s v="Omer Mauricio Rivera Ruiz"/>
    <s v="Prestación de servicios profesionales para apoyar en el seguimiento administrativo, operativo, control y monitoreo a los vehículos del parque automotor, que se encuentren o sean objeto de mantenimiento a cargo de la subdirección logística&quot;"/>
    <s v="26 - contrato de prestacion de servicios de apoyo a la gestion"/>
    <n v="80111600"/>
    <n v="10"/>
    <n v="3"/>
    <n v="27"/>
    <n v="312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1055"/>
    <x v="1"/>
    <s v="Sub. Logística"/>
    <s v="Omer Mauricio Rivera Ruiz"/>
    <s v="Adición y prorroga al contrato 178-2025 cuyo objeto es: &quot;Prestar servicios de apoyo en la gestión documental, física y digital, administrando y diligenciando las bases de datos, y demás documentos a cargo de la Subdirección logística. -SBLG&quot;."/>
    <s v="26 - contrato de prestacion de servicios de apoyo a la gestion"/>
    <n v="80111600"/>
    <n v="11"/>
    <n v="2"/>
    <n v="15"/>
    <n v="82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1056"/>
    <x v="1"/>
    <s v="Sub. Logística"/>
    <s v="Omer Mauricio Rivera Ruiz"/>
    <s v="Adición y prorroga al contrato 29-2025 cuyo objeto es:  &quot;prestación de servicios profesionales para la gestión administrativa de las herramientas tecnológicas de la Subdirección Logística asociados a la mesa logística - SBLG&quot;"/>
    <s v="25 - contrato de prestacion de servicios profesionales"/>
    <n v="80111600"/>
    <n v="11"/>
    <n v="2"/>
    <n v="21"/>
    <n v="135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1057"/>
    <x v="1"/>
    <s v="Sub. Logística"/>
    <s v="Omer Mauricio Rivera Ruiz"/>
    <s v="Adición y prorroga al contrato 60-2025 cuyo objeto es: &quot;prestación de servicios profesionales para la gestión, seguimiento y control administrativo, técnico y operativo del proceso de mantenimiento del parque automotor a cargo de la Subdirección Logística - SBLG&quot;."/>
    <s v="25 - contrato de prestacion de servicios profesionales"/>
    <n v="80111600"/>
    <n v="11"/>
    <n v="2"/>
    <n v="15"/>
    <n v="2325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No Secop"/>
  </r>
  <r>
    <n v="20251058"/>
    <x v="1"/>
    <s v="Sub. Logística"/>
    <s v="Omer Mauricio Rivera Ruiz"/>
    <s v="Adición y prorroga al contrato 47-2025 cuyo objeto es: &quot;Prestación de servicios profesionales para la gestión, seguimiento y control administrativo, técnico y operativo del equipo menor a cargo de la Subdirección Logística (SBLG)&quot;."/>
    <s v="25 - contrato de prestacion de servicios profesionales"/>
    <n v="80111600"/>
    <n v="11"/>
    <n v="2"/>
    <n v="15"/>
    <n v="2125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No Secop"/>
  </r>
  <r>
    <n v="20251059"/>
    <x v="1"/>
    <s v="Sub. Logística"/>
    <s v="Omer Mauricio Rivera Ruiz"/>
    <s v="Adición y prorroga al contrato 466-2025 cuyo objeto es: &quot;Prestar servicios profesionales en las actividades administrativas y financieras que requieran los procesos de la Subdirección Logística- SBLG&quot;"/>
    <s v="25 - contrato de prestacion de servicios profesionales"/>
    <n v="80111600"/>
    <n v="11"/>
    <n v="2"/>
    <n v="0"/>
    <n v="9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1060"/>
    <x v="1"/>
    <s v="Sub. Logística"/>
    <s v="Omer Mauricio Rivera Ruiz"/>
    <s v="Adición y prorroga al contrato 79-2025 cuyo objeto es: &quot;Prestación de servicios profesionales para la gestión, seguimiento y control administrativo, técnico y operativo del proceso de mantenimiento del parque automotor a cargo de la Subdirección Logística - SBLG&quot;."/>
    <s v="25 - contrato de prestacion de servicios profesionales"/>
    <n v="80111600"/>
    <n v="11"/>
    <n v="2"/>
    <n v="12"/>
    <n v="192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No Secop"/>
  </r>
  <r>
    <n v="20251061"/>
    <x v="1"/>
    <s v="Sub. Logística"/>
    <s v="Omer Mauricio Rivera Ruiz"/>
    <s v="Adición y prorroga al contrato 471-2025 cuyo objeto es: &quot;Prestación de servicios profesionales para apoyar la gestión financiera y presupuestal de los proyectos y planes a cargo de la Subdirección Logística - SBLG&quot;. "/>
    <s v="25 - contrato de prestacion de servicios profesionales"/>
    <n v="80111600"/>
    <n v="11"/>
    <n v="2"/>
    <n v="0"/>
    <n v="9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1062"/>
    <x v="1"/>
    <s v="Sub. Logística"/>
    <s v="Omer Mauricio Rivera Ruiz"/>
    <s v="Adición y prorroga al contrato 104-2025 cuyo objeto es: &quot;Prestar servicios profesionales en la gestión, seguimiento y control administrativo, financiero y contractual la línea de insumos y suministros, para la operación durante las emergencias, eventos y capacitaciones a cargo de la Subdirección Logística - SBLG&quot;."/>
    <s v="25 - contrato de prestacion de servicios profesionales"/>
    <n v="80111600"/>
    <n v="11"/>
    <n v="2"/>
    <n v="12"/>
    <n v="192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1063"/>
    <x v="1"/>
    <s v="Sub. Logística"/>
    <s v="Omer Mauricio Rivera Ruiz"/>
    <s v="Adición y prorroga al contrato 255-2025 cuyo objeto es: &quot;Prestación de servicios profesionales, para apoyar la política de Compras y Contratación Pública, en la elaboración, tramite e impulso de los procesos de contratación en sus diferentes etapas a cargo de la Subdirección Logística - SBLG&quot;."/>
    <s v="25 - contrato de prestacion de servicios profesionales"/>
    <n v="80111600"/>
    <n v="11"/>
    <n v="2"/>
    <n v="0"/>
    <n v="13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1064"/>
    <x v="1"/>
    <s v="Sub. Logística"/>
    <s v="Omer Mauricio Rivera Ruiz"/>
    <s v="Adición y prorroga al contrato 64-2025 cuyo objeto es: &quot;Prestación de servicios profesionales en la gestión, seguimiento y control administrativo, financiero y contractual del proceso de mantenimiento del parque automotor a cargo de la Subdirección Logística - SBLG&quot;."/>
    <s v="25 - contrato de prestacion de servicios profesionales"/>
    <n v="80111600"/>
    <n v="11"/>
    <n v="2"/>
    <n v="6"/>
    <n v="121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1065"/>
    <x v="1"/>
    <s v="Sub. Logística"/>
    <s v="Omer Mauricio Rivera Ruiz"/>
    <s v="Adición y prorroga al contrato 286-2025 cuyo objeto es: &quot;Prestar servicio de apoyo a la gestión para asistir a la Subdirección Logística en el seguimiento técnico y administrativo de los mantenimientos requeridos en la Subdirección Logística - SBLG&quot;"/>
    <s v="26 - contrato de prestacion de servicios de apoyo a la gestion"/>
    <n v="80111600"/>
    <n v="11"/>
    <n v="2"/>
    <n v="5"/>
    <n v="78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1066"/>
    <x v="1"/>
    <s v="Sub. Logística"/>
    <s v="Omer Mauricio Rivera Ruiz"/>
    <s v="Adición y prorroga al contrato 296-2025 cuyo objeto es: &quot;Prestar servicio de apoyo a la gestión para asistir a la Subdirección Logística en el seguimiento técnico y administrativo de los mantenimientos requeridos en la Subdirección Logística - SBLG&quot;"/>
    <s v="26 - contrato de prestacion de servicios de apoyo a la gestion"/>
    <n v="80111600"/>
    <n v="11"/>
    <n v="2"/>
    <n v="0"/>
    <n v="72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1067"/>
    <x v="1"/>
    <s v="Sub. Logística"/>
    <s v="Omer Mauricio Rivera Ruiz"/>
    <s v="Adición y prorroga al contrato 160-2025 cuyo objeto es: &quot;Prestar servicios profesionales para el seguimiento y control logístico en la cadena de suministros e insumos en la atención de emergencias garantizando la entrega de los bienes y servicios de la Subdirección Logística. SBLG&quot;"/>
    <s v="25 - contrato de prestacion de servicios profesionales"/>
    <n v="80111600"/>
    <n v="11"/>
    <n v="2"/>
    <n v="0"/>
    <n v="9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1068"/>
    <x v="1"/>
    <s v="Sub. Logística"/>
    <s v="Omer Mauricio Rivera Ruiz"/>
    <s v="Adición y prorroga al contrato 230-2025 cuyo objeto es: &quot;Prestar servicios profesionales en materia administrativa,optimizando los procesos de la dependencia a través de la gestión de herramientas tecnológicas y documentales con las que se cuenten a la Subdirección Logística – SBLG&quot;."/>
    <s v="26 - contrato de prestacion de servicios de apoyo a la gestion"/>
    <n v="80111600"/>
    <n v="12"/>
    <n v="1"/>
    <n v="15"/>
    <n v="675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1069"/>
    <x v="1"/>
    <s v="Sub. Logística"/>
    <s v="Omer Mauricio Rivera Ruiz"/>
    <s v="Adición y prorroga al contrato 406-2025 cuyo objeto es: &quot;Prestar servicios de apoyo a la gestión en las actividades de soporte operacional de la UAECOB Subdirección Logística. SBLG&quot;"/>
    <s v="26 - contrato de prestacion de servicios de apoyo a la gestion"/>
    <n v="80111600"/>
    <n v="12"/>
    <n v="1"/>
    <n v="0"/>
    <n v="3285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1070"/>
    <x v="1"/>
    <s v="Sub. Logística"/>
    <s v="Omer Mauricio Rivera Ruiz"/>
    <s v="Adición y prorroga al contrato 190-2025 cuyo objeto es: &quot;Prestar servicios profesionales para la gestión del Plan Estratégico de Seguridad Vial (PESV), participación en el comité correspondiente y el desarrollo de programas y actividades asignadas a la Subdirección Logística SBLG&quot;."/>
    <s v="25 - contrato de prestacion de servicios profesionales"/>
    <n v="80111600"/>
    <n v="12"/>
    <n v="1"/>
    <n v="12"/>
    <n v="7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1071"/>
    <x v="1"/>
    <s v="Sub. Logística"/>
    <s v="Omer Mauricio Rivera Ruiz"/>
    <s v="Adición y prorroga al contrato 347-2025 cuyo objeto es: &quot;Prestación de servicios de apoyo a la gestión en el proceso de mantenimiento del equipo menor a cargo de la Subdirección Logística -SBLG&quot;."/>
    <s v="26 - contrato de prestacion de servicios de apoyo a la gestion"/>
    <n v="80111600"/>
    <n v="12"/>
    <n v="1"/>
    <n v="5"/>
    <n v="42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No Secop"/>
  </r>
  <r>
    <n v="20251072"/>
    <x v="1"/>
    <s v="Sub. Logística"/>
    <s v="Omer Mauricio Rivera Ruiz"/>
    <s v="Adición y prorroga al contrato 213-2025 cuyo objeto es: &quot;Prestar servicios profesionales en la formulación e implementación de estrategias de comunicación, capacitación y gestión administrativa que promueva el uso y apropiación de los programas desarrollados en cada una de las lineas de la Subdirección Logística - SBLG&quot;"/>
    <s v="25 - contrato de prestacion de servicios profesionales"/>
    <n v="80111600"/>
    <n v="12"/>
    <n v="1"/>
    <n v="10"/>
    <n v="8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1073"/>
    <x v="1"/>
    <s v="Sub. Logística"/>
    <s v="Omer Mauricio Rivera Ruiz"/>
    <s v="Adición y prorroga al contrato 246-2025 cuyo objeto es: &quot;Prestar servicios profesionales en la definición y gestión de procedimientos, lineamientos ambientales y de SST de los procesos, así como del sistema de Gestión de Calidad en la Subdirección Logística – SBGL&quot;"/>
    <s v="25 - contrato de prestacion de servicios profesionales"/>
    <n v="80111600"/>
    <n v="12"/>
    <n v="1"/>
    <n v="0"/>
    <n v="55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1074"/>
    <x v="1"/>
    <s v="Sub. Logística"/>
    <s v="Omer Mauricio Rivera Ruiz"/>
    <s v="Adición y prorroga al contrato 386-2025 cuyo objeto es: &quot;Prestar servicios de apoyo a la gestión en actividades Técnicas, administrativas y documentales de la Subdirección Logística - SBLG&quot;"/>
    <s v="25 - contrato de prestacion de servicios profesionales"/>
    <n v="80111600"/>
    <n v="12"/>
    <n v="1"/>
    <n v="6"/>
    <n v="3936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1075"/>
    <x v="1"/>
    <s v="Sub. Logística"/>
    <s v="Omer Mauricio Rivera Ruiz"/>
    <s v="Adición y prorroga al contrato 258-2025 cuyo objeto es: &quot;Prestar servicios profesionales en temas transversales de los procesos de planeación, logísticos, administrativos y financieros que se deriven de las competencias a cargo de la Subdirección Logística - . - SBLG&quot;"/>
    <s v="25 - contrato de prestacion de servicios profesionales"/>
    <n v="80111600"/>
    <n v="12"/>
    <n v="1"/>
    <n v="10"/>
    <n v="12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1076"/>
    <x v="1"/>
    <s v="Sub. Logística"/>
    <s v="Omer Mauricio Rivera Ruiz"/>
    <s v="Adición y prorroga al contrato 150-2025 cuyo objeto es: &quot;Prestación de servicio como conductor para apoyar en la gestión administrativa y logística de la Subdirección Logistica- SBLG&quot;."/>
    <s v="26 - contrato de prestacion de servicios de apoyo a la gestion"/>
    <n v="80111600"/>
    <n v="12"/>
    <n v="1"/>
    <n v="0"/>
    <n v="35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1077"/>
    <x v="1"/>
    <s v="Sub. Logística"/>
    <s v="Omer Mauricio Rivera Ruiz"/>
    <s v="Adición y prorroga al contrato 290-2025 cuyo objeto es: &quot;Prestar servicios de apoyo a la gestión en actividades administrativas y documentales que se desarrollen en la Subdirección Logística – SBLG&quot;."/>
    <s v="26 - contrato de prestacion de servicios de apoyo a la gestion"/>
    <n v="80111600"/>
    <n v="12"/>
    <n v="1"/>
    <n v="0"/>
    <n v="38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1078"/>
    <x v="1"/>
    <s v="Sub. Logística"/>
    <s v="Omer Mauricio Rivera Ruiz"/>
    <s v="Adición y prorroga al contrato 152-2025 cuyo objeto es: &quot;Prestación de servicio como conductor para apoyar en la gestión administrativa y logística de la Subdirección Logistica- SBLG&quot;."/>
    <s v="26 - contrato de prestacion de servicios de apoyo a la gestion"/>
    <n v="80111600"/>
    <n v="12"/>
    <n v="0"/>
    <n v="15"/>
    <n v="175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1079"/>
    <x v="1"/>
    <s v="Sub. Logística"/>
    <s v="Omer Mauricio Rivera Ruiz"/>
    <s v="Adición y prorroga al contrato 451-2025 cuyo objeto es: &quot;Prestar servicios profesionales para el trámite, revisión y validación de los documentos previos para pago que se generen con ocasión de la ejecución de los contratos a cargo de la subdirección logística. - SBLG&quot;"/>
    <s v="25 - contrato de prestacion de servicios profesionales"/>
    <n v="80111600"/>
    <n v="1"/>
    <n v="0"/>
    <n v="20"/>
    <n v="42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1080"/>
    <x v="1"/>
    <s v="Sub. Logística"/>
    <s v="Omer Mauricio Rivera Ruiz"/>
    <s v="Adición y prorroga al contrato 168-2025 cuyo objeto es: &quot;Prestar servicios de apoyo a la gestión de los suministros y consumibles realizando el seguimiento, control y trámites necesarios para la oportuna disponibilidad en la atención de emergencias -SBLG&quot;."/>
    <s v="26 - contrato de prestacion de servicios de apoyo a la gestion"/>
    <n v="80111600"/>
    <n v="10"/>
    <n v="2"/>
    <n v="15"/>
    <n v="9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1081"/>
    <x v="1"/>
    <s v="Sub. Logística"/>
    <s v="Omer Mauricio Rivera Ruiz"/>
    <s v="Adición y prorroga al contrato 334-2025 cuyo objeto es: &quot;Prestar servicios de apoyo en la gestión administrativa y documental de los procesos contractuales relacionados con el mantenimiento del parque automotor a cargo de la Subdirección Logística -SBLG&quot;."/>
    <s v="26 - contrato de prestacion de servicios de apoyo a la gestion"/>
    <n v="80111600"/>
    <n v="11"/>
    <n v="2"/>
    <n v="18"/>
    <n v="104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1082"/>
    <x v="0"/>
    <s v="Dirección"/>
    <s v="Paula Ximena Henao Escobar"/>
    <s v="Adición y prórroga al Contrato 329 de 2025 con objeto &quot;Prestar servicios profesionales jurídicos en la Dirección General de la UAECOB en la revisión, gestión y seguimiento de temas de infraestructura, POT, plan maestro de equipamiento y procesos contractuales y estratégicos de la misionalidad de la Entidad&quot;"/>
    <s v="25 - contrato de prestacion de servicios profesionales"/>
    <n v="80111600"/>
    <n v="10"/>
    <n v="3"/>
    <n v="0"/>
    <n v="27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No Secop"/>
  </r>
  <r>
    <n v="20251083"/>
    <x v="0"/>
    <s v="Dirección"/>
    <s v="Paula Ximena Henao Escobar"/>
    <s v="Adición y prórroga al Contrato 116 de 2025 con objeto &quot;Prestar servicios profesionales especializados en la Dirección General de la UAECOB en la organización y liderazgo de los asuntos relacionados con cooperación técnica internacional y articulación interinstitucional de conformidad a la misionalidad de la entidad&quot;"/>
    <s v="25 - contrato de prestacion de servicios profesionales"/>
    <n v="80111600"/>
    <n v="10"/>
    <n v="3"/>
    <n v="0"/>
    <n v="27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084"/>
    <x v="0"/>
    <s v="Dirección"/>
    <s v="Paula Ximena Henao Escobar"/>
    <s v="Adición y prórroga al Contrato 134 de 2025 con objeto &quot;Prestar servicios profesionales en la Dirección General para apoyar las actividades de cooperación técnica Internacional, seguimientos estrategicos y articulación interinstitucional de conformidad a la misionalidad de la entidad&quot;"/>
    <s v="25 - contrato de prestacion de servicios profesionales"/>
    <n v="80111600"/>
    <n v="10"/>
    <n v="2"/>
    <n v="0"/>
    <n v="15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085"/>
    <x v="0"/>
    <s v="Dirección comunicaciones y Prensa"/>
    <s v="Paula Ximena Henao Escobar"/>
    <s v="Adición y prórroga al Contrato 417 de 2025 con objeto &quot;Prestación de servicios profesionales en asuntos de comunicaciones y prensa para revisar los procesos de comunicación de entidad con el fin de evaluar su eficacia interna y externa y detectar ineficiencias en los canales de comunicación&quot;"/>
    <s v="25 - contrato de prestacion de servicios profesionales"/>
    <n v="80111600"/>
    <n v="10"/>
    <n v="1"/>
    <n v="20"/>
    <n v="15333333"/>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No Secop"/>
  </r>
  <r>
    <n v="20251086"/>
    <x v="0"/>
    <s v="Dirección"/>
    <s v="Paula Ximena Henao Escobar"/>
    <s v="Adición y prórroga al Contrato 172 de 2025 con objeto &quot;Prestar servicios profesionales en la Dirección General para gestionar las  actividades de cooperación técnica internacional y articulación interinstitucional encaminadas a fortalecer e impulsar las metas de la Entidad&quot;"/>
    <s v="25 - contrato de prestacion de servicios profesionales"/>
    <n v="80111600"/>
    <n v="10"/>
    <n v="2"/>
    <n v="0"/>
    <n v="16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087"/>
    <x v="0"/>
    <s v="Dirección comunicaciones y Prensa"/>
    <s v="Paula Ximena Henao Escobar"/>
    <s v="Adición y prórroga al Contrato 440 de 2025 con objeto &quot;Prestación de servicios profesionales en asuntos de comunicaciones y prensa para detectar las necesidades de la Entidad y facilitar la inserción de nuevas estrategias de comunicación&quot;"/>
    <s v="25 - contrato de prestacion de servicios profesionales"/>
    <n v="80111600"/>
    <n v="11"/>
    <n v="1"/>
    <n v="29"/>
    <n v="13373333"/>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No Secop"/>
  </r>
  <r>
    <n v="20251088"/>
    <x v="0"/>
    <s v="Dirección comunicaciones y Prensa"/>
    <s v="Paula Ximena Henao Escobar"/>
    <s v="Adición y prórroga al Contrato 437 de 2025 con objeto &quot;Prestación de servicios profesionales en asuntos de comunicaciones y prensa para apoyar las labores periodísticas y de divulgación de información, de acuerdo con la misionalidad de la UAECOB&quot;"/>
    <s v="25 - contrato de prestacion de servicios profesionales"/>
    <n v="80111600"/>
    <n v="11"/>
    <n v="2"/>
    <n v="0"/>
    <n v="104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No Secop"/>
  </r>
  <r>
    <n v="20251089"/>
    <x v="0"/>
    <s v="Dirección comunicaciones y Prensa"/>
    <s v="Paula Ximena Henao Escobar"/>
    <s v="Adición y prórroga al Contrato 434 de 2025 con objeto &quot;Prestación de servicios profesionales en asuntos de comunicaciones y prensa para apoyar las labores de reportería, periodismo y de divulgación de información y campañas, de acuerdo con la misionalidad de la UAECOB&quot;"/>
    <s v="25 - contrato de prestacion de servicios profesionales"/>
    <n v="80111600"/>
    <n v="11"/>
    <n v="2"/>
    <n v="0"/>
    <n v="104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No Secop"/>
  </r>
  <r>
    <n v="20251090"/>
    <x v="0"/>
    <s v="Dirección"/>
    <s v="Paula Ximena Henao Escobar"/>
    <s v="Adición y prórroga al Contrato 024 de 2025 con objeto &quo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quot;"/>
    <s v="25 - contrato de prestacion de servicios profesionales"/>
    <n v="80111600"/>
    <n v="1"/>
    <n v="0"/>
    <n v="18"/>
    <n v="312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091"/>
    <x v="0"/>
    <s v="Dirección comunicaciones y Prensa"/>
    <s v="Paula Ximena Henao Escobar"/>
    <s v="Adición y prórroga al Contrato 025 de 2025 con objeto &quot;Prestación de servicios profesionales en asuntos de comunicaciones y prensa para apoyar la divulgación y socialización de la información relacionada con la misionalidad de la UAECOB de manera interna y externa&quot;"/>
    <s v="25 - contrato de prestacion de servicios profesionales"/>
    <n v="80111600"/>
    <n v="1"/>
    <n v="0"/>
    <n v="20"/>
    <n v="4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No Secop"/>
  </r>
  <r>
    <n v="20251092"/>
    <x v="0"/>
    <s v="Dirección"/>
    <s v="Paula Ximena Henao Escobar"/>
    <s v="Adición y prórroga al Contrato 042 de 2025 con objeto &quot;Prestar servicios de apoyo a la gestión en la UAECOB, en asuntos administrativos y asistenciales requeridos, especificamente en el seguimiento de la información&quot;"/>
    <s v="26 - contrato de prestacion de servicios de apoyo a la gestion"/>
    <s v="80111600"/>
    <s v="1"/>
    <s v="0"/>
    <s v="15"/>
    <n v="220000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No Secop"/>
  </r>
  <r>
    <n v="20251093"/>
    <x v="0"/>
    <s v="Dirección comunicaciones y Prensa"/>
    <s v="Paula Ximena Henao Escobar"/>
    <s v="Adición y prórroga al Contrato 068 de 2025 con objeto &quot;Prestar servicios profesionales especializados en la Dirección General de la UAECOB en la organización y liderazgo de los asuntos relacionados con comunicaciones de conformidad a la misionalidad de la entidad&quot;"/>
    <s v="25 - contrato de prestacion de servicios profesionales"/>
    <s v="80111600"/>
    <n v="1"/>
    <n v="0"/>
    <n v="16"/>
    <n v="5600000"/>
    <x v="0"/>
    <s v=" 09 - contratación directa "/>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No Secop"/>
  </r>
  <r>
    <n v="20251094"/>
    <x v="0"/>
    <s v="Oficina Asesora de Planeación"/>
    <s v="Manuel Eduardo Castillo Guzman"/>
    <s v="Prestación de servicios de apoyo a la gestión como conductor para atender los requerimientos que se presenten en la Oficina Asesora de Planeación, así como los incidentes que puedan surgir en la Unidad Administrativa Especial Cuerpo Oficial de Bomberos de Bogotá."/>
    <s v="26 - contrato de prestacion de servicios de apoyo a la gestion"/>
    <n v="80111600"/>
    <n v="10"/>
    <n v="3"/>
    <n v="0"/>
    <n v="9383795"/>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No Secop"/>
  </r>
  <r>
    <n v="20251095"/>
    <x v="1"/>
    <s v="Sub. Gestión Humana"/>
    <s v="Jose Andres Ponce Caicedo"/>
    <s v="SGH - Prestar servicios profesionales para apoyar a la Subdirección de Gestión Humana de la UAE Cuerpo Oficial de Bomberos de Bogotá D.C, mediante el apoyo en la construcción del análisis de entornos  que integre los factores ambientales, tecnológicos, políticos y sociales que inciden en la gestión institucional, atendiendo a la fase diagnóstica del proceso de fortalecimiento institucional y de los programas de formación."/>
    <s v="25 - contrato de prestacion de servicios profesionales"/>
    <n v="80111600"/>
    <n v="10"/>
    <n v="3"/>
    <n v="0"/>
    <n v="187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No Secop"/>
  </r>
  <r>
    <n v="20251096"/>
    <x v="1"/>
    <s v="Sub. Gestión Humana"/>
    <s v="Jose Andres Ponce Caicedo"/>
    <s v="SGH - Prestar servicios profesionales para apoyar a la Subdirección de Gestión Humana de la UAE Cuerpo Oficial de Bomberos de Bogotá D.C., mediante el apoyo a la estructuración y consolidación de capacidades de talento humano, tecnológicas y de modelo de operaciones, así como a los procesos de formalización laboral del empleo público en la fase diagnóstica del proceso de fortalecimiento institucional, contribuyendo al robustecimiento de los programas de formación y a la optimización de la gestión organizacional de la entidad."/>
    <s v="25 - contrato de prestacion de servicios profesionales"/>
    <n v="80111600"/>
    <n v="10"/>
    <n v="3"/>
    <n v="0"/>
    <n v="162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No Secop"/>
  </r>
  <r>
    <n v="20251097"/>
    <x v="1"/>
    <s v="Sub. Gestión Humana"/>
    <s v="Jose Andres Ponce Caicedo"/>
    <s v="SGH- Prestar sus servicios profesionales para apoyar a la Subdirección de Gestión Humana de la UAE Cuerpo Oficial de Bomberos de Bogotá D.C., en la construcción de la propuesta de estructura organizacional en la fase de diseño y su articulación con el modelo de operaciones que contribuyan  al fortalecimiento de los programas de formación y a la optimización de la gestión organizacional de la entidad."/>
    <s v="25 - contrato de prestacion de servicios profesionales"/>
    <n v="80111600"/>
    <n v="10"/>
    <n v="3"/>
    <n v="0"/>
    <n v="15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No Secop"/>
  </r>
  <r>
    <n v="20251099"/>
    <x v="1"/>
    <s v="Sub. Gestión Humana"/>
    <s v="Jose Andres Ponce Caicedo"/>
    <s v="Adición y prórroga al contrato 226-2025 cuyo objeto es: &quot; SGH - Prestar servicios profesionales para desarrollar actividades jurídicas relacionadas con la academia bomberil, recobro de incapacidades y procesos administrativos de la Subdirección de Gestión Humana.&quot;"/>
    <s v="25 - contrato de prestacion de servicios profesionales"/>
    <n v="80111600"/>
    <n v="11"/>
    <n v="1.5"/>
    <n v="0"/>
    <n v="1008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2199 Otros servicios jurídicos n.c.p."/>
    <s v="Si Secop "/>
  </r>
  <r>
    <n v="20251100"/>
    <x v="1"/>
    <s v="Sub. Gestión Humana"/>
    <s v="Jose Andres Ponce Caicedo"/>
    <s v="Adición y prórroga al contrato 216-2025 cuyo objeto es: &quot; SGH - Prestar servicios profesionales en la Subdirección de Gestión Humana, para el fortalecimiento transversal del proceso de Academia.&quot;"/>
    <s v="25 - contrato de prestacion de servicios profesionales"/>
    <n v="80111600"/>
    <n v="11"/>
    <n v="1.5"/>
    <n v="0"/>
    <n v="1024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01"/>
    <x v="1"/>
    <s v="Sub. Gestión Humana"/>
    <s v="Jose Andres Ponce Caicedo"/>
    <s v="Adición y prórroga al contrato 319-2025 cuyo objeto es: &quot; SGH - Prestar sus servicios profesionales en los procesos de la Subdirección de Gestión Humana de la UAE Cuerpo Oficial de Bomberos.&quot;"/>
    <s v="25 - contrato de prestacion de servicios profesionales"/>
    <n v="80111600"/>
    <n v="12"/>
    <n v="1"/>
    <n v="0"/>
    <n v="57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02"/>
    <x v="1"/>
    <s v="Sub. Gestión Humana"/>
    <s v="Jose Andres Ponce Caicedo"/>
    <s v="Adición y prórroga al contrato 317-2025 cuyo objeto es: &quot; SGH - Prestar servicios de apoyo en el sistema de gestión de seguridad y salud en el trabajo en la Subdirección de Gestión Humana de la UAE Cuerpo Oficial de Bomberos.&quot;"/>
    <s v="26 - contrato de prestacion de servicios de apoyo a la gestion"/>
    <n v="80111600"/>
    <n v="11"/>
    <n v="1"/>
    <n v="0"/>
    <n v="4533334"/>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03"/>
    <x v="1"/>
    <s v="Sub. Gestión Humana"/>
    <s v="Jose Andres Ponce Caicedo"/>
    <s v="Adición y prórroga al contrato 020-2025 cuyo objeto es: &quot; SGH - Prestar sus servicios profesionales en la Subdirección de Gestión Humana en temas de desarrollo organizacional.&quot;"/>
    <s v="25 - contrato de prestacion de servicios profesionales"/>
    <n v="80111600"/>
    <n v="11"/>
    <n v="2"/>
    <n v="0"/>
    <n v="126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05"/>
    <x v="1"/>
    <s v="Sub. Gestión Humana"/>
    <s v="Jose Andres Ponce Caicedo"/>
    <s v="Adición y prórroga al contrato 059-2025 cuyo objeto es: &quot; SGH - Prestar servicios profesionales en la Subdirección de Gestión Humana de la UAE Cuerpo Oficial de Bomberos en temas de liquidación de demandas y conciliaciones.&quot;"/>
    <s v="25 - contrato de prestacion de servicios profesionales"/>
    <n v="80111600"/>
    <n v="11"/>
    <n v="1.5"/>
    <n v="0"/>
    <n v="70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06"/>
    <x v="1"/>
    <s v="Sub. Gestión Humana"/>
    <s v="Jose Andres Ponce Caicedo"/>
    <s v="Adición y prórroga al contrato 394-2025 cuyo objeto es: &quot; SGH - Prestar servicios profesionales para apoyar el programa de vigilancia epidemiológico al riesgo psicosocial y actividades de seguridad y salud en el trabajo en la Subdirección de Gestión Humana.&quot;"/>
    <s v="25 - contrato de prestacion de servicios profesionales"/>
    <n v="80111600"/>
    <n v="10"/>
    <n v="2"/>
    <n v="0"/>
    <n v="11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07"/>
    <x v="1"/>
    <s v="Sub. Gestión Humana"/>
    <s v="Jose Andres Ponce Caicedo"/>
    <s v="Adición y prórroga al contrato 240-2025 cuyo objeto es: &quot; SGH - Ejecutar actividades de apoyo a la gestión en  la Subdirección de Gestión Humana de la UAE Cuerpo Oficial de Bomberos de Bogotá D.C. en lo relacionado con los procesos de actualización, custodia y manejo del archivo de gestión de la Subdirección.&quot;"/>
    <s v="26 - contrato de prestacion de servicios de apoyo a la gestion"/>
    <n v="80111600"/>
    <n v="11"/>
    <n v="2"/>
    <n v="0"/>
    <n v="3829334"/>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08"/>
    <x v="1"/>
    <s v="Sub. Gestión Humana"/>
    <s v="Jose Andres Ponce Caicedo"/>
    <s v="Adición y prórroga al contrato 404-2025 cuyo objeto es: &quot; SGH - Prestar Servicios de apoyo  a los procesos de archivo en  Subdirección de Gestión Humana de la UAE Cuerpo Oficial de Bomberos de Bogotá D.C. &quot;"/>
    <s v="26 - contrato de prestacion de servicios de apoyo a la gestion"/>
    <n v="80111600"/>
    <n v="11"/>
    <n v="1"/>
    <n v="0"/>
    <n v="399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09"/>
    <x v="1"/>
    <s v="Sub. Gestión Humana"/>
    <s v="Jose Andres Ponce Caicedo"/>
    <s v="Adición y prórroga al contrato 075-2025 cuyo objeto es: &quot; SGH - Prestar sus servicios profesionales en el proceso de liquidación de demandas y conciliaciones administrativas para la Subdirección de Gestión Humana de la UAE Cuerpo Oficial de Bomberos.&quot;"/>
    <s v="25 - contrato de prestacion de servicios profesionales"/>
    <n v="80111600"/>
    <n v="11"/>
    <n v="2"/>
    <n v="0"/>
    <n v="114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10"/>
    <x v="1"/>
    <s v="Sub. Gestión Humana"/>
    <s v="Jose Andres Ponce Caicedo"/>
    <s v="Adición y prórroga al contrato 090-2025 cuyo objeto es: &quot; SGH - Prestar servicios profesionales en la Subdirección de Gestión Humana de la UAE Cuerpo Oficial de Bomberos en temas de liquidación de demandas y conciliaciones.&quot;"/>
    <s v="25 - contrato de prestacion de servicios profesionales"/>
    <n v="80111600"/>
    <n v="10"/>
    <n v="2"/>
    <n v="0"/>
    <n v="94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11"/>
    <x v="1"/>
    <s v="Sub. Gestión Humana"/>
    <s v="Jose Andres Ponce Caicedo"/>
    <s v="Adición y prórroga al contrato 046-2025 cuyo objeto es: &quot; SGH - Prestar sus servicios profesionales en comunicación interna y externa para la Subdirección de Gestión Humana de la UAE Cuerpo Oficial de Bomberos de Bogotá&quot;"/>
    <s v="25 - contrato de prestacion de servicios profesionales"/>
    <n v="80111600"/>
    <n v="11"/>
    <n v="2"/>
    <n v="0"/>
    <n v="136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12"/>
    <x v="1"/>
    <s v="Sub. Gestión Humana"/>
    <s v="Jose Andres Ponce Caicedo"/>
    <s v="Adición y prórroga al contrato 083-2025 cuyo objeto es: &quot; SGH - Prestar servicios de apoyo a la gestión en cumplimiento de los planes institucionales de la Subdirección de Gestión Humana específicamente para desarrollo organizacional.&quot;"/>
    <s v="26 - contrato de prestacion de servicios de apoyo a la gestion"/>
    <n v="80111600"/>
    <n v="11"/>
    <n v="2"/>
    <n v="0"/>
    <n v="6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13"/>
    <x v="1"/>
    <s v="Sub. Gestión Humana"/>
    <s v="Jose Andres Ponce Caicedo"/>
    <s v="Adición y prórroga al contrato 130-2025 cuyo objeto es: &quot; SGH-  Prestar servicios profesionales en la Subdirección de Gestión Humana de la UAE Cuerpo Oficial de Bomberos de Bogotá en las áreas de calidad de vida y desarrollo organizacional&quot;"/>
    <s v="25 - contrato de prestacion de servicios profesionales"/>
    <n v="80111600"/>
    <n v="11"/>
    <n v="2"/>
    <n v="0"/>
    <n v="9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14"/>
    <x v="1"/>
    <s v="Sub. Gestión Humana"/>
    <s v="Jose Andres Ponce Caicedo"/>
    <s v="Adición y prórroga al contrato 092-2025 cuyo objeto es: &quot; SGH - Prestar servicios profesionales en la Subdirección de Gestión Humana de la UAE Cuerpo Oficial de Bomberos en temas de Administración de Personal.&quot;"/>
    <s v="25 - contrato de prestacion de servicios profesionales"/>
    <n v="80111600"/>
    <n v="11"/>
    <n v="1.5"/>
    <n v="0"/>
    <n v="918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15"/>
    <x v="1"/>
    <s v="Sub. Gestión Humana"/>
    <s v="Jose Andres Ponce Caicedo"/>
    <s v="Adición y prórroga al contrato 205-2025 cuyo objeto es: &quot; SGH - Prestar servicios profesionales en la Subdirección de Gestión Humana en la estrategia de fortalecimiento institucional, realizando documentos de necesidades de diagnóstico organizacional de la Unidad Administrativa Especial Cuerpo Oficial de Bomberos de Bogotá.&quot;"/>
    <s v="25 - contrato de prestacion de servicios profesionales"/>
    <n v="80111600"/>
    <n v="10"/>
    <n v="2.4666666666666668"/>
    <n v="0"/>
    <n v="20473333"/>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16"/>
    <x v="1"/>
    <s v="Sub. Gestión Humana"/>
    <s v="Jose Andres Ponce Caicedo"/>
    <s v="SGH - Prestar sus servicios profesionales jurídicos para apoyar a la Subdirección de Gestión Human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 a cargo de la Academia de la entidad. "/>
    <s v="25 - contrato de prestacion de servicios profesionales"/>
    <n v="80111600"/>
    <n v="10"/>
    <n v="3.5"/>
    <n v="0"/>
    <n v="170625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2199 Otros servicios jurídicos n.c.p."/>
    <s v="Si Secop "/>
  </r>
  <r>
    <n v="20251117"/>
    <x v="1"/>
    <s v="Sub. Gestión Humana"/>
    <s v="Jose Andres Ponce Caicedo"/>
    <s v="Adición y prórroga al contrato 095-2025 cuyo objeto es: &quot; SGH- Prestar servicios profesionales para apoyar en el seguimiento de indicadores, coordinar, controlar y ejercer seguimiento al desarrollo de actividades de manera transversal en los procesos a cargo de la Subdirección de Gestión Humana de la UAE Cuerpo Oficial de Bomberos de Bogotá D.C.&quot;"/>
    <s v="25 - contrato de prestacion de servicios profesionales"/>
    <n v="80111600"/>
    <n v="11"/>
    <n v="2"/>
    <n v="0"/>
    <n v="14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18"/>
    <x v="1"/>
    <s v="Sub. Gestión Humana"/>
    <s v="Jose Andres Ponce Caicedo"/>
    <s v="Adición y prórroga al contrato 316-2025 cuyo objeto es: &quot; SGH- Prestar servicios profesionales en la Subdirección de Gestión Humana de la UAE Cuerpo Oficial de Bomberos Bogotá D.C. en lo relacionado con la consolidación y análisis de base de datos y constitución del presupuesto&quot;"/>
    <s v="25 - contrato de prestacion de servicios profesionales"/>
    <n v="80111600"/>
    <n v="12"/>
    <n v="1.5"/>
    <n v="0"/>
    <n v="102375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19"/>
    <x v="1"/>
    <s v="Sub. Gestión Humana"/>
    <s v="Jose Andres Ponce Caicedo"/>
    <s v="Adición y prórroga al contrato 435-2025 cuyo objeto es: &quot; SGH - Prestar servicios profesionales para apoyar el programa de vigilancia epidemiológico al riesgo psicosocial y actividades de seguridad y salud en el trabajo en la Subdirección de Gestión Humana&quot;"/>
    <s v="25 - contrato de prestacion de servicios profesionales"/>
    <n v="80111600"/>
    <n v="11"/>
    <n v="1"/>
    <n v="0"/>
    <n v="7475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20"/>
    <x v="1"/>
    <s v="Sub. Gestión Humana"/>
    <s v="Jose Andres Ponce Caicedo"/>
    <s v="Adición y prórroga al contrato 428-2025 cuyo objeto es: &quot; SGH - Prestar servicios profesionales para apoyar el programa de vigilancia epidemiológico al riesgo psicosocial y actividades de seguridad y salud en el trabajo en la Subdirección de Gestión Humana&quot;"/>
    <s v="25 - contrato de prestacion de servicios profesionales"/>
    <n v="80111600"/>
    <n v="11"/>
    <n v="1.5"/>
    <n v="0"/>
    <n v="8625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21"/>
    <x v="1"/>
    <s v="Sub. Gestión Humana"/>
    <s v="Jose Andres Ponce Caicedo"/>
    <s v="Adición y prórroga al contrato 200-2025 cuyo objeto es: &quot; SGH - Prestar servicios de apoyo a la gestión en la Subdirección de Gestión Humana en las diferentes actividades logísticas relacionadas con  el proceso de Academia.&quot;"/>
    <s v="26 - contrato de prestacion de servicios de apoyo a la gestion"/>
    <n v="80111600"/>
    <n v="11"/>
    <n v="1.5"/>
    <n v="0"/>
    <n v="6020666"/>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22"/>
    <x v="1"/>
    <s v="Sub. Gestión Humana"/>
    <s v="Jose Andres Ponce Caicedo"/>
    <s v="Adición y prórroga al contrato 321-2025 cuyo objeto es: &quot; SGH prestar servicios profesionales para acompañar a la Subdirección de Gestión Humana en el desarrollo de las actividades relacionadas con el seguimiento a la ejecución presupuestal en el marco de los procesos, procedimientos y contratos a cargo de la dependencia&quot;"/>
    <s v="25 - contrato de prestacion de servicios profesionales"/>
    <n v="80111600"/>
    <n v="12"/>
    <n v="1.5"/>
    <n v="0"/>
    <n v="109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23"/>
    <x v="1"/>
    <s v="Sub. Gestión Humana"/>
    <s v="Jose Andres Ponce Caicedo"/>
    <s v="Adición y prórroga al contrato 514-2025 cuyo objeto es: &quot; SGH- Prestación de servicios profesionales para apoyar a la Subdirección Gestión Humana, en los trámites relacionados con la información financiera, contable y presupuestal que sirvan como base para la toma de decisiones dentro del marco normativo y administrativo de las etapas precontractuales, contractuales y postcontractuales de los procesos a cargo de la subdirección.&quot;"/>
    <s v="25 - contrato de prestacion de servicios profesionales"/>
    <n v="80111600"/>
    <n v="12"/>
    <n v="0.5"/>
    <n v="0"/>
    <n v="3166666"/>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24"/>
    <x v="1"/>
    <s v="Sub. Gestión Humana"/>
    <s v="Jose Andres Ponce Caicedo"/>
    <s v="Adición y prórroga al contrato 420-2025 cuyo objeto es: &quot; SGH - Prestar servicios profesionales en el desarrollo de actividades relacionadas con la actualizacion de registro laborales del personal de la entidad, asi como apoyar en las actividades a cargo de desarrollo organizacional de la subdireccion de gestion humana.&quot;"/>
    <s v="25 - contrato de prestacion de servicios profesionales"/>
    <n v="80111600"/>
    <n v="11"/>
    <n v="1"/>
    <n v="0"/>
    <n v="5866667"/>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25"/>
    <x v="1"/>
    <s v="Sub. Gestión Humana"/>
    <s v="Jose Andres Ponce Caicedo"/>
    <s v="Adición y prórroga al contrato 453-2025 cuyo objeto es: &quot; SGH - Prestar servicios profesionales para apoyar el programa de riesgo psicosocial y diferentes  actividades de seguridad y salud en el trabajo en la Subdirección de Gestión Humana&quot;"/>
    <s v="25 - contrato de prestacion de servicios profesionales"/>
    <n v="80111600"/>
    <n v="12"/>
    <n v="0.5"/>
    <n v="0"/>
    <n v="4408334"/>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26"/>
    <x v="1"/>
    <s v="Sub. Gestión Humana"/>
    <s v="Jose Andres Ponce Caicedo"/>
    <s v="Adición y prórroga al contrato 523-2025 cuyo objeto es: &quot; SGH -Prestar servicios profesionales para realizar un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quot;"/>
    <s v="25 - contrato de prestacion de servicios profesionales"/>
    <n v="80111600"/>
    <n v="11"/>
    <n v="1"/>
    <n v="0"/>
    <n v="9722134"/>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27"/>
    <x v="1"/>
    <s v="Sub. Gestión Humana"/>
    <s v="Jose Andres Ponce Caicedo"/>
    <s v="Adición y prórroga al contrato 180-2025 cuyo objeto es: &quot; SGH - Prestar servicios profesionales en la Subdireccion de Gestion Humana de la UAE Cuerpo Oficial de Bomberos en el proceso de ausentismo, recobro de incapacidades y los subprocesos directamente relacionados &quot;"/>
    <s v="25 - contrato de prestacion de servicios profesionales"/>
    <n v="80111600"/>
    <n v="11"/>
    <n v="1.5"/>
    <n v="15"/>
    <n v="114608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28"/>
    <x v="1"/>
    <s v="Sub. Gestión Humana"/>
    <s v="Jose Andres Ponce Caicedo"/>
    <s v="Adición y prórroga al contrato 147-2025 cuyo objeto es: &quot; SGH - Prestar servicios profesionales para apoyar el programa de desórdenes musculoesqueléticos de la UAE Cuerpo Oficial de Bomberos de Bogotá&quot;.&quot;"/>
    <s v="25 - contrato de prestacion de servicios profesionales"/>
    <n v="80111600"/>
    <n v="11"/>
    <n v="1.5"/>
    <n v="0"/>
    <n v="82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29"/>
    <x v="1"/>
    <s v="Sub. Gestión Humana"/>
    <s v="Jose Andres Ponce Caicedo"/>
    <s v="Adición y prórroga al contrato 136-2025 cuyo objeto es: &quot; SGH - Prestar servicios profesionales para la implementación y seguimiento del sistema de gestión de seguridad y salud en el trabajo en la Subdirección de Gestión Humana.&quot;"/>
    <s v="25 - contrato de prestacion de servicios profesionales"/>
    <n v="80111600"/>
    <n v="11"/>
    <n v="2.6333333333333333"/>
    <n v="0"/>
    <n v="1738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30"/>
    <x v="1"/>
    <s v="Sub. Gestión Humana"/>
    <s v="Jose Andres Ponce Caicedo"/>
    <s v="Adición y prórroga al contrato 139-2025 cuyo objeto es: &quot; SGH - Prestar servicios profesionales para apoyar en la construcción, revisión y actualización de las políticas, protocolos y procedimientos establecidos para el desarrollo del Talento Humano, con el fin de determinar su eficiencia y cumplimiento de la normatividad vigente para la subdirección de Gestión humana.&quot;"/>
    <s v="25 - contrato de prestacion de servicios profesionales"/>
    <n v="80111600"/>
    <n v="11"/>
    <n v="1"/>
    <n v="0"/>
    <n v="11616667"/>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31"/>
    <x v="1"/>
    <s v="Sub. Gestión Humana"/>
    <s v="Jose Andres Ponce Caicedo"/>
    <s v="Adición y prórroga al contrato 186-2025 cuyo objeto es: &quot; SGH - Prestar servicios de apoyo  en  la Subdirección de Gestión Humana de la UAE Cuerpo Oficial de Bomberos de Bogotá D.C. en lo relacionado con los procesos de administración y aplicación de los instrumentos archivísticos vigentes en el archivo de gestión de la Subdirección.&quot;.&quot;"/>
    <s v="26 - contrato de prestacion de servicios de apoyo a la gestion"/>
    <n v="80111600"/>
    <n v="11"/>
    <n v="1.5"/>
    <n v="0"/>
    <n v="6906667"/>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32"/>
    <x v="1"/>
    <s v="Sub. Gestión Humana"/>
    <s v="Jose Andres Ponce Caicedo"/>
    <s v="Adición y prórroga al contrato 203-2025 cuyo objeto es: &quot; SGH - Prestar servicios de apoyo para ejecutar actividades en la gestión de  la Subdirección de Gestión Humana de la UAE Cuerpo Oficial de Bomberos de Bogotá D.C. en lo relacionado con los procesos de actualización, custodia y manejo del archivo de gestión de la Subdirección.&quot;"/>
    <s v="26 - contrato de prestacion de servicios de apoyo a la gestion"/>
    <n v="80111600"/>
    <n v="11"/>
    <n v="1.5"/>
    <n v="0"/>
    <n v="59112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33"/>
    <x v="1"/>
    <s v="Sub. Gestión Humana"/>
    <s v="Jose Andres Ponce Caicedo"/>
    <s v="Adición y prórroga al contrato 129-2025 cuyo objeto es: &quot; SGH - Prestar servicios profesionales con plena autonomia tecnica y administrativa para acompañar a la Subdireccion de Gestion Humana en la estructuracion y definicion de aspectos juridicos en las etapas precontractuales, contractuales y poscontractuales en el marco de los procesos y procedimientos a cargo de la dependencia&quot;"/>
    <s v="25 - contrato de prestacion de servicios profesionales"/>
    <n v="80111600"/>
    <n v="11"/>
    <n v="2"/>
    <n v="0"/>
    <n v="196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2199 Otros servicios jurídicos n.c.p."/>
    <s v="Si Secop "/>
  </r>
  <r>
    <n v="20251134"/>
    <x v="1"/>
    <s v="Sub. Gestión Humana"/>
    <s v="Jose Andres Ponce Caicedo"/>
    <s v="Adición y prórroga al contrato 397-2025 cuyo objeto es: &quot; SGH-Prestar servicios profesionales para acompañar a la subdirección de gestión humana en el desarrollo de las actividades realizadas en el marco de la actuación del comité de mujer y género&quot;"/>
    <s v="25 - contrato de prestacion de servicios profesionales"/>
    <n v="80111600"/>
    <n v="11"/>
    <n v="1"/>
    <n v="0"/>
    <n v="71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35"/>
    <x v="1"/>
    <s v="Sub. Gestión Humana"/>
    <s v="Jose Andres Ponce Caicedo"/>
    <s v="Adición y prórroga al contrato 235-2025 cuyo objeto es: &quot; SGH - Prestar servicios profesionales para acompañar a la Subdireccion de Gestion Humana en la planeacion, trámite y seguimiento de los aspectos presupuestales, financieros y contractuales a cargo de la dependencia&quot;"/>
    <s v="25 - contrato de prestacion de servicios profesionales"/>
    <n v="80111600"/>
    <n v="11"/>
    <n v="2"/>
    <n v="0"/>
    <n v="16000000.000000002"/>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36"/>
    <x v="1"/>
    <s v="Sub. Gestión Humana"/>
    <s v="Jose Andres Ponce Caicedo"/>
    <s v="Adición y prórroga al contrato 208-2025 cuyo objeto es: &quot; SGH-prestar servicios profesionales para acompañar a la subdirección de gestión humana en la construcción del plan educativo institucional y en los procesos y procedimientos de la escuela de formación bomberil - academia de la unidad administrativa especial-cuerpo oficial bomberos de Bogotá.&quot;"/>
    <s v="25 - contrato de prestacion de servicios profesionales"/>
    <n v="80111600"/>
    <n v="11"/>
    <n v="1.5"/>
    <n v="0"/>
    <n v="10966667"/>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37"/>
    <x v="0"/>
    <s v="Dirección Tic"/>
    <s v="Paula Ximena Henao Escobar"/>
    <s v="Prestar servicios de apoyo a la gestión al área de tecnologías de la información y las Comunicaciones de la UAECOB, en el desarrollo de actividades administrativas y técnicas orientadas al soporte, atención a los usuarios de la Entidad y al desarrollo de la infraestructura tecnológica."/>
    <s v="25 - contrato de prestacion de servicios profesionales"/>
    <n v="80111600"/>
    <n v="10"/>
    <n v="3"/>
    <n v="0"/>
    <n v="9000000"/>
    <x v="0"/>
    <s v="09 - contratación directa"/>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1138"/>
    <x v="2"/>
    <s v="Dirección Tic"/>
    <s v="Paula Ximena Henao Escobar"/>
    <s v="Contratar el servicio de acceso y soporte de la plataforma Wildfire Solution, para el fortalecimiento del los procesos de monitorio de incendios forestales y alertas tempranas de variabilidad climática, en cumplimiento de los objetivos misionales de la U.A.E Cuerpo Oficial de Bomberos"/>
    <s v="19 - contrato de renovacion de licencias"/>
    <s v="81112501; 43232102; 43231512; 81111808; 81111805; 81112217"/>
    <n v="10"/>
    <n v="12"/>
    <n v="0"/>
    <n v="31174511"/>
    <x v="1"/>
    <s v="09 - contratación directa"/>
    <s v="No aplica"/>
    <s v="NA"/>
    <s v="NA"/>
    <s v="NA"/>
    <s v="N/A"/>
    <s v="N/A"/>
    <s v="N/A-N/A"/>
    <s v="N/A"/>
    <s v="N/A"/>
    <s v="N/A_N/A"/>
    <s v="N/A-N/A N/A_N/A"/>
    <s v="NANANAN/AN/A"/>
    <s v="N/A"/>
    <s v="O21202020080383141 Servicios de diseño y desarrollo de aplicaciones en tecnologías de la información (TI)"/>
    <s v="Si Secop "/>
  </r>
  <r>
    <n v="20251139"/>
    <x v="1"/>
    <s v="Sub. Operativa"/>
    <s v="Yenire Yohansy Lozano Ascanio"/>
    <s v="Adquirir Elementos de Protección Personal, Equipos de Respiración Autónoma – ERA compuestos por piezas faciales (máscaras), botella (cilindro) y el arnés para la espalda compatibles con los equipos INTERSPIRO modelos S8 y S9 con los que se encuentran dotadas las diecisiete (17) estaciones operativas de la UAECOB”"/>
    <s v="06 - contrato de compraventa"/>
    <s v="46182001_x000a_46182004_x000a_46182201"/>
    <n v="10"/>
    <n v="3"/>
    <n v="0"/>
    <n v="6850311197"/>
    <x v="3"/>
    <s v="09 - contratación directa"/>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Si Secop "/>
  </r>
  <r>
    <n v="20251141"/>
    <x v="0"/>
    <s v="Sub. Gestión Corporativa"/>
    <s v="Fatima Veronica Quintero Nuñez"/>
    <s v="Prestar servicios profesionales especializados como ingeniero electrónico para apoyar las actividades propias que contribuyan al desarrollo de la infraestructura requerida por la entidad para la adecuada prestación del servicio-SGC"/>
    <s v="25 - contrato de prestacion de servicios profesionales"/>
    <s v="80111600;"/>
    <n v="10"/>
    <n v="3"/>
    <n v="0"/>
    <n v="21000000"/>
    <x v="0"/>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1142"/>
    <x v="0"/>
    <s v="Sub. Gestión Corporativa"/>
    <s v="Fatima Veronica Quintero Nuñez"/>
    <s v="Prestación de servicios profesionales especializados para desarrollar las actividades técnicas y administrativas del Área de Infraestructura de la Subdirección de Gestión Corporativa-SGC"/>
    <s v="25 - contrato de prestacion de servicios profesionales"/>
    <s v="80111600;"/>
    <n v="10"/>
    <n v="3"/>
    <n v="0"/>
    <n v="21000000"/>
    <x v="0"/>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1143"/>
    <x v="0"/>
    <s v="Sub. Gestión Corporativa"/>
    <s v="Fatima Veronica Quintero Nuñez"/>
    <s v="Prestación de servicios profesionales especializados en el acompañamiento y asistencia al proceso de gestión documental de la UAE Cuerpo oficial de Bomberos. -SGC"/>
    <s v="25 - contrato de prestacion de servicios profesionales"/>
    <s v="80111600;"/>
    <n v="10"/>
    <n v="3"/>
    <n v="0"/>
    <n v="21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1144"/>
    <x v="0"/>
    <s v="Sub. Gestión Corporativa"/>
    <s v="Fatima Veronica Quintero Nuñez"/>
    <s v="Adición No. 3 y Prórroga No. 4 del Contrato 357 de 2024 cuyo objeto es &quot;Realizar el mantenimiento predictivo, preventivo, correctivo, mejoras y dotación a las instalaciones de las dependencias de la Unidad Administrativa Especial Cuerpo Oficial de Bomberos de Bogotá D.C. - SGC"/>
    <s v="17 - contrato de mantenimiento"/>
    <s v="72102900;_x000a_72121400; _x000a_72151700;_x000a_72154000;_x000a_72101500"/>
    <n v="10"/>
    <n v="0"/>
    <n v="2"/>
    <n v="76470000"/>
    <x v="0"/>
    <s v="01 - licitación públic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5040554590 Otros servicios especializados de la construcción"/>
    <s v="No Secop"/>
  </r>
  <r>
    <n v="20251145"/>
    <x v="0"/>
    <s v="Sub. Gestión Corporativa"/>
    <s v="Fatima Veronica Quintero Nuñez"/>
    <s v="Adición No. 3 y Prórroga No 4 del Contrato 379 de 2024 - Interventoría técnica, administrativa, financiera, contable, jurídica y ambiental para la realización del mantenimiento predictivo preventivo, correctivo, mejoras y dotación a las instalaciones de las dependencias de la Unidad Administrativa Especial Cuerpo Oficial de Bomberos de Bogotá D.C. - SGC"/>
    <s v="14 - contrato de interventoria"/>
    <s v="80101600; _x000a_81101500; _x000a_72101500; _x000a_72121400"/>
    <n v="10"/>
    <n v="0"/>
    <n v="2"/>
    <n v="23530000"/>
    <x v="0"/>
    <s v="06 - concurso de méritos abierto"/>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5040554590 Otros servicios especializados de la construcción"/>
    <s v="No Secop"/>
  </r>
  <r>
    <n v="20251146"/>
    <x v="2"/>
    <s v="Sub. Gestión Corporativa"/>
    <s v="Fatima Veronica Quintero Nuñez"/>
    <s v="Seleccionar un intermediario de seguros, legalmente establecido en Colombia para que preste a la Unidad Administrativa Especial Cuerpo Oficial de Bomberos - UAECOB sus servicios profesionales de asesoría, administración y manejo del programa de seguros, destinado a proteger a las personas, bienes e intereses patrimoniales de la entidad y aquellos por los que sea o fuere legalmente responsable."/>
    <s v="06 - concurso de méritos abierto"/>
    <n v="84131500"/>
    <n v="11"/>
    <n v="12"/>
    <s v="-"/>
    <s v=" -   "/>
    <x v="4"/>
    <s v="06 - concurso de méritos abierto"/>
    <s v="No aplica"/>
    <s v="NA"/>
    <s v="NA"/>
    <s v="NA"/>
    <s v="N/A"/>
    <s v="N/A"/>
    <s v="N/A-N/A"/>
    <s v="N/A"/>
    <s v="N/A"/>
    <s v="N/A_N/A"/>
    <s v="N/A-N/A N/A_N/A"/>
    <s v="NANANAN/AN/A"/>
    <s v="N/A"/>
    <s v="No Aplica"/>
    <s v="Si Secop "/>
  </r>
  <r>
    <n v="20251147"/>
    <x v="0"/>
    <s v="Oficina Juridica"/>
    <s v="Monica Perez Barragan"/>
    <s v="Adición y prórroga al contrato 531 de 2025 cuyo objeto es: &quot;Prestar los servicios profesionales para apoyar las actividades propias de la gestión contractual a cargo de la Oficina Jurídica, en función de las necesidades identificadas por la entidad y con el propósito de garantizar el cumplimiento de su misionalidad&quot;."/>
    <s v="25 - contrato de prestacion de servicios profesionales"/>
    <n v="80111600"/>
    <n v="8"/>
    <n v="3"/>
    <n v="0"/>
    <n v="7125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148"/>
    <x v="0"/>
    <s v="Oficina Juridica"/>
    <s v="Monica Perez Barragan"/>
    <s v="Adición y prórroga al contrato 556 de 2025 cuyo objeto es: &quot;Prestar los servicios profesionales para realizar el acompañamiento administrativo y financiero en temas de liquidación y cierre de expedientes, como demás actuaciones administrativas requeridas de los procesos contractuales&quot;"/>
    <s v="25 - contrato de prestacion de servicios profesionales"/>
    <n v="80111600"/>
    <n v="8"/>
    <n v="3"/>
    <n v="0"/>
    <n v="83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149"/>
    <x v="0"/>
    <s v="Oficina Juridica"/>
    <s v="Monica Perez Barragan"/>
    <s v="Adición y prórroga al contrato 599 de 2025 cuyo objeto es: &quot;Prestar servicios profesionales jurídicos para apoyar las actividades de defensa Judicial y de procesos penales que adelante la UAE Cuerpo Oficial de Bomberos de Bogotá&quot;"/>
    <s v="25 - contrato de prestacion de servicios profesionales"/>
    <n v="80111600"/>
    <n v="8"/>
    <n v="3"/>
    <n v="0"/>
    <n v="97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No Secop"/>
  </r>
  <r>
    <n v="20251150"/>
    <x v="0"/>
    <s v="Oficina Juridica"/>
    <s v="Monica Perez Barragan"/>
    <s v="Adición y prórroga al contrato 516 de 2025 cuyo objeto es: &quot;Prestar los servicios profesionales jurídicos especializados para apoyar el desarrollo de las funciones de la Oficina Jurídica&quot;"/>
    <s v="25 - contrato de prestacion de servicios profesionales"/>
    <n v="80111600"/>
    <n v="8"/>
    <n v="5"/>
    <n v="0"/>
    <n v="22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No Secop"/>
  </r>
  <r>
    <n v="20251151"/>
    <x v="0"/>
    <s v="Oficina Juridica"/>
    <s v="Monica Perez Barragan"/>
    <s v="Adición y prórroga al contrato 581 de 2025 cuyo objeto es: &quot;Prestar los servicios de apoyo para las gestiones administrativas requeridas en la Oficina Jurídica&quot;."/>
    <s v="26 - contrato de prestacion de servicios de apoyo a la gestion"/>
    <n v="80111600"/>
    <n v="8"/>
    <n v="3"/>
    <n v="0"/>
    <n v="51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152"/>
    <x v="0"/>
    <s v="Oficina Juridica"/>
    <s v="Monica Perez Barragan"/>
    <s v="Adición y prórroga al contrato 575 de 2025 cuyo objeto es: &quot;Prestar los servicios de apoyo para las gestiones documentales y administrativas requerida por la Oficina  Jurídica&quot;."/>
    <s v="26 - contrato de prestacion de servicios de apoyo a la gestion"/>
    <n v="80111600"/>
    <n v="8"/>
    <n v="3"/>
    <n v="0"/>
    <n v="51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153"/>
    <x v="0"/>
    <s v="Oficina Juridica"/>
    <s v="Monica Perez Barragan"/>
    <s v="Adición y prórroga al contrato 558 de 2025 cuyo objeto es: &quot;Prestar los servicios de apoyo para las gestiones documentales y administrativas requerida por la Oficina  Jurídica&quot;."/>
    <s v="26 - contrato de prestacion de servicios de apoyo a la gestion"/>
    <n v="80111600"/>
    <n v="8"/>
    <n v="3"/>
    <n v="0"/>
    <n v="51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154"/>
    <x v="0"/>
    <s v="Oficina Juridica"/>
    <s v="Monica Perez Barragan"/>
    <s v="Adición y prórroga al contrato 569 de 2025 cuyo objeto es: &quot;Prestar los servicios profesionales para apoyar la depuración de la cartera de cobro coactivo, así como actividades propias de la defensa judicial de la Entidad y demas actiuaciones relacionadas que requiera la Oficina Jurídica&quot;"/>
    <s v="25 - contrato de prestacion de servicios profesionales"/>
    <n v="80111600"/>
    <n v="8"/>
    <n v="5"/>
    <n v="0"/>
    <n v="97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No Secop"/>
  </r>
  <r>
    <n v="20251155"/>
    <x v="0"/>
    <s v="Oficina Juridica"/>
    <s v="Monica Perez Barragan"/>
    <s v="Adición y prórroga al contrato 576 de 2025 cuyo objeto es: &quot;Prestación de servicios profesionales jurídicos para orientar y apoyar el trámite y la gestión de los procesos disciplinarios que se adelanten en la Oficina Jurídica de la Unidad Administrativa Especial Cuerpo Oficial de Bomberos Bogotá&quot;"/>
    <s v="25 - contrato de prestacion de servicios profesionales"/>
    <n v="80111600"/>
    <n v="8"/>
    <n v="5"/>
    <n v="0"/>
    <n v="7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No Secop"/>
  </r>
  <r>
    <n v="20251156"/>
    <x v="0"/>
    <s v="Oficina Juridica"/>
    <s v="Monica Perez Barragan"/>
    <s v="Adición y prórroga al contrato 571 de 2025 cuyo objeto es: &quot;Prestar los servicios profesionales jurídicos especializados para orientar y apoyar los procesos de contratación en sus diferentes etapas adelantados por la Oficina Jurídica, tendientes a garantizar las necesidades propias de la UAECOB&quot;"/>
    <s v="25 - contrato de prestacion de servicios profesionales"/>
    <n v="80111600"/>
    <n v="8"/>
    <n v="5"/>
    <n v="0"/>
    <n v="47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No Secop"/>
  </r>
  <r>
    <n v="20251157"/>
    <x v="0"/>
    <s v="Oficina Juridica"/>
    <s v="Monica Perez Barragan"/>
    <s v="Adición y prórroga al contrato 585 de 2025 cuyo objeto es: &quot;Prestar los servicios profesionales jurídicos especializados en la Oficina Jurídica que garantice la verificación de la legalidad, en apoyo a cada una de las actuaciones a cargo de esta Oficina&quot;."/>
    <s v="25 - contrato de prestacion de servicios profesionales"/>
    <n v="80111600"/>
    <n v="8"/>
    <n v="5"/>
    <n v="0"/>
    <n v="10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No Secop"/>
  </r>
  <r>
    <n v="20251158"/>
    <x v="0"/>
    <s v="Oficina Juridica"/>
    <s v="Monica Perez Barragan"/>
    <s v="Adición y prórroga al contrato 545 de 2025 cuyo objeto es: &quot;Prestar los servicios profesionales jurídicos para apoyar las actuaciones procesales y procedimentales de la Oficina Jurídica&quot;"/>
    <s v="25 - contrato de prestacion de servicios profesionales"/>
    <n v="80111600"/>
    <n v="5"/>
    <n v="5"/>
    <n v="0"/>
    <n v="97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No Secop"/>
  </r>
  <r>
    <n v="20251159"/>
    <x v="1"/>
    <s v="Sub. Gestión Humana"/>
    <s v="Jose Andres Ponce Caicedo"/>
    <s v="Adición y prórroga al contrato 194 de 2025 SGH-Prestación de servicios profesionales para acompañar a la subdirección de gestión humana en el desarrollo de las actividades encaminadas al diseño de piezas comunicativas que se requieran en el marco de los procesos y procedimientos a cargo de la dependencia."/>
    <s v="25 - contrato de prestacion de servicios profesionales"/>
    <n v="80111600"/>
    <n v="12"/>
    <n v="1"/>
    <n v="0"/>
    <n v="3166667"/>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No Secop"/>
  </r>
  <r>
    <n v="20251161"/>
    <x v="1"/>
    <s v="Sub. Gestión Humana"/>
    <s v="Jose Andres Ponce Caicedo"/>
    <s v="SGH - Prestar los servicios de capacitación, formación y entrenamiento en el curso de Señalero, Aparejador de Cargas y Operador de Grúa Móvil para el personal operativo de la UAE Cuerpo Oficial de Bomberos de Bogotá en el marco del PIC. "/>
    <s v="03 - contrato de prestacion de servicios"/>
    <s v="86101600, 86101700, 86101800, 86111600, 86141500,  86121800, 80111500,86131800"/>
    <n v="11"/>
    <n v="4"/>
    <n v="0"/>
    <n v="46000000"/>
    <x v="0"/>
    <s v="04 - contratación mínima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62"/>
    <x v="1"/>
    <s v="Sub. Gestión Humana"/>
    <s v="Jose Andres Ponce Caicedo"/>
    <s v="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
    <s v="25 - contrato de prestacion de servicios profesionales"/>
    <n v="80111600"/>
    <n v="11"/>
    <n v="3"/>
    <n v="0"/>
    <n v="20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63"/>
    <x v="0"/>
    <s v="Oficina de Control Interno"/>
    <s v="Jaime Hernando Arias Patiño"/>
    <s v="Adición y prórroga al contrato 039 de 2025 &quot;Prestar los servicios profesionales  como abogado en la Oficina de Control Interno para el desarrollo del Plan Anual de Auditorías.&quot;"/>
    <s v="25 - contrato de prestacion de servicios profesionales"/>
    <n v="80111600"/>
    <n v="12"/>
    <n v="1"/>
    <n v="5"/>
    <n v="89425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164"/>
    <x v="0"/>
    <s v="Oficina de Control Interno"/>
    <s v="Jaime Hernando Arias Patiño"/>
    <s v="Adición y prórroga al contrato 123 de 2025 &quot;Prestar los servicios profesionales como contador publico en la Oficina de Control Interno para el desarrollo del Plan Anual de Auditorías.&quot;"/>
    <s v="25 - contrato de prestacion de servicios profesionales"/>
    <n v="80111600"/>
    <n v="12"/>
    <n v="0"/>
    <n v="22"/>
    <n v="5621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165"/>
    <x v="0"/>
    <s v="Oficina de Control Interno"/>
    <s v="Jaime Hernando Arias Patiño"/>
    <s v="Adición y prórroga al contrato 272 de 2025 &quot;Prestar los servicios profesionales  en la Oficina de Control Interno para el desarrollo del Plan Anual de Auditorías.&quot;"/>
    <s v="25 - contrato de prestacion de servicios profesionales"/>
    <n v="80111600"/>
    <n v="10"/>
    <n v="2"/>
    <n v="12"/>
    <n v="18396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166"/>
    <x v="0"/>
    <s v="Oficina de Control Interno"/>
    <s v="Jaime Hernando Arias Patiño"/>
    <s v="Adición y prórroga al contrato 128 de 2025 &quot;Prestar los servicios profesionales  en la Oficina de Control Interno para el desarrollo del Plan Anual de Auditorías.&quot;"/>
    <s v="25 - contrato de prestacion de servicios profesionales"/>
    <n v="80111600"/>
    <n v="12"/>
    <n v="0"/>
    <n v="22"/>
    <n v="3394293"/>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167"/>
    <x v="0"/>
    <s v="Oficina de Control Interno"/>
    <s v="Jaime Hernando Arias Patiño"/>
    <s v="Adición y prórroga al contrato 077 de 2025 &quot;Prestar servicios de apoyo a la gestión como técnico   en la Oficina de Control Interno para ejecutar procesos y procedimientos administrativos y asistenciales teniendo en cuenta el Plan Anual de Auditorías.&quot;"/>
    <s v="26 - contrato de prestacion de servicios de apoyo a la gestion"/>
    <n v="80111600"/>
    <n v="12"/>
    <n v="0"/>
    <n v="27"/>
    <n v="3441606"/>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168"/>
    <x v="1"/>
    <s v="Sub. Gestión Riesgos"/>
    <s v="William Tovar Segura"/>
    <s v="Prestar servicios de apoyo en las actividades de Programas y Campañas de Prevención para la Subdirección de Gestión del Riesgo._SGR"/>
    <s v="26 - contrato de prestacion de servicios de apoyo a la gestion"/>
    <n v="80111600"/>
    <n v="11"/>
    <n v="2"/>
    <n v="0"/>
    <n v="75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1170"/>
    <x v="1"/>
    <s v="Sub. Gestión Humana"/>
    <s v="Jose Andres Ponce Caicedo"/>
    <s v="Adición y prórroga al contrato 533 de 2025.  SGH &quot;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quot;"/>
    <s v="25 - contrato de prestacion de servicios profesionales"/>
    <n v="80111600"/>
    <n v="5"/>
    <n v="4"/>
    <n v="0"/>
    <n v="10322000"/>
    <x v="0"/>
    <s v="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No Secop"/>
  </r>
  <r>
    <n v="20251171"/>
    <x v="1"/>
    <s v="Sub. Gestión Humana"/>
    <s v="Jose Andres Ponce Caicedo"/>
    <s v="Adición y prórroga al contrato 536 de 2025.  SGH &quot;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quot;"/>
    <s v="25 - contrato de prestacion de servicios profesionales"/>
    <n v="80111600"/>
    <n v="5"/>
    <n v="4"/>
    <n v="0"/>
    <n v="7741500"/>
    <x v="0"/>
    <s v="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No Secop"/>
  </r>
  <r>
    <n v="20251172"/>
    <x v="1"/>
    <s v="Sub. Gestión Humana"/>
    <s v="Jose Andres Ponce Caicedo"/>
    <s v="Adición y prórroga al contrato 525 de 2025.  SGH &quot;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
    <s v="25 - contrato de prestacion de servicios profesionales"/>
    <n v="80111600"/>
    <n v="5"/>
    <n v="4"/>
    <n v="0"/>
    <n v="10322000"/>
    <x v="0"/>
    <s v="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No Secop"/>
  </r>
  <r>
    <n v="20251173"/>
    <x v="1"/>
    <s v="Sub. Gestión Humana"/>
    <s v="Jose Andres Ponce Caicedo"/>
    <s v="SGH - Prestar servicios profesionales para desarrollar actividades jurídicas relacionadas con los procesos de seguridad social y las diferentes situaciones administrativas de la Subdirección de Gestión Humana de la UAE Cuerpo oficial de Bomberos."/>
    <s v="25 - contrato de prestacion de servicios profesionales"/>
    <n v="80111600"/>
    <n v="12"/>
    <n v="1"/>
    <n v="0"/>
    <n v="1241862"/>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2199 Otros servicios jurídicos n.c.p."/>
    <s v="Si Secop "/>
  </r>
  <r>
    <n v="20251174"/>
    <x v="1"/>
    <s v="Sub. Logística"/>
    <s v="Omer Mauricio Rivera Ruiz"/>
    <s v="Contratar el mantenimiento y recarga de los extintores y otros elementos pertinentes para la U.A.E. Cuerpo Oficial de Bomberos de Bogotá. - SBLG"/>
    <s v="25 - contrato de prestacion de servicios profesionales"/>
    <s v="72101509, 46191600, 46191506, 46191601"/>
    <n v="11"/>
    <n v="5"/>
    <n v="0"/>
    <n v="64000000"/>
    <x v="0"/>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1010030208 Otra maquinaria para usos especiales y sus partes y piezas"/>
    <s v="Si Secop "/>
  </r>
  <r>
    <n v="20251175"/>
    <x v="1"/>
    <s v="Sub. Logística"/>
    <s v="Omer Mauricio Rivera Ruiz"/>
    <s v="Adición y prorroga al contrato 218-2025 cuyo objeto es : &quot;Prestar servicios profesionales para apoyar en los diferentes procesos de planeación,  administrativos e inventario de la Subdirección Logística – SBLG&quot;. "/>
    <s v="25 - contrato de prestacion de servicios profesionales"/>
    <n v="80111600"/>
    <n v="11"/>
    <n v="2"/>
    <n v="0"/>
    <n v="11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1176"/>
    <x v="1"/>
    <s v="Sub. Logística"/>
    <s v="Omer Mauricio Rivera Ruiz"/>
    <s v="Adición y prorroga al contrato 555-2025 cuyo objeto es: &quot;Suministrar combustible para los vehículos, y equipos especializados de la U.A.E. Cuerpo Oficial de Bomberos Bogotá dentro y fuera del perímetro del distrito capital de la  - SBLG&quot;."/>
    <s v="08 - contrato de suministro"/>
    <n v="15101500"/>
    <n v="12"/>
    <n v="3"/>
    <n v="0"/>
    <n v="772325"/>
    <x v="0"/>
    <s v="17 - acuerdo marco de precios"/>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1003053543003 Aditivos para gasolina, aceites minerales y combustible en general"/>
    <s v="No Secop"/>
  </r>
  <r>
    <n v="20251177"/>
    <x v="1"/>
    <s v="Sub. Operativa"/>
    <s v="Yenire Yohansy Lozano Ascanio"/>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11"/>
    <n v="2"/>
    <n v="0"/>
    <n v="6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1178"/>
    <x v="0"/>
    <s v="Sub. Gestión Corporativa"/>
    <s v="Fatima Veronica Quintero Nuñez"/>
    <s v="Adición y prórroga No. 1 al contrato 597 de 2025  que tiene como objeto &quot; Contratar la prestación del servicio de aseo y cafetería incluido insumos para la UAE Cuerpo Oficial de Bomberos -SGC&quot;"/>
    <s v="03 - contrato de prestacion de servicios"/>
    <s v="44121700;_x000a_44121800;_x000a_44121900;_x000a_44122000"/>
    <n v="11"/>
    <n v="1"/>
    <n v="0"/>
    <n v="13000000"/>
    <x v="0"/>
    <s v="17 - acuerdo marco de precios"/>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330 Servicios de limpieza general"/>
    <s v="No Secop"/>
  </r>
  <r>
    <n v="20251179"/>
    <x v="1"/>
    <s v="Sub. Operativa"/>
    <s v="Yenire Yohansy Lozano Ascanio"/>
    <s v="Adquisición de herramientas de corte para la atención de emergencias  para  la UAE Cuerpo Oficial de Bomberos de Bogota -S.O."/>
    <s v="01 - orden de compra"/>
    <s v="23101512;_x000a_27111508;_x000a_27112709"/>
    <n v="11"/>
    <n v="2"/>
    <n v="0"/>
    <n v="64057000"/>
    <x v="3"/>
    <s v="17 - acuerdo marco de precios"/>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Si Secop "/>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1F5EC9A-A377-479B-B6C1-A4F2C834C325}" name="TablaDinámica11" cacheId="11" applyNumberFormats="0" applyBorderFormats="0" applyFontFormats="0" applyPatternFormats="0" applyAlignmentFormats="0" applyWidthHeightFormats="1" dataCaption="Valores" updatedVersion="8" minRefreshableVersion="3" itemPrintTitles="1" createdVersion="8" indent="0" outline="1" outlineData="1" multipleFieldFilters="0">
  <location ref="A4:B8" firstHeaderRow="1" firstDataRow="1" firstDataCol="1" rowPageCount="1" colPageCount="1"/>
  <pivotFields count="28">
    <pivotField showAll="0"/>
    <pivotField axis="axisPage" multipleItemSelectionAllowed="1" showAll="0">
      <items count="5">
        <item h="1" x="2"/>
        <item x="0"/>
        <item x="1"/>
        <item m="1" x="3"/>
        <item t="default"/>
      </items>
    </pivotField>
    <pivotField outline="0" showAll="0" defaultSubtotal="0">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dataField="1" numFmtId="165" showAll="0"/>
    <pivotField axis="axisRow" outline="0" showAll="0" defaultSubtotal="0">
      <items count="5">
        <item x="1"/>
        <item x="0"/>
        <item x="3"/>
        <item x="2"/>
        <item x="4"/>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showAll="0"/>
    <pivotField showAll="0"/>
    <pivotField showAll="0"/>
    <pivotField showAll="0"/>
    <pivotField showAll="0"/>
    <pivotField outline="0" showAll="0" defaultSubtotal="0">
      <extLst>
        <ext xmlns:x14="http://schemas.microsoft.com/office/spreadsheetml/2009/9/main" uri="{2946ED86-A175-432a-8AC1-64E0C546D7DE}">
          <x14:pivotField fillDownLabels="1"/>
        </ext>
      </extLst>
    </pivotField>
    <pivotField outline="0" showAll="0" defaultSubtotal="0">
      <extLst>
        <ext xmlns:x14="http://schemas.microsoft.com/office/spreadsheetml/2009/9/main" uri="{2946ED86-A175-432a-8AC1-64E0C546D7DE}">
          <x14:pivotField fillDownLabels="1"/>
        </ext>
      </extLst>
    </pivotField>
    <pivotField outline="0" multipleItemSelectionAllowed="1" showAll="0" defaultSubtotal="0">
      <extLst>
        <ext xmlns:x14="http://schemas.microsoft.com/office/spreadsheetml/2009/9/main" uri="{2946ED86-A175-432a-8AC1-64E0C546D7DE}">
          <x14:pivotField fillDownLabels="1"/>
        </ext>
      </extLst>
    </pivotField>
    <pivotField showAll="0"/>
  </pivotFields>
  <rowFields count="1">
    <field x="11"/>
  </rowFields>
  <rowItems count="4">
    <i>
      <x v="1"/>
    </i>
    <i>
      <x v="2"/>
    </i>
    <i>
      <x v="3"/>
    </i>
    <i t="grand">
      <x/>
    </i>
  </rowItems>
  <colItems count="1">
    <i/>
  </colItems>
  <pageFields count="1">
    <pageField fld="1" hier="-1"/>
  </pageFields>
  <dataFields count="1">
    <dataField name="Suma de Valor Programado" fld="10" baseField="0" baseItem="0" numFmtId="165"/>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AA" displayName="PAA" ref="B11:AC1099" totalsRowShown="0" headerRowDxfId="88" dataDxfId="86" headerRowBorderDxfId="87" tableBorderDxfId="85" totalsRowBorderDxfId="84">
  <autoFilter ref="B11:AC1099" xr:uid="{00000000-000C-0000-FFFF-FFFF00000000}"/>
  <sortState xmlns:xlrd2="http://schemas.microsoft.com/office/spreadsheetml/2017/richdata2" ref="B12:AC1099">
    <sortCondition sortBy="cellColor" ref="B11:B1099" dxfId="1"/>
  </sortState>
  <tableColumns count="28">
    <tableColumn id="1" xr3:uid="{00000000-0010-0000-0000-000001000000}" name="Id" dataDxfId="83" dataCellStyle="Millares"/>
    <tableColumn id="2" xr3:uid="{00000000-0010-0000-0000-000002000000}" name="Proyecto y nombre " dataDxfId="82" dataCellStyle="Millares"/>
    <tableColumn id="3" xr3:uid="{00000000-0010-0000-0000-000003000000}" name="Dependencia " dataDxfId="81"/>
    <tableColumn id="4" xr3:uid="{00000000-0010-0000-0000-000004000000}" name="Responsable" dataDxfId="80" dataCellStyle="Normal 2"/>
    <tableColumn id="5" xr3:uid="{00000000-0010-0000-0000-000005000000}" name="Objeto" dataDxfId="79"/>
    <tableColumn id="6" xr3:uid="{00000000-0010-0000-0000-000006000000}" name="Tipo de Contratación" dataDxfId="78"/>
    <tableColumn id="7" xr3:uid="{00000000-0010-0000-0000-000007000000}" name="Código UNSPSC (cada código separado por ;)" dataDxfId="77" dataCellStyle="Moneda"/>
    <tableColumn id="8" xr3:uid="{00000000-0010-0000-0000-000008000000}" name="Mes inicio de ejecución" dataDxfId="76"/>
    <tableColumn id="9" xr3:uid="{00000000-0010-0000-0000-000009000000}" name="plazo ejec Meses" dataDxfId="75"/>
    <tableColumn id="10" xr3:uid="{00000000-0010-0000-0000-00000A000000}" name="mas plazo ejec Días (si aplica)" dataDxfId="74" dataCellStyle="Millares"/>
    <tableColumn id="11" xr3:uid="{00000000-0010-0000-0000-00000B000000}" name="Valor Programado" dataDxfId="73" dataCellStyle="Millares"/>
    <tableColumn id="12" xr3:uid="{00000000-0010-0000-0000-00000C000000}" name="Fuente de Recursos" dataDxfId="72"/>
    <tableColumn id="13" xr3:uid="{00000000-0010-0000-0000-00000D000000}" name="Modalidad de Selección" dataDxfId="71" dataCellStyle="Millares"/>
    <tableColumn id="14" xr3:uid="{00000000-0010-0000-0000-00000E000000}" name="Meta Proyecto de Inversión" dataDxfId="70" dataCellStyle="Normal 2"/>
    <tableColumn id="15" xr3:uid="{00000000-0010-0000-0000-00000F000000}" name="Bogotá camina segura" dataDxfId="69" dataCellStyle="Normal 2">
      <calculatedColumnFormula>IFERROR(VLOOKUP(C12,TD!$B$33:$F$37,2,0)," ")</calculatedColumnFormula>
    </tableColumn>
    <tableColumn id="16" xr3:uid="{00000000-0010-0000-0000-000010000000}" name="Sector_Programa MGA" dataDxfId="68" dataCellStyle="Normal 2">
      <calculatedColumnFormula>IFERROR(VLOOKUP(C12,TD!$B$33:$F$37,3,0)," ")</calculatedColumnFormula>
    </tableColumn>
    <tableColumn id="17" xr3:uid="{00000000-0010-0000-0000-000011000000}" name="BPIN (AÑO+COD_PROYECTO)" dataDxfId="67" dataCellStyle="Normal 2">
      <calculatedColumnFormula>IFERROR(VLOOKUP(C12,TD!$B$33:$F$37,4,0)," ")</calculatedColumnFormula>
    </tableColumn>
    <tableColumn id="18" xr3:uid="{00000000-0010-0000-0000-000012000000}" name="Producto PMR" dataDxfId="66" dataCellStyle="Normal 2"/>
    <tableColumn id="19" xr3:uid="{00000000-0010-0000-0000-000013000000}" name="Descripción Producto PMR" dataDxfId="65" dataCellStyle="Normal 2"/>
    <tableColumn id="20" xr3:uid="{00000000-0010-0000-0000-000014000000}" name="PMR conca" dataDxfId="64" dataCellStyle="Normal 2">
      <calculatedColumnFormula>CONCATENATE(S12,"-",T12)</calculatedColumnFormula>
    </tableColumn>
    <tableColumn id="21" xr3:uid="{00000000-0010-0000-0000-000015000000}" name="Producto MGA" dataDxfId="63" dataCellStyle="Normal 2"/>
    <tableColumn id="22" xr3:uid="{00000000-0010-0000-0000-000016000000}" name="Descripción Producto MGA" dataDxfId="62" dataCellStyle="Normal 2"/>
    <tableColumn id="23" xr3:uid="{00000000-0010-0000-0000-000017000000}" name="concatenarMGA" dataDxfId="61" dataCellStyle="Normal 2">
      <calculatedColumnFormula>CONCATENATE(V12,"_",W12)</calculatedColumnFormula>
    </tableColumn>
    <tableColumn id="24" xr3:uid="{00000000-0010-0000-0000-000018000000}" name="PM MGA conca" dataDxfId="60" dataCellStyle="Normal 2">
      <calculatedColumnFormula>CONCATENATE(U12," ",X12)</calculatedColumnFormula>
    </tableColumn>
    <tableColumn id="25" xr3:uid="{00000000-0010-0000-0000-000019000000}" name="Código de proyecto de inversión, asociado a productos PMR y MGA" dataDxfId="59" dataCellStyle="Normal 2">
      <calculatedColumnFormula>CONCATENATE(P12,Q12,R12,S12,V12)</calculatedColumnFormula>
    </tableColumn>
    <tableColumn id="26" xr3:uid="{00000000-0010-0000-0000-00001A000000}" name="codigo PEP" dataDxfId="58" dataCellStyle="Normal 2">
      <calculatedColumnFormula>IFERROR(VLOOKUP(Y12,TD!$K$47:$L$65,2,0)," ")</calculatedColumnFormula>
    </tableColumn>
    <tableColumn id="27" xr3:uid="{00000000-0010-0000-0000-00001B000000}" name="POSPRE" dataDxfId="57" dataCellStyle="Millares"/>
    <tableColumn id="28" xr3:uid="{00000000-0010-0000-0000-00001C000000}" name="Si Secop / No Secop" dataDxfId="56" dataCellStyle="Normal 2"/>
  </tableColumns>
  <tableStyleInfo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AC1099"/>
  <sheetViews>
    <sheetView showGridLines="0" tabSelected="1" zoomScale="64" zoomScaleNormal="65" zoomScaleSheetLayoutView="55" workbookViewId="0">
      <selection activeCell="E12" sqref="E12"/>
    </sheetView>
  </sheetViews>
  <sheetFormatPr baseColWidth="10" defaultColWidth="17.453125" defaultRowHeight="14" x14ac:dyDescent="0.35"/>
  <cols>
    <col min="1" max="1" width="9.81640625" style="70" customWidth="1"/>
    <col min="2" max="2" width="17.453125" style="97" customWidth="1"/>
    <col min="3" max="3" width="29.7265625" style="69" customWidth="1"/>
    <col min="4" max="5" width="17.453125" style="70"/>
    <col min="6" max="6" width="52.36328125" style="70" customWidth="1"/>
    <col min="7" max="7" width="19.7265625" style="70" customWidth="1"/>
    <col min="8" max="8" width="20.36328125" style="70" customWidth="1"/>
    <col min="9" max="10" width="12.81640625" style="70" customWidth="1"/>
    <col min="11" max="11" width="12.81640625" style="71" customWidth="1"/>
    <col min="12" max="12" width="22.36328125" style="98" bestFit="1" customWidth="1"/>
    <col min="13" max="13" width="28.1796875" style="97" customWidth="1"/>
    <col min="14" max="14" width="22.81640625" style="70" customWidth="1"/>
    <col min="15" max="15" width="49.54296875" style="98" customWidth="1"/>
    <col min="16" max="16" width="21.81640625" style="70" customWidth="1"/>
    <col min="17" max="17" width="22.54296875" style="73" customWidth="1"/>
    <col min="18" max="18" width="20.1796875" style="73" customWidth="1"/>
    <col min="19" max="19" width="21" style="73" bestFit="1" customWidth="1"/>
    <col min="20" max="20" width="43.7265625" style="70" customWidth="1"/>
    <col min="21" max="21" width="46.7265625" style="73" hidden="1" customWidth="1"/>
    <col min="22" max="22" width="20.7265625" style="107" customWidth="1"/>
    <col min="23" max="23" width="34.1796875" style="70" customWidth="1"/>
    <col min="24" max="24" width="28.81640625" style="73" hidden="1" customWidth="1"/>
    <col min="25" max="25" width="54.81640625" style="107" hidden="1" customWidth="1"/>
    <col min="26" max="26" width="36.453125" style="107" customWidth="1"/>
    <col min="27" max="27" width="32.453125" style="73" customWidth="1"/>
    <col min="28" max="28" width="40.1796875" style="73" customWidth="1"/>
    <col min="29" max="29" width="27.1796875" style="98" customWidth="1"/>
    <col min="30" max="16384" width="17.453125" style="70"/>
  </cols>
  <sheetData>
    <row r="1" spans="1:29" x14ac:dyDescent="0.35">
      <c r="B1" s="68"/>
      <c r="L1" s="72"/>
      <c r="M1" s="68"/>
      <c r="O1" s="72"/>
      <c r="AC1" s="72"/>
    </row>
    <row r="2" spans="1:29" s="28" customFormat="1" x14ac:dyDescent="0.35">
      <c r="B2" s="298"/>
      <c r="C2" s="298"/>
      <c r="D2" s="27"/>
      <c r="F2" s="27"/>
      <c r="G2" s="27"/>
      <c r="H2" s="27"/>
      <c r="I2" s="27"/>
      <c r="J2" s="27"/>
      <c r="K2" s="75"/>
      <c r="L2" s="249"/>
      <c r="M2" s="101"/>
      <c r="N2" s="27"/>
      <c r="O2" s="27"/>
      <c r="P2" s="27"/>
      <c r="Q2" s="29"/>
      <c r="R2" s="29"/>
      <c r="S2" s="29"/>
      <c r="U2" s="30"/>
      <c r="V2" s="108"/>
      <c r="X2" s="30"/>
      <c r="Y2" s="108"/>
      <c r="Z2" s="108"/>
      <c r="AA2" s="30"/>
      <c r="AB2" s="30"/>
      <c r="AC2" s="27"/>
    </row>
    <row r="3" spans="1:29" s="28" customFormat="1" ht="17.5" x14ac:dyDescent="0.35">
      <c r="C3" s="27"/>
      <c r="D3" s="27"/>
      <c r="E3" s="299" t="s">
        <v>66</v>
      </c>
      <c r="F3" s="299"/>
      <c r="G3" s="299"/>
      <c r="H3" s="299"/>
      <c r="I3" s="299"/>
      <c r="J3" s="299"/>
      <c r="K3" s="299"/>
      <c r="L3" s="299"/>
      <c r="M3" s="102"/>
      <c r="N3" s="66" t="s">
        <v>440</v>
      </c>
      <c r="O3" s="31" t="s">
        <v>67</v>
      </c>
      <c r="P3" s="32">
        <v>2025</v>
      </c>
      <c r="Q3" s="30"/>
      <c r="R3" s="106"/>
      <c r="S3" s="29"/>
      <c r="T3"/>
      <c r="U3" s="100"/>
      <c r="V3" s="108"/>
      <c r="X3" s="30"/>
      <c r="Y3" s="108"/>
      <c r="Z3" s="108"/>
      <c r="AA3" s="30"/>
      <c r="AB3" s="30"/>
    </row>
    <row r="4" spans="1:29" s="28" customFormat="1" ht="17.5" x14ac:dyDescent="0.35">
      <c r="C4" s="27"/>
      <c r="D4" s="27"/>
      <c r="E4" s="299" t="s">
        <v>455</v>
      </c>
      <c r="F4" s="299"/>
      <c r="G4" s="299"/>
      <c r="H4" s="299"/>
      <c r="I4" s="299"/>
      <c r="J4" s="299"/>
      <c r="K4" s="299"/>
      <c r="L4" s="299"/>
      <c r="M4" s="297" t="s">
        <v>299</v>
      </c>
      <c r="N4" s="297"/>
      <c r="O4" s="297"/>
      <c r="P4" s="96">
        <f>IFERROR(SUMIF($C$12:$C$1340,"8126-Fortalecimiento institucional de la UAECOB para un gobierno confiable Bogotá D.C.",$L$12:$L$1565),0)</f>
        <v>21893051000</v>
      </c>
      <c r="Q4" s="30"/>
      <c r="R4" s="74" t="s">
        <v>302</v>
      </c>
      <c r="S4" s="95">
        <f>IFERROR(SUMIF($C$12:$C$1099,"131- Funcionamiento",$L$12:$L$1099),0)</f>
        <v>21473826999</v>
      </c>
      <c r="T4" s="100">
        <v>21893051000</v>
      </c>
      <c r="U4" s="100"/>
      <c r="V4" s="128">
        <f>P4-T4</f>
        <v>0</v>
      </c>
      <c r="X4" s="30"/>
      <c r="Y4" s="108"/>
      <c r="Z4" s="108"/>
      <c r="AA4" s="30"/>
      <c r="AB4" s="30"/>
    </row>
    <row r="5" spans="1:29" s="28" customFormat="1" ht="17.5" x14ac:dyDescent="0.35">
      <c r="A5" s="28" t="s">
        <v>903</v>
      </c>
      <c r="B5" s="34"/>
      <c r="C5" s="35"/>
      <c r="D5" s="35"/>
      <c r="E5" s="299" t="s">
        <v>1370</v>
      </c>
      <c r="F5" s="299"/>
      <c r="G5" s="299"/>
      <c r="H5" s="299"/>
      <c r="I5" s="299"/>
      <c r="J5" s="299"/>
      <c r="K5" s="299"/>
      <c r="L5" s="299"/>
      <c r="M5" s="297" t="s">
        <v>300</v>
      </c>
      <c r="N5" s="297"/>
      <c r="O5" s="297"/>
      <c r="P5" s="96">
        <f>IFERROR(SUMIF($C$12:$C$2060,"8173-Modernización de las capacidades del Cuerpo Oficial de Bomberos Bogotá D.C.",$L$12:$L$2060),0)</f>
        <v>46234376000</v>
      </c>
      <c r="Q5" s="30"/>
      <c r="R5" s="30"/>
      <c r="S5" s="33"/>
      <c r="T5" s="100">
        <v>46234376000</v>
      </c>
      <c r="U5" s="100"/>
      <c r="V5" s="128">
        <f>P5-T5</f>
        <v>0</v>
      </c>
      <c r="X5" s="30"/>
      <c r="Y5" s="108"/>
      <c r="Z5" s="108"/>
      <c r="AA5" s="30"/>
      <c r="AB5" s="30"/>
    </row>
    <row r="6" spans="1:29" s="28" customFormat="1" ht="17.5" x14ac:dyDescent="0.35">
      <c r="B6" s="154"/>
      <c r="C6" s="35"/>
      <c r="D6" s="35"/>
      <c r="E6" s="155"/>
      <c r="F6" s="155"/>
      <c r="G6" s="155"/>
      <c r="H6" s="155"/>
      <c r="I6" s="155"/>
      <c r="J6" s="155"/>
      <c r="K6" s="155"/>
      <c r="L6" s="250"/>
      <c r="M6" s="31"/>
      <c r="N6" s="31"/>
      <c r="O6" s="31"/>
      <c r="P6" s="156"/>
      <c r="Q6" s="30"/>
      <c r="R6" s="30"/>
      <c r="S6" s="33"/>
      <c r="T6" s="157"/>
      <c r="U6" s="157"/>
      <c r="V6" s="128"/>
      <c r="X6" s="30"/>
      <c r="Y6" s="108"/>
      <c r="Z6" s="108"/>
      <c r="AA6" s="30"/>
      <c r="AB6" s="30"/>
    </row>
    <row r="7" spans="1:29" s="28" customFormat="1" ht="14.5" x14ac:dyDescent="0.35">
      <c r="B7" s="34"/>
      <c r="C7" s="35"/>
      <c r="D7" s="35"/>
      <c r="E7" s="36"/>
      <c r="F7" s="35"/>
      <c r="G7" s="35"/>
      <c r="H7" s="35"/>
      <c r="I7" s="35"/>
      <c r="J7" s="37"/>
      <c r="K7" s="38"/>
      <c r="L7" s="251"/>
      <c r="M7" s="297" t="s">
        <v>301</v>
      </c>
      <c r="N7" s="297"/>
      <c r="O7" s="297"/>
      <c r="P7" s="35">
        <f>+P4+P5</f>
        <v>68127427000</v>
      </c>
      <c r="Q7" s="30"/>
      <c r="R7" s="74" t="s">
        <v>303</v>
      </c>
      <c r="S7" s="39">
        <f>+S4+P7</f>
        <v>89601253999</v>
      </c>
      <c r="T7" s="100"/>
      <c r="U7" s="100"/>
      <c r="V7" s="108"/>
      <c r="X7" s="30"/>
      <c r="Y7" s="108"/>
      <c r="Z7" s="108"/>
      <c r="AA7" s="30"/>
      <c r="AB7" s="30"/>
    </row>
    <row r="8" spans="1:29" s="28" customFormat="1" x14ac:dyDescent="0.35">
      <c r="B8" s="34"/>
      <c r="C8" s="35"/>
      <c r="D8" s="35"/>
      <c r="E8" s="36"/>
      <c r="F8" s="35"/>
      <c r="G8" s="35"/>
      <c r="H8" s="54"/>
      <c r="I8" s="35"/>
      <c r="J8" s="37"/>
      <c r="K8" s="38"/>
      <c r="L8" s="251"/>
      <c r="M8" s="103"/>
      <c r="O8" s="67" t="s">
        <v>78</v>
      </c>
      <c r="P8" s="99">
        <v>45952</v>
      </c>
      <c r="Q8" s="42"/>
      <c r="R8" s="65"/>
      <c r="S8" s="29"/>
      <c r="T8" s="105"/>
      <c r="U8" s="30"/>
      <c r="V8" s="108"/>
      <c r="X8" s="30"/>
      <c r="Y8" s="108"/>
      <c r="Z8" s="108"/>
      <c r="AA8" s="30"/>
      <c r="AB8" s="30"/>
    </row>
    <row r="9" spans="1:29" s="28" customFormat="1" x14ac:dyDescent="0.35">
      <c r="B9" s="34"/>
      <c r="C9" s="35"/>
      <c r="D9" s="35"/>
      <c r="E9" s="36"/>
      <c r="F9" s="35"/>
      <c r="G9" s="35"/>
      <c r="H9" s="54"/>
      <c r="I9" s="35"/>
      <c r="J9" s="37"/>
      <c r="K9" s="38"/>
      <c r="L9" s="251"/>
      <c r="M9" s="103"/>
      <c r="N9" s="105"/>
      <c r="P9" s="40"/>
      <c r="Q9" s="41"/>
      <c r="R9" s="41"/>
      <c r="S9" s="29"/>
      <c r="U9" s="30"/>
      <c r="V9" s="108"/>
      <c r="X9" s="30"/>
      <c r="Y9" s="108"/>
      <c r="Z9" s="108"/>
      <c r="AA9" s="30"/>
      <c r="AB9" s="30"/>
      <c r="AC9" s="35"/>
    </row>
    <row r="10" spans="1:29" s="28" customFormat="1" x14ac:dyDescent="0.35">
      <c r="B10" s="34"/>
      <c r="C10" s="43"/>
      <c r="D10" s="44"/>
      <c r="E10" s="26"/>
      <c r="I10" s="45"/>
      <c r="J10" s="46"/>
      <c r="K10" s="76"/>
      <c r="L10" s="252"/>
      <c r="M10" s="104"/>
      <c r="P10" s="47"/>
      <c r="Q10" s="48"/>
      <c r="R10" s="48"/>
      <c r="S10" s="48"/>
      <c r="T10" s="49"/>
      <c r="U10" s="30"/>
      <c r="V10" s="108"/>
      <c r="X10" s="30"/>
      <c r="Y10" s="108"/>
      <c r="Z10" s="108"/>
      <c r="AA10" s="30"/>
      <c r="AB10" s="30"/>
    </row>
    <row r="11" spans="1:29" s="124" customFormat="1" ht="42" x14ac:dyDescent="0.35">
      <c r="B11" s="113" t="s">
        <v>68</v>
      </c>
      <c r="C11" s="114" t="s">
        <v>296</v>
      </c>
      <c r="D11" s="115" t="s">
        <v>74</v>
      </c>
      <c r="E11" s="116" t="s">
        <v>75</v>
      </c>
      <c r="F11" s="117" t="s">
        <v>69</v>
      </c>
      <c r="G11" s="117" t="s">
        <v>82</v>
      </c>
      <c r="H11" s="116" t="s">
        <v>1</v>
      </c>
      <c r="I11" s="118" t="s">
        <v>72</v>
      </c>
      <c r="J11" s="118" t="s">
        <v>73</v>
      </c>
      <c r="K11" s="119" t="s">
        <v>368</v>
      </c>
      <c r="L11" s="115" t="s">
        <v>70</v>
      </c>
      <c r="M11" s="120" t="s">
        <v>71</v>
      </c>
      <c r="N11" s="119" t="s">
        <v>76</v>
      </c>
      <c r="O11" s="116" t="s">
        <v>2</v>
      </c>
      <c r="P11" s="121" t="s">
        <v>195</v>
      </c>
      <c r="Q11" s="121" t="s">
        <v>196</v>
      </c>
      <c r="R11" s="121" t="s">
        <v>174</v>
      </c>
      <c r="S11" s="114" t="s">
        <v>79</v>
      </c>
      <c r="T11" s="121" t="s">
        <v>80</v>
      </c>
      <c r="U11" s="122" t="s">
        <v>298</v>
      </c>
      <c r="V11" s="114" t="s">
        <v>81</v>
      </c>
      <c r="W11" s="121" t="s">
        <v>244</v>
      </c>
      <c r="X11" s="122" t="s">
        <v>275</v>
      </c>
      <c r="Y11" s="122" t="s">
        <v>297</v>
      </c>
      <c r="Z11" s="121" t="s">
        <v>206</v>
      </c>
      <c r="AA11" s="121" t="s">
        <v>231</v>
      </c>
      <c r="AB11" s="119" t="s">
        <v>84</v>
      </c>
      <c r="AC11" s="123" t="s">
        <v>77</v>
      </c>
    </row>
    <row r="12" spans="1:29" s="28" customFormat="1" ht="56" x14ac:dyDescent="0.35">
      <c r="B12" s="258">
        <v>20250142</v>
      </c>
      <c r="C12" s="259" t="s">
        <v>209</v>
      </c>
      <c r="D12" s="260" t="s">
        <v>165</v>
      </c>
      <c r="E12" s="255" t="s">
        <v>484</v>
      </c>
      <c r="F12" s="260" t="s">
        <v>859</v>
      </c>
      <c r="G12" s="260" t="s">
        <v>96</v>
      </c>
      <c r="H12" s="261" t="s">
        <v>486</v>
      </c>
      <c r="I12" s="262">
        <v>9</v>
      </c>
      <c r="J12" s="262">
        <v>4</v>
      </c>
      <c r="K12" s="263">
        <v>0</v>
      </c>
      <c r="L12" s="264">
        <v>187868635</v>
      </c>
      <c r="M12" s="260" t="s">
        <v>464</v>
      </c>
      <c r="N12" s="264" t="s">
        <v>90</v>
      </c>
      <c r="O12" s="255" t="s">
        <v>229</v>
      </c>
      <c r="P12" s="256" t="str">
        <f>IFERROR(VLOOKUP(C12,TD!$B$33:$F$37,2,0)," ")</f>
        <v>O230117</v>
      </c>
      <c r="Q12" s="256" t="str">
        <f>IFERROR(VLOOKUP(C12,TD!$B$33:$F$37,3,0)," ")</f>
        <v>4503</v>
      </c>
      <c r="R12" s="256">
        <f>IFERROR(VLOOKUP(C12,TD!$B$33:$F$37,4,0)," ")</f>
        <v>20240255</v>
      </c>
      <c r="S12" s="255" t="s">
        <v>183</v>
      </c>
      <c r="T12" s="256" t="str">
        <f>IFERROR(VLOOKUP(S12,TD!$J$34:$K$44,2,0)," ")</f>
        <v>Servicio de formación en gestión del riesgo de incendios para el personal UAECOB</v>
      </c>
      <c r="U12" s="187" t="str">
        <f>CONCATENATE(S12,"-",T12)</f>
        <v>07-Servicio de formación en gestión del riesgo de incendios para el personal UAECOB</v>
      </c>
      <c r="V12" s="255" t="s">
        <v>233</v>
      </c>
      <c r="W12" s="256" t="str">
        <f>IFERROR(VLOOKUP(V12,TD!$N$34:$O$46,2,0)," ")</f>
        <v>Servicio de educación informal</v>
      </c>
      <c r="X12" s="187" t="str">
        <f>CONCATENATE(V12,"_",W12)</f>
        <v>002_Servicio de educación informal</v>
      </c>
      <c r="Y12" s="187" t="str">
        <f>CONCATENATE(U12," ",X12)</f>
        <v>07-Servicio de formación en gestión del riesgo de incendios para el personal UAECOB 002_Servicio de educación informal</v>
      </c>
      <c r="Z12" s="256" t="str">
        <f>CONCATENATE(P12,Q12,R12,S12,V12)</f>
        <v>O23011745032024025507002</v>
      </c>
      <c r="AA12" s="256" t="str">
        <f>IFERROR(VLOOKUP(Y12,TD!$K$47:$L$65,2,0)," ")</f>
        <v>PM/0131/0107/45030020255</v>
      </c>
      <c r="AB12" s="265" t="s">
        <v>138</v>
      </c>
      <c r="AC12" s="266" t="s">
        <v>204</v>
      </c>
    </row>
    <row r="13" spans="1:29" s="28" customFormat="1" ht="56" x14ac:dyDescent="0.35">
      <c r="B13" s="267">
        <v>20250150</v>
      </c>
      <c r="C13" s="268" t="s">
        <v>209</v>
      </c>
      <c r="D13" s="269" t="s">
        <v>165</v>
      </c>
      <c r="E13" s="254" t="s">
        <v>484</v>
      </c>
      <c r="F13" s="269" t="s">
        <v>391</v>
      </c>
      <c r="G13" s="269" t="s">
        <v>96</v>
      </c>
      <c r="H13" s="270">
        <v>90121800</v>
      </c>
      <c r="I13" s="271">
        <v>2</v>
      </c>
      <c r="J13" s="271">
        <v>11</v>
      </c>
      <c r="K13" s="272">
        <v>0</v>
      </c>
      <c r="L13" s="265">
        <v>100000000</v>
      </c>
      <c r="M13" s="269" t="s">
        <v>464</v>
      </c>
      <c r="N13" s="265" t="s">
        <v>113</v>
      </c>
      <c r="O13" s="254" t="s">
        <v>229</v>
      </c>
      <c r="P13" s="273" t="str">
        <f>IFERROR(VLOOKUP(C13,TD!$B$33:$F$37,2,0)," ")</f>
        <v>O230117</v>
      </c>
      <c r="Q13" s="273" t="str">
        <f>IFERROR(VLOOKUP(C13,TD!$B$33:$F$37,3,0)," ")</f>
        <v>4503</v>
      </c>
      <c r="R13" s="273">
        <f>IFERROR(VLOOKUP(C13,TD!$B$33:$F$37,4,0)," ")</f>
        <v>20240255</v>
      </c>
      <c r="S13" s="254" t="s">
        <v>183</v>
      </c>
      <c r="T13" s="273" t="str">
        <f>IFERROR(VLOOKUP(S13,TD!$J$34:$K$44,2,0)," ")</f>
        <v>Servicio de formación en gestión del riesgo de incendios para el personal UAECOB</v>
      </c>
      <c r="U13" s="187" t="str">
        <f>CONCATENATE(S13,"-",T13)</f>
        <v>07-Servicio de formación en gestión del riesgo de incendios para el personal UAECOB</v>
      </c>
      <c r="V13" s="254" t="s">
        <v>233</v>
      </c>
      <c r="W13" s="273" t="str">
        <f>IFERROR(VLOOKUP(V13,TD!$N$34:$O$46,2,0)," ")</f>
        <v>Servicio de educación informal</v>
      </c>
      <c r="X13" s="187" t="str">
        <f>CONCATENATE(V13,"_",W13)</f>
        <v>002_Servicio de educación informal</v>
      </c>
      <c r="Y13" s="187" t="str">
        <f>CONCATENATE(U13," ",X13)</f>
        <v>07-Servicio de formación en gestión del riesgo de incendios para el personal UAECOB 002_Servicio de educación informal</v>
      </c>
      <c r="Z13" s="273" t="str">
        <f>CONCATENATE(P13,Q13,R13,S13,V13)</f>
        <v>O23011745032024025507002</v>
      </c>
      <c r="AA13" s="273" t="str">
        <f>IFERROR(VLOOKUP(Y13,TD!$K$47:$L$65,2,0)," ")</f>
        <v>PM/0131/0107/45030020255</v>
      </c>
      <c r="AB13" s="265" t="s">
        <v>138</v>
      </c>
      <c r="AC13" s="274" t="s">
        <v>204</v>
      </c>
    </row>
    <row r="14" spans="1:29" s="28" customFormat="1" ht="56" x14ac:dyDescent="0.35">
      <c r="B14" s="258">
        <v>20250151</v>
      </c>
      <c r="C14" s="259" t="s">
        <v>209</v>
      </c>
      <c r="D14" s="260" t="s">
        <v>165</v>
      </c>
      <c r="E14" s="255" t="s">
        <v>484</v>
      </c>
      <c r="F14" s="260" t="s">
        <v>390</v>
      </c>
      <c r="G14" s="260" t="s">
        <v>96</v>
      </c>
      <c r="H14" s="261">
        <v>90121800</v>
      </c>
      <c r="I14" s="262">
        <v>2</v>
      </c>
      <c r="J14" s="262">
        <v>11</v>
      </c>
      <c r="K14" s="263">
        <v>0</v>
      </c>
      <c r="L14" s="264">
        <f>238000000+80534718</f>
        <v>318534718</v>
      </c>
      <c r="M14" s="260" t="s">
        <v>464</v>
      </c>
      <c r="N14" s="264" t="s">
        <v>113</v>
      </c>
      <c r="O14" s="255" t="s">
        <v>229</v>
      </c>
      <c r="P14" s="256" t="str">
        <f>IFERROR(VLOOKUP(C14,TD!$B$33:$F$37,2,0)," ")</f>
        <v>O230117</v>
      </c>
      <c r="Q14" s="256" t="str">
        <f>IFERROR(VLOOKUP(C14,TD!$B$33:$F$37,3,0)," ")</f>
        <v>4503</v>
      </c>
      <c r="R14" s="256">
        <f>IFERROR(VLOOKUP(C14,TD!$B$33:$F$37,4,0)," ")</f>
        <v>20240255</v>
      </c>
      <c r="S14" s="255" t="s">
        <v>183</v>
      </c>
      <c r="T14" s="256" t="str">
        <f>IFERROR(VLOOKUP(S14,TD!$J$34:$K$44,2,0)," ")</f>
        <v>Servicio de formación en gestión del riesgo de incendios para el personal UAECOB</v>
      </c>
      <c r="U14" s="187" t="str">
        <f>CONCATENATE(S14,"-",T14)</f>
        <v>07-Servicio de formación en gestión del riesgo de incendios para el personal UAECOB</v>
      </c>
      <c r="V14" s="255" t="s">
        <v>233</v>
      </c>
      <c r="W14" s="256" t="str">
        <f>IFERROR(VLOOKUP(V14,TD!$N$34:$O$46,2,0)," ")</f>
        <v>Servicio de educación informal</v>
      </c>
      <c r="X14" s="187" t="str">
        <f>CONCATENATE(V14,"_",W14)</f>
        <v>002_Servicio de educación informal</v>
      </c>
      <c r="Y14" s="187" t="str">
        <f>CONCATENATE(U14," ",X14)</f>
        <v>07-Servicio de formación en gestión del riesgo de incendios para el personal UAECOB 002_Servicio de educación informal</v>
      </c>
      <c r="Z14" s="256" t="str">
        <f>CONCATENATE(P14,Q14,R14,S14,V14)</f>
        <v>O23011745032024025507002</v>
      </c>
      <c r="AA14" s="256" t="str">
        <f>IFERROR(VLOOKUP(Y14,TD!$K$47:$L$65,2,0)," ")</f>
        <v>PM/0131/0107/45030020255</v>
      </c>
      <c r="AB14" s="264" t="s">
        <v>138</v>
      </c>
      <c r="AC14" s="266" t="s">
        <v>204</v>
      </c>
    </row>
    <row r="15" spans="1:29" s="28" customFormat="1" ht="56" x14ac:dyDescent="0.35">
      <c r="B15" s="267">
        <v>20250195</v>
      </c>
      <c r="C15" s="268" t="s">
        <v>209</v>
      </c>
      <c r="D15" s="269" t="s">
        <v>168</v>
      </c>
      <c r="E15" s="254" t="s">
        <v>603</v>
      </c>
      <c r="F15" s="269" t="s">
        <v>751</v>
      </c>
      <c r="G15" s="269" t="s">
        <v>155</v>
      </c>
      <c r="H15" s="270">
        <v>80111600</v>
      </c>
      <c r="I15" s="271">
        <v>2</v>
      </c>
      <c r="J15" s="271">
        <v>10</v>
      </c>
      <c r="K15" s="272">
        <v>0</v>
      </c>
      <c r="L15" s="265">
        <v>22940000</v>
      </c>
      <c r="M15" s="269" t="s">
        <v>464</v>
      </c>
      <c r="N15" s="265" t="s">
        <v>113</v>
      </c>
      <c r="O15" s="254" t="s">
        <v>224</v>
      </c>
      <c r="P15" s="273" t="str">
        <f>IFERROR(VLOOKUP(C15,TD!$B$33:$F$37,2,0)," ")</f>
        <v>O230117</v>
      </c>
      <c r="Q15" s="273" t="str">
        <f>IFERROR(VLOOKUP(C15,TD!$B$33:$F$37,3,0)," ")</f>
        <v>4503</v>
      </c>
      <c r="R15" s="273">
        <f>IFERROR(VLOOKUP(C15,TD!$B$33:$F$37,4,0)," ")</f>
        <v>20240255</v>
      </c>
      <c r="S15" s="254" t="s">
        <v>191</v>
      </c>
      <c r="T15" s="273" t="str">
        <f>IFERROR(VLOOKUP(S15,TD!$J$34:$K$44,2,0)," ")</f>
        <v>Servicio de apoyo   logístico  en eventos operativos y/o emergencias.</v>
      </c>
      <c r="U15" s="187" t="str">
        <f>CONCATENATE(S15,"-",T15)</f>
        <v>12-Servicio de apoyo   logístico  en eventos operativos y/o emergencias.</v>
      </c>
      <c r="V15" s="254" t="s">
        <v>232</v>
      </c>
      <c r="W15" s="273" t="str">
        <f>IFERROR(VLOOKUP(V15,TD!$N$34:$O$46,2,0)," ")</f>
        <v>Servicio de atención a emergencias y desastres</v>
      </c>
      <c r="X15" s="187" t="str">
        <f>CONCATENATE(V15,"_",W15)</f>
        <v>004_Servicio de atención a emergencias y desastres</v>
      </c>
      <c r="Y15" s="187" t="str">
        <f>CONCATENATE(U15," ",X15)</f>
        <v>12-Servicio de apoyo   logístico  en eventos operativos y/o emergencias. 004_Servicio de atención a emergencias y desastres</v>
      </c>
      <c r="Z15" s="273" t="str">
        <f>CONCATENATE(P15,Q15,R15,S15,V15)</f>
        <v>O23011745032024025512004</v>
      </c>
      <c r="AA15" s="273" t="str">
        <f>IFERROR(VLOOKUP(Y15,TD!$K$47:$L$65,2,0)," ")</f>
        <v>PM/0131/0112/45030040255</v>
      </c>
      <c r="AB15" s="265" t="s">
        <v>120</v>
      </c>
      <c r="AC15" s="274" t="s">
        <v>204</v>
      </c>
    </row>
    <row r="16" spans="1:29" s="28" customFormat="1" ht="56" x14ac:dyDescent="0.35">
      <c r="B16" s="267">
        <v>20250211</v>
      </c>
      <c r="C16" s="268" t="s">
        <v>209</v>
      </c>
      <c r="D16" s="269" t="s">
        <v>168</v>
      </c>
      <c r="E16" s="254" t="s">
        <v>603</v>
      </c>
      <c r="F16" s="269" t="s">
        <v>745</v>
      </c>
      <c r="G16" s="269" t="s">
        <v>156</v>
      </c>
      <c r="H16" s="270">
        <v>80111600</v>
      </c>
      <c r="I16" s="271">
        <v>2</v>
      </c>
      <c r="J16" s="271">
        <v>10</v>
      </c>
      <c r="K16" s="272">
        <v>0</v>
      </c>
      <c r="L16" s="265">
        <v>15633333</v>
      </c>
      <c r="M16" s="269" t="s">
        <v>464</v>
      </c>
      <c r="N16" s="265" t="s">
        <v>113</v>
      </c>
      <c r="O16" s="254" t="s">
        <v>224</v>
      </c>
      <c r="P16" s="273" t="str">
        <f>IFERROR(VLOOKUP(C16,TD!$B$33:$F$37,2,0)," ")</f>
        <v>O230117</v>
      </c>
      <c r="Q16" s="273" t="str">
        <f>IFERROR(VLOOKUP(C16,TD!$B$33:$F$37,3,0)," ")</f>
        <v>4503</v>
      </c>
      <c r="R16" s="273">
        <f>IFERROR(VLOOKUP(C16,TD!$B$33:$F$37,4,0)," ")</f>
        <v>20240255</v>
      </c>
      <c r="S16" s="254" t="s">
        <v>191</v>
      </c>
      <c r="T16" s="273" t="str">
        <f>IFERROR(VLOOKUP(S16,TD!$J$34:$K$44,2,0)," ")</f>
        <v>Servicio de apoyo   logístico  en eventos operativos y/o emergencias.</v>
      </c>
      <c r="U16" s="187" t="str">
        <f>CONCATENATE(S16,"-",T16)</f>
        <v>12-Servicio de apoyo   logístico  en eventos operativos y/o emergencias.</v>
      </c>
      <c r="V16" s="254" t="s">
        <v>232</v>
      </c>
      <c r="W16" s="273" t="str">
        <f>IFERROR(VLOOKUP(V16,TD!$N$34:$O$46,2,0)," ")</f>
        <v>Servicio de atención a emergencias y desastres</v>
      </c>
      <c r="X16" s="187" t="str">
        <f>CONCATENATE(V16,"_",W16)</f>
        <v>004_Servicio de atención a emergencias y desastres</v>
      </c>
      <c r="Y16" s="187" t="str">
        <f>CONCATENATE(U16," ",X16)</f>
        <v>12-Servicio de apoyo   logístico  en eventos operativos y/o emergencias. 004_Servicio de atención a emergencias y desastres</v>
      </c>
      <c r="Z16" s="273" t="str">
        <f>CONCATENATE(P16,Q16,R16,S16,V16)</f>
        <v>O23011745032024025512004</v>
      </c>
      <c r="AA16" s="273" t="str">
        <f>IFERROR(VLOOKUP(Y16,TD!$K$47:$L$65,2,0)," ")</f>
        <v>PM/0131/0112/45030040255</v>
      </c>
      <c r="AB16" s="265" t="s">
        <v>138</v>
      </c>
      <c r="AC16" s="274" t="s">
        <v>204</v>
      </c>
    </row>
    <row r="17" spans="2:29" s="28" customFormat="1" ht="70" x14ac:dyDescent="0.35">
      <c r="B17" s="258">
        <v>20250630</v>
      </c>
      <c r="C17" s="259" t="s">
        <v>209</v>
      </c>
      <c r="D17" s="260" t="s">
        <v>169</v>
      </c>
      <c r="E17" s="255" t="s">
        <v>465</v>
      </c>
      <c r="F17" s="260" t="s">
        <v>827</v>
      </c>
      <c r="G17" s="260" t="s">
        <v>155</v>
      </c>
      <c r="H17" s="261">
        <v>80111600</v>
      </c>
      <c r="I17" s="262">
        <v>2</v>
      </c>
      <c r="J17" s="262">
        <v>10</v>
      </c>
      <c r="K17" s="263">
        <v>0</v>
      </c>
      <c r="L17" s="264">
        <v>33333333</v>
      </c>
      <c r="M17" s="260" t="s">
        <v>464</v>
      </c>
      <c r="N17" s="264" t="s">
        <v>113</v>
      </c>
      <c r="O17" s="255" t="s">
        <v>222</v>
      </c>
      <c r="P17" s="256" t="str">
        <f>IFERROR(VLOOKUP(C17,TD!$B$33:$F$37,2,0)," ")</f>
        <v>O230117</v>
      </c>
      <c r="Q17" s="256" t="str">
        <f>IFERROR(VLOOKUP(C17,TD!$B$33:$F$37,3,0)," ")</f>
        <v>4503</v>
      </c>
      <c r="R17" s="256">
        <f>IFERROR(VLOOKUP(C17,TD!$B$33:$F$37,4,0)," ")</f>
        <v>20240255</v>
      </c>
      <c r="S17" s="255" t="s">
        <v>175</v>
      </c>
      <c r="T17" s="256" t="str">
        <f>IFERROR(VLOOKUP(S17,TD!$J$34:$K$44,2,0)," ")</f>
        <v>Servicio de atención a incidentes y emergencias.</v>
      </c>
      <c r="U17" s="187" t="str">
        <f>CONCATENATE(S17,"-",T17)</f>
        <v>04-Servicio de atención a incidentes y emergencias.</v>
      </c>
      <c r="V17" s="255" t="s">
        <v>232</v>
      </c>
      <c r="W17" s="256" t="str">
        <f>IFERROR(VLOOKUP(V17,TD!$N$34:$O$46,2,0)," ")</f>
        <v>Servicio de atención a emergencias y desastres</v>
      </c>
      <c r="X17" s="187" t="str">
        <f>CONCATENATE(V17,"_",W17)</f>
        <v>004_Servicio de atención a emergencias y desastres</v>
      </c>
      <c r="Y17" s="187" t="str">
        <f>CONCATENATE(U17," ",X17)</f>
        <v>04-Servicio de atención a incidentes y emergencias. 004_Servicio de atención a emergencias y desastres</v>
      </c>
      <c r="Z17" s="256" t="str">
        <f>CONCATENATE(P17,Q17,R17,S17,V17)</f>
        <v>O23011745032024025504004</v>
      </c>
      <c r="AA17" s="256" t="str">
        <f>IFERROR(VLOOKUP(Y17,TD!$K$47:$L$65,2,0)," ")</f>
        <v>PM/0131/0104/45030040255</v>
      </c>
      <c r="AB17" s="264" t="s">
        <v>138</v>
      </c>
      <c r="AC17" s="266" t="s">
        <v>204</v>
      </c>
    </row>
    <row r="18" spans="2:29" s="28" customFormat="1" ht="56" x14ac:dyDescent="0.35">
      <c r="B18" s="258">
        <v>20250646</v>
      </c>
      <c r="C18" s="259" t="s">
        <v>208</v>
      </c>
      <c r="D18" s="260" t="s">
        <v>166</v>
      </c>
      <c r="E18" s="255" t="s">
        <v>558</v>
      </c>
      <c r="F18" s="259" t="s">
        <v>1365</v>
      </c>
      <c r="G18" s="260" t="s">
        <v>96</v>
      </c>
      <c r="H18" s="261" t="s">
        <v>846</v>
      </c>
      <c r="I18" s="262">
        <v>10</v>
      </c>
      <c r="J18" s="262">
        <v>3</v>
      </c>
      <c r="K18" s="263">
        <v>0</v>
      </c>
      <c r="L18" s="264">
        <v>7000000</v>
      </c>
      <c r="M18" s="260" t="s">
        <v>464</v>
      </c>
      <c r="N18" s="264" t="s">
        <v>100</v>
      </c>
      <c r="O18" s="255" t="s">
        <v>218</v>
      </c>
      <c r="P18" s="256" t="str">
        <f>IFERROR(VLOOKUP(C18,TD!$B$33:$F$37,2,0)," ")</f>
        <v>O230117</v>
      </c>
      <c r="Q18" s="256" t="str">
        <f>IFERROR(VLOOKUP(C18,TD!$B$33:$F$37,3,0)," ")</f>
        <v>4599</v>
      </c>
      <c r="R18" s="256">
        <f>IFERROR(VLOOKUP(C18,TD!$B$33:$F$37,4,0)," ")</f>
        <v>20240207</v>
      </c>
      <c r="S18" s="255" t="s">
        <v>185</v>
      </c>
      <c r="T18" s="256" t="str">
        <f>IFERROR(VLOOKUP(S18,TD!$J$34:$K$44,2,0)," ")</f>
        <v>Infraestructura física, mantenimiento y dotación (Sedes construidas, mantenidas reforzadas)</v>
      </c>
      <c r="U18" s="187" t="str">
        <f>CONCATENATE(S18,"-",T18)</f>
        <v>08-Infraestructura física, mantenimiento y dotación (Sedes construidas, mantenidas reforzadas)</v>
      </c>
      <c r="V18" s="255" t="s">
        <v>238</v>
      </c>
      <c r="W18" s="256" t="str">
        <f>IFERROR(VLOOKUP(V18,TD!$N$34:$O$46,2,0)," ")</f>
        <v>Sedes mantenidas</v>
      </c>
      <c r="X18" s="187" t="str">
        <f>CONCATENATE(V18,"_",W18)</f>
        <v>016_Sedes mantenidas</v>
      </c>
      <c r="Y18" s="187" t="str">
        <f>CONCATENATE(U18," ",X18)</f>
        <v>08-Infraestructura física, mantenimiento y dotación (Sedes construidas, mantenidas reforzadas) 016_Sedes mantenidas</v>
      </c>
      <c r="Z18" s="256" t="str">
        <f>CONCATENATE(P18,Q18,R18,S18,V18)</f>
        <v>O23011745992024020708016</v>
      </c>
      <c r="AA18" s="256" t="str">
        <f>IFERROR(VLOOKUP(Y18,TD!$K$47:$L$65,2,0)," ")</f>
        <v>PM/0131/0108/45990160207</v>
      </c>
      <c r="AB18" s="264" t="s">
        <v>138</v>
      </c>
      <c r="AC18" s="266" t="s">
        <v>204</v>
      </c>
    </row>
    <row r="19" spans="2:29" s="28" customFormat="1" ht="126" x14ac:dyDescent="0.35">
      <c r="B19" s="267">
        <v>20250655</v>
      </c>
      <c r="C19" s="268" t="s">
        <v>346</v>
      </c>
      <c r="D19" s="269" t="s">
        <v>165</v>
      </c>
      <c r="E19" s="254" t="s">
        <v>484</v>
      </c>
      <c r="F19" s="269" t="s">
        <v>1352</v>
      </c>
      <c r="G19" s="269" t="s">
        <v>109</v>
      </c>
      <c r="H19" s="270" t="s">
        <v>1353</v>
      </c>
      <c r="I19" s="271">
        <v>11</v>
      </c>
      <c r="J19" s="271">
        <v>3</v>
      </c>
      <c r="K19" s="272">
        <v>0</v>
      </c>
      <c r="L19" s="265">
        <f>50000000</f>
        <v>50000000</v>
      </c>
      <c r="M19" s="269" t="s">
        <v>172</v>
      </c>
      <c r="N19" s="265" t="s">
        <v>100</v>
      </c>
      <c r="O19" s="254" t="s">
        <v>347</v>
      </c>
      <c r="P19" s="273" t="str">
        <f>IFERROR(VLOOKUP(C19,TD!$B$33:$F$37,2,0)," ")</f>
        <v>NA</v>
      </c>
      <c r="Q19" s="273" t="str">
        <f>IFERROR(VLOOKUP(C19,TD!$B$33:$F$37,3,0)," ")</f>
        <v>NA</v>
      </c>
      <c r="R19" s="273" t="str">
        <f>IFERROR(VLOOKUP(C19,TD!$B$33:$F$37,4,0)," ")</f>
        <v>NA</v>
      </c>
      <c r="S19" s="254" t="s">
        <v>406</v>
      </c>
      <c r="T19" s="273" t="str">
        <f>IFERROR(VLOOKUP(S19,TD!$J$34:$K$44,2,0)," ")</f>
        <v>N/A</v>
      </c>
      <c r="U19" s="187" t="str">
        <f>CONCATENATE(S19,"-",T19)</f>
        <v>N/A-N/A</v>
      </c>
      <c r="V19" s="254" t="s">
        <v>406</v>
      </c>
      <c r="W19" s="273" t="str">
        <f>IFERROR(VLOOKUP(V19,TD!$N$34:$O$46,2,0)," ")</f>
        <v>N/A</v>
      </c>
      <c r="X19" s="187" t="str">
        <f>CONCATENATE(V19,"_",W19)</f>
        <v>N/A_N/A</v>
      </c>
      <c r="Y19" s="187" t="str">
        <f>CONCATENATE(U19," ",X19)</f>
        <v>N/A-N/A N/A_N/A</v>
      </c>
      <c r="Z19" s="273" t="str">
        <f>CONCATENATE(P19,Q19,R19,S19,V19)</f>
        <v>NANANAN/AN/A</v>
      </c>
      <c r="AA19" s="273" t="str">
        <f>IFERROR(VLOOKUP(Y19,TD!$K$47:$L$65,2,0)," ")</f>
        <v>N/A</v>
      </c>
      <c r="AB19" s="265" t="s">
        <v>348</v>
      </c>
      <c r="AC19" s="274" t="s">
        <v>204</v>
      </c>
    </row>
    <row r="20" spans="2:29" s="28" customFormat="1" ht="70" x14ac:dyDescent="0.35">
      <c r="B20" s="258">
        <v>20250673</v>
      </c>
      <c r="C20" s="259" t="s">
        <v>209</v>
      </c>
      <c r="D20" s="260" t="s">
        <v>169</v>
      </c>
      <c r="E20" s="255" t="s">
        <v>465</v>
      </c>
      <c r="F20" s="260" t="s">
        <v>1012</v>
      </c>
      <c r="G20" s="260" t="s">
        <v>155</v>
      </c>
      <c r="H20" s="261">
        <v>80111600</v>
      </c>
      <c r="I20" s="262">
        <v>4</v>
      </c>
      <c r="J20" s="262">
        <v>9</v>
      </c>
      <c r="K20" s="263">
        <v>0</v>
      </c>
      <c r="L20" s="264">
        <v>44324929</v>
      </c>
      <c r="M20" s="260" t="s">
        <v>464</v>
      </c>
      <c r="N20" s="264" t="s">
        <v>113</v>
      </c>
      <c r="O20" s="255" t="s">
        <v>222</v>
      </c>
      <c r="P20" s="256" t="str">
        <f>IFERROR(VLOOKUP(C20,TD!$B$33:$F$37,2,0)," ")</f>
        <v>O230117</v>
      </c>
      <c r="Q20" s="256" t="str">
        <f>IFERROR(VLOOKUP(C20,TD!$B$33:$F$37,3,0)," ")</f>
        <v>4503</v>
      </c>
      <c r="R20" s="256">
        <f>IFERROR(VLOOKUP(C20,TD!$B$33:$F$37,4,0)," ")</f>
        <v>20240255</v>
      </c>
      <c r="S20" s="255" t="s">
        <v>175</v>
      </c>
      <c r="T20" s="256" t="str">
        <f>IFERROR(VLOOKUP(S20,TD!$J$34:$K$44,2,0)," ")</f>
        <v>Servicio de atención a incidentes y emergencias.</v>
      </c>
      <c r="U20" s="187" t="str">
        <f>CONCATENATE(S20,"-",T20)</f>
        <v>04-Servicio de atención a incidentes y emergencias.</v>
      </c>
      <c r="V20" s="255" t="s">
        <v>232</v>
      </c>
      <c r="W20" s="256" t="str">
        <f>IFERROR(VLOOKUP(V20,TD!$N$34:$O$46,2,0)," ")</f>
        <v>Servicio de atención a emergencias y desastres</v>
      </c>
      <c r="X20" s="187" t="str">
        <f>CONCATENATE(V20,"_",W20)</f>
        <v>004_Servicio de atención a emergencias y desastres</v>
      </c>
      <c r="Y20" s="187" t="str">
        <f>CONCATENATE(U20," ",X20)</f>
        <v>04-Servicio de atención a incidentes y emergencias. 004_Servicio de atención a emergencias y desastres</v>
      </c>
      <c r="Z20" s="256" t="str">
        <f>CONCATENATE(P20,Q20,R20,S20,V20)</f>
        <v>O23011745032024025504004</v>
      </c>
      <c r="AA20" s="256" t="str">
        <f>IFERROR(VLOOKUP(Y20,TD!$K$47:$L$65,2,0)," ")</f>
        <v>PM/0131/0104/45030040255</v>
      </c>
      <c r="AB20" s="264" t="s">
        <v>138</v>
      </c>
      <c r="AC20" s="266" t="s">
        <v>204</v>
      </c>
    </row>
    <row r="21" spans="2:29" s="28" customFormat="1" ht="56" x14ac:dyDescent="0.35">
      <c r="B21" s="267">
        <v>20250688</v>
      </c>
      <c r="C21" s="268" t="s">
        <v>209</v>
      </c>
      <c r="D21" s="269" t="s">
        <v>167</v>
      </c>
      <c r="E21" s="254" t="s">
        <v>505</v>
      </c>
      <c r="F21" s="269" t="s">
        <v>897</v>
      </c>
      <c r="G21" s="269" t="s">
        <v>109</v>
      </c>
      <c r="H21" s="270" t="s">
        <v>1362</v>
      </c>
      <c r="I21" s="271">
        <v>5</v>
      </c>
      <c r="J21" s="271">
        <v>4</v>
      </c>
      <c r="K21" s="272">
        <v>0</v>
      </c>
      <c r="L21" s="265">
        <v>7165123</v>
      </c>
      <c r="M21" s="269" t="s">
        <v>464</v>
      </c>
      <c r="N21" s="265" t="s">
        <v>100</v>
      </c>
      <c r="O21" s="254" t="s">
        <v>221</v>
      </c>
      <c r="P21" s="273" t="str">
        <f>IFERROR(VLOOKUP(C21,TD!$B$33:$F$37,2,0)," ")</f>
        <v>O230117</v>
      </c>
      <c r="Q21" s="273" t="str">
        <f>IFERROR(VLOOKUP(C21,TD!$B$33:$F$37,3,0)," ")</f>
        <v>4503</v>
      </c>
      <c r="R21" s="273">
        <f>IFERROR(VLOOKUP(C21,TD!$B$33:$F$37,4,0)," ")</f>
        <v>20240255</v>
      </c>
      <c r="S21" s="254" t="s">
        <v>179</v>
      </c>
      <c r="T21" s="273" t="str">
        <f>IFERROR(VLOOKUP(S21,TD!$J$34:$K$44,2,0)," ")</f>
        <v>Infraestructura Tecnológica   (Sistemas de Información y Tecnologia)</v>
      </c>
      <c r="U21" s="187" t="str">
        <f>CONCATENATE(S21,"-",T21)</f>
        <v>11-Infraestructura Tecnológica   (Sistemas de Información y Tecnologia)</v>
      </c>
      <c r="V21" s="254" t="s">
        <v>235</v>
      </c>
      <c r="W21" s="273" t="str">
        <f>IFERROR(VLOOKUP(V21,TD!$N$34:$O$46,2,0)," ")</f>
        <v>"Servicio de monitoreo y seguimiento para la gestión del riesgo"</v>
      </c>
      <c r="X21" s="187" t="str">
        <f>CONCATENATE(V21,"_",W21)</f>
        <v>018_"Servicio de monitoreo y seguimiento para la gestión del riesgo"</v>
      </c>
      <c r="Y21" s="187" t="str">
        <f>CONCATENATE(U21," ",X21)</f>
        <v>11-Infraestructura Tecnológica   (Sistemas de Información y Tecnologia) 018_"Servicio de monitoreo y seguimiento para la gestión del riesgo"</v>
      </c>
      <c r="Z21" s="273" t="str">
        <f>CONCATENATE(P21,Q21,R21,S21,V21)</f>
        <v>O23011745032024025511018</v>
      </c>
      <c r="AA21" s="273" t="str">
        <f>IFERROR(VLOOKUP(Y21,TD!$K$47:$L$65,2,0)," ")</f>
        <v>PM/0131/0111/45030180255</v>
      </c>
      <c r="AB21" s="265" t="s">
        <v>138</v>
      </c>
      <c r="AC21" s="274" t="s">
        <v>204</v>
      </c>
    </row>
    <row r="22" spans="2:29" s="28" customFormat="1" ht="56" x14ac:dyDescent="0.35">
      <c r="B22" s="258">
        <v>20250699</v>
      </c>
      <c r="C22" s="259" t="s">
        <v>209</v>
      </c>
      <c r="D22" s="260" t="s">
        <v>165</v>
      </c>
      <c r="E22" s="255" t="s">
        <v>484</v>
      </c>
      <c r="F22" s="260" t="s">
        <v>961</v>
      </c>
      <c r="G22" s="260" t="s">
        <v>155</v>
      </c>
      <c r="H22" s="261">
        <v>80111600</v>
      </c>
      <c r="I22" s="262">
        <v>5</v>
      </c>
      <c r="J22" s="262">
        <v>4</v>
      </c>
      <c r="K22" s="263">
        <v>0</v>
      </c>
      <c r="L22" s="264">
        <v>15483000</v>
      </c>
      <c r="M22" s="260" t="s">
        <v>464</v>
      </c>
      <c r="N22" s="264" t="s">
        <v>113</v>
      </c>
      <c r="O22" s="255" t="s">
        <v>229</v>
      </c>
      <c r="P22" s="256" t="str">
        <f>IFERROR(VLOOKUP(C22,TD!$B$33:$F$37,2,0)," ")</f>
        <v>O230117</v>
      </c>
      <c r="Q22" s="256" t="str">
        <f>IFERROR(VLOOKUP(C22,TD!$B$33:$F$37,3,0)," ")</f>
        <v>4503</v>
      </c>
      <c r="R22" s="256">
        <f>IFERROR(VLOOKUP(C22,TD!$B$33:$F$37,4,0)," ")</f>
        <v>20240255</v>
      </c>
      <c r="S22" s="255" t="s">
        <v>183</v>
      </c>
      <c r="T22" s="256" t="str">
        <f>IFERROR(VLOOKUP(S22,TD!$J$34:$K$44,2,0)," ")</f>
        <v>Servicio de formación en gestión del riesgo de incendios para el personal UAECOB</v>
      </c>
      <c r="U22" s="187" t="str">
        <f>CONCATENATE(S22,"-",T22)</f>
        <v>07-Servicio de formación en gestión del riesgo de incendios para el personal UAECOB</v>
      </c>
      <c r="V22" s="255" t="s">
        <v>233</v>
      </c>
      <c r="W22" s="256" t="str">
        <f>IFERROR(VLOOKUP(V22,TD!$N$34:$O$46,2,0)," ")</f>
        <v>Servicio de educación informal</v>
      </c>
      <c r="X22" s="187" t="str">
        <f>CONCATENATE(V22,"_",W22)</f>
        <v>002_Servicio de educación informal</v>
      </c>
      <c r="Y22" s="187" t="str">
        <f>CONCATENATE(U22," ",X22)</f>
        <v>07-Servicio de formación en gestión del riesgo de incendios para el personal UAECOB 002_Servicio de educación informal</v>
      </c>
      <c r="Z22" s="256" t="str">
        <f>CONCATENATE(P22,Q22,R22,S22,V22)</f>
        <v>O23011745032024025507002</v>
      </c>
      <c r="AA22" s="256" t="str">
        <f>IFERROR(VLOOKUP(Y22,TD!$K$47:$L$65,2,0)," ")</f>
        <v>PM/0131/0107/45030020255</v>
      </c>
      <c r="AB22" s="264" t="s">
        <v>138</v>
      </c>
      <c r="AC22" s="266" t="s">
        <v>204</v>
      </c>
    </row>
    <row r="23" spans="2:29" s="28" customFormat="1" ht="98" x14ac:dyDescent="0.35">
      <c r="B23" s="267">
        <v>20250821</v>
      </c>
      <c r="C23" s="268" t="s">
        <v>209</v>
      </c>
      <c r="D23" s="269" t="s">
        <v>168</v>
      </c>
      <c r="E23" s="254" t="s">
        <v>603</v>
      </c>
      <c r="F23" s="269" t="s">
        <v>983</v>
      </c>
      <c r="G23" s="269" t="s">
        <v>119</v>
      </c>
      <c r="H23" s="270">
        <v>15101500</v>
      </c>
      <c r="I23" s="271">
        <v>8</v>
      </c>
      <c r="J23" s="271">
        <v>1</v>
      </c>
      <c r="K23" s="272">
        <v>20</v>
      </c>
      <c r="L23" s="265">
        <v>28000000</v>
      </c>
      <c r="M23" s="275" t="s">
        <v>464</v>
      </c>
      <c r="N23" s="265" t="s">
        <v>123</v>
      </c>
      <c r="O23" s="254" t="s">
        <v>224</v>
      </c>
      <c r="P23" s="273" t="str">
        <f>IFERROR(VLOOKUP(C23,TD!$B$33:$F$37,2,0)," ")</f>
        <v>O230117</v>
      </c>
      <c r="Q23" s="273" t="str">
        <f>IFERROR(VLOOKUP(C23,TD!$B$33:$F$37,3,0)," ")</f>
        <v>4503</v>
      </c>
      <c r="R23" s="273">
        <f>IFERROR(VLOOKUP(C23,TD!$B$33:$F$37,4,0)," ")</f>
        <v>20240255</v>
      </c>
      <c r="S23" s="254" t="s">
        <v>191</v>
      </c>
      <c r="T23" s="273" t="str">
        <f>IFERROR(VLOOKUP(S23,TD!$J$34:$K$44,2,0)," ")</f>
        <v>Servicio de apoyo   logístico  en eventos operativos y/o emergencias.</v>
      </c>
      <c r="U23" s="187" t="str">
        <f>CONCATENATE(S23,"-",T23)</f>
        <v>12-Servicio de apoyo   logístico  en eventos operativos y/o emergencias.</v>
      </c>
      <c r="V23" s="254" t="s">
        <v>232</v>
      </c>
      <c r="W23" s="273" t="str">
        <f>IFERROR(VLOOKUP(V23,TD!$N$34:$O$46,2,0)," ")</f>
        <v>Servicio de atención a emergencias y desastres</v>
      </c>
      <c r="X23" s="187" t="str">
        <f>CONCATENATE(V23,"_",W23)</f>
        <v>004_Servicio de atención a emergencias y desastres</v>
      </c>
      <c r="Y23" s="187" t="str">
        <f>CONCATENATE(U23," ",X23)</f>
        <v>12-Servicio de apoyo   logístico  en eventos operativos y/o emergencias. 004_Servicio de atención a emergencias y desastres</v>
      </c>
      <c r="Z23" s="273" t="str">
        <f>CONCATENATE(P23,Q23,R23,S23,V23)</f>
        <v>O23011745032024025512004</v>
      </c>
      <c r="AA23" s="273" t="str">
        <f>IFERROR(VLOOKUP(Y23,TD!$K$47:$L$65,2,0)," ")</f>
        <v>PM/0131/0112/45030040255</v>
      </c>
      <c r="AB23" s="265" t="s">
        <v>92</v>
      </c>
      <c r="AC23" s="274" t="s">
        <v>205</v>
      </c>
    </row>
    <row r="24" spans="2:29" s="28" customFormat="1" ht="98" x14ac:dyDescent="0.35">
      <c r="B24" s="258">
        <v>20250855</v>
      </c>
      <c r="C24" s="259" t="s">
        <v>209</v>
      </c>
      <c r="D24" s="260" t="s">
        <v>166</v>
      </c>
      <c r="E24" s="255" t="s">
        <v>558</v>
      </c>
      <c r="F24" s="260" t="s">
        <v>1367</v>
      </c>
      <c r="G24" s="260" t="s">
        <v>109</v>
      </c>
      <c r="H24" s="261" t="s">
        <v>1039</v>
      </c>
      <c r="I24" s="262">
        <v>8</v>
      </c>
      <c r="J24" s="262">
        <v>2</v>
      </c>
      <c r="K24" s="263">
        <v>0</v>
      </c>
      <c r="L24" s="264">
        <v>40000000</v>
      </c>
      <c r="M24" s="285" t="s">
        <v>464</v>
      </c>
      <c r="N24" s="264" t="s">
        <v>100</v>
      </c>
      <c r="O24" s="255" t="s">
        <v>1043</v>
      </c>
      <c r="P24" s="256" t="str">
        <f>IFERROR(VLOOKUP(C24,TD!$B$33:$F$37,2,0)," ")</f>
        <v>O230117</v>
      </c>
      <c r="Q24" s="256" t="str">
        <f>IFERROR(VLOOKUP(C24,TD!$B$33:$F$37,3,0)," ")</f>
        <v>4503</v>
      </c>
      <c r="R24" s="256">
        <f>IFERROR(VLOOKUP(C24,TD!$B$33:$F$37,4,0)," ")</f>
        <v>20240255</v>
      </c>
      <c r="S24" s="255" t="s">
        <v>185</v>
      </c>
      <c r="T24" s="256" t="str">
        <f>IFERROR(VLOOKUP(S24,TD!$J$34:$K$44,2,0)," ")</f>
        <v>Infraestructura física, mantenimiento y dotación (Sedes construidas, mantenidas reforzadas)</v>
      </c>
      <c r="U24" s="187" t="str">
        <f>CONCATENATE(S24,"-",T24)</f>
        <v>08-Infraestructura física, mantenimiento y dotación (Sedes construidas, mantenidas reforzadas)</v>
      </c>
      <c r="V24" s="255" t="s">
        <v>236</v>
      </c>
      <c r="W24" s="256" t="str">
        <f>IFERROR(VLOOKUP(V24,TD!$N$34:$O$46,2,0)," ")</f>
        <v>Estaciones de bomberos adecuadas</v>
      </c>
      <c r="X24" s="187" t="str">
        <f>CONCATENATE(V24,"_",W24)</f>
        <v>014_Estaciones de bomberos adecuadas</v>
      </c>
      <c r="Y24" s="187" t="str">
        <f>CONCATENATE(U24," ",X24)</f>
        <v>08-Infraestructura física, mantenimiento y dotación (Sedes construidas, mantenidas reforzadas) 014_Estaciones de bomberos adecuadas</v>
      </c>
      <c r="Z24" s="256" t="str">
        <f>CONCATENATE(P24,Q24,R24,S24,V24)</f>
        <v>O23011745032024025508014</v>
      </c>
      <c r="AA24" s="256" t="str">
        <f>IFERROR(VLOOKUP(Y24,TD!$K$47:$L$65,2,0)," ")</f>
        <v>PM/0131/0108/45030140255</v>
      </c>
      <c r="AB24" s="264" t="s">
        <v>1044</v>
      </c>
      <c r="AC24" s="266" t="s">
        <v>204</v>
      </c>
    </row>
    <row r="25" spans="2:29" s="28" customFormat="1" ht="98" x14ac:dyDescent="0.35">
      <c r="B25" s="258">
        <v>20250858</v>
      </c>
      <c r="C25" s="259" t="s">
        <v>209</v>
      </c>
      <c r="D25" s="260" t="s">
        <v>166</v>
      </c>
      <c r="E25" s="255" t="s">
        <v>558</v>
      </c>
      <c r="F25" s="260" t="s">
        <v>1034</v>
      </c>
      <c r="G25" s="260" t="s">
        <v>109</v>
      </c>
      <c r="H25" s="261" t="s">
        <v>1366</v>
      </c>
      <c r="I25" s="262">
        <v>9</v>
      </c>
      <c r="J25" s="262">
        <v>3</v>
      </c>
      <c r="K25" s="263">
        <v>0</v>
      </c>
      <c r="L25" s="264">
        <v>120000000</v>
      </c>
      <c r="M25" s="285" t="s">
        <v>464</v>
      </c>
      <c r="N25" s="264" t="s">
        <v>95</v>
      </c>
      <c r="O25" s="255" t="s">
        <v>1043</v>
      </c>
      <c r="P25" s="256" t="str">
        <f>IFERROR(VLOOKUP(C25,TD!$B$33:$F$37,2,0)," ")</f>
        <v>O230117</v>
      </c>
      <c r="Q25" s="256" t="str">
        <f>IFERROR(VLOOKUP(C25,TD!$B$33:$F$37,3,0)," ")</f>
        <v>4503</v>
      </c>
      <c r="R25" s="256">
        <f>IFERROR(VLOOKUP(C25,TD!$B$33:$F$37,4,0)," ")</f>
        <v>20240255</v>
      </c>
      <c r="S25" s="255" t="s">
        <v>185</v>
      </c>
      <c r="T25" s="256" t="str">
        <f>IFERROR(VLOOKUP(S25,TD!$J$34:$K$44,2,0)," ")</f>
        <v>Infraestructura física, mantenimiento y dotación (Sedes construidas, mantenidas reforzadas)</v>
      </c>
      <c r="U25" s="187" t="str">
        <f>CONCATENATE(S25,"-",T25)</f>
        <v>08-Infraestructura física, mantenimiento y dotación (Sedes construidas, mantenidas reforzadas)</v>
      </c>
      <c r="V25" s="255" t="s">
        <v>236</v>
      </c>
      <c r="W25" s="256" t="str">
        <f>IFERROR(VLOOKUP(V25,TD!$N$34:$O$46,2,0)," ")</f>
        <v>Estaciones de bomberos adecuadas</v>
      </c>
      <c r="X25" s="187" t="str">
        <f>CONCATENATE(V25,"_",W25)</f>
        <v>014_Estaciones de bomberos adecuadas</v>
      </c>
      <c r="Y25" s="187" t="str">
        <f>CONCATENATE(U25," ",X25)</f>
        <v>08-Infraestructura física, mantenimiento y dotación (Sedes construidas, mantenidas reforzadas) 014_Estaciones de bomberos adecuadas</v>
      </c>
      <c r="Z25" s="256" t="str">
        <f>CONCATENATE(P25,Q25,R25,S25,V25)</f>
        <v>O23011745032024025508014</v>
      </c>
      <c r="AA25" s="256" t="str">
        <f>IFERROR(VLOOKUP(Y25,TD!$K$47:$L$65,2,0)," ")</f>
        <v>PM/0131/0108/45030140255</v>
      </c>
      <c r="AB25" s="264" t="s">
        <v>87</v>
      </c>
      <c r="AC25" s="266" t="s">
        <v>204</v>
      </c>
    </row>
    <row r="26" spans="2:29" s="28" customFormat="1" ht="70" x14ac:dyDescent="0.35">
      <c r="B26" s="258">
        <v>20250861</v>
      </c>
      <c r="C26" s="259" t="s">
        <v>209</v>
      </c>
      <c r="D26" s="260" t="s">
        <v>166</v>
      </c>
      <c r="E26" s="255" t="s">
        <v>558</v>
      </c>
      <c r="F26" s="260" t="s">
        <v>1036</v>
      </c>
      <c r="G26" s="260" t="s">
        <v>109</v>
      </c>
      <c r="H26" s="261" t="s">
        <v>1368</v>
      </c>
      <c r="I26" s="262">
        <v>9</v>
      </c>
      <c r="J26" s="262">
        <v>2</v>
      </c>
      <c r="K26" s="263">
        <v>0</v>
      </c>
      <c r="L26" s="264">
        <f>82000000-242197</f>
        <v>81757803</v>
      </c>
      <c r="M26" s="285" t="s">
        <v>1309</v>
      </c>
      <c r="N26" s="264" t="s">
        <v>95</v>
      </c>
      <c r="O26" s="255" t="s">
        <v>1043</v>
      </c>
      <c r="P26" s="256" t="str">
        <f>IFERROR(VLOOKUP(C26,TD!$B$33:$F$37,2,0)," ")</f>
        <v>O230117</v>
      </c>
      <c r="Q26" s="256" t="str">
        <f>IFERROR(VLOOKUP(C26,TD!$B$33:$F$37,3,0)," ")</f>
        <v>4503</v>
      </c>
      <c r="R26" s="256">
        <f>IFERROR(VLOOKUP(C26,TD!$B$33:$F$37,4,0)," ")</f>
        <v>20240255</v>
      </c>
      <c r="S26" s="255" t="s">
        <v>185</v>
      </c>
      <c r="T26" s="256" t="str">
        <f>IFERROR(VLOOKUP(S26,TD!$J$34:$K$44,2,0)," ")</f>
        <v>Infraestructura física, mantenimiento y dotación (Sedes construidas, mantenidas reforzadas)</v>
      </c>
      <c r="U26" s="187" t="str">
        <f>CONCATENATE(S26,"-",T26)</f>
        <v>08-Infraestructura física, mantenimiento y dotación (Sedes construidas, mantenidas reforzadas)</v>
      </c>
      <c r="V26" s="255" t="s">
        <v>236</v>
      </c>
      <c r="W26" s="256" t="str">
        <f>IFERROR(VLOOKUP(V26,TD!$N$34:$O$46,2,0)," ")</f>
        <v>Estaciones de bomberos adecuadas</v>
      </c>
      <c r="X26" s="187" t="str">
        <f>CONCATENATE(V26,"_",W26)</f>
        <v>014_Estaciones de bomberos adecuadas</v>
      </c>
      <c r="Y26" s="187" t="str">
        <f>CONCATENATE(U26," ",X26)</f>
        <v>08-Infraestructura física, mantenimiento y dotación (Sedes construidas, mantenidas reforzadas) 014_Estaciones de bomberos adecuadas</v>
      </c>
      <c r="Z26" s="256" t="str">
        <f>CONCATENATE(P26,Q26,R26,S26,V26)</f>
        <v>O23011745032024025508014</v>
      </c>
      <c r="AA26" s="256" t="str">
        <f>IFERROR(VLOOKUP(Y26,TD!$K$47:$L$65,2,0)," ")</f>
        <v>PM/0131/0108/45030140255</v>
      </c>
      <c r="AB26" s="264" t="s">
        <v>1046</v>
      </c>
      <c r="AC26" s="266" t="s">
        <v>204</v>
      </c>
    </row>
    <row r="27" spans="2:29" s="28" customFormat="1" ht="98" x14ac:dyDescent="0.35">
      <c r="B27" s="258">
        <v>20250864</v>
      </c>
      <c r="C27" s="259" t="s">
        <v>209</v>
      </c>
      <c r="D27" s="260" t="s">
        <v>166</v>
      </c>
      <c r="E27" s="255" t="s">
        <v>558</v>
      </c>
      <c r="F27" s="260" t="s">
        <v>1369</v>
      </c>
      <c r="G27" s="260" t="s">
        <v>109</v>
      </c>
      <c r="H27" s="261" t="s">
        <v>845</v>
      </c>
      <c r="I27" s="262">
        <v>8</v>
      </c>
      <c r="J27" s="262">
        <v>3</v>
      </c>
      <c r="K27" s="263">
        <v>0</v>
      </c>
      <c r="L27" s="264">
        <v>30000000</v>
      </c>
      <c r="M27" s="285" t="s">
        <v>464</v>
      </c>
      <c r="N27" s="264" t="s">
        <v>100</v>
      </c>
      <c r="O27" s="255" t="s">
        <v>1043</v>
      </c>
      <c r="P27" s="256" t="str">
        <f>IFERROR(VLOOKUP(C27,TD!$B$33:$F$37,2,0)," ")</f>
        <v>O230117</v>
      </c>
      <c r="Q27" s="256" t="str">
        <f>IFERROR(VLOOKUP(C27,TD!$B$33:$F$37,3,0)," ")</f>
        <v>4503</v>
      </c>
      <c r="R27" s="256">
        <f>IFERROR(VLOOKUP(C27,TD!$B$33:$F$37,4,0)," ")</f>
        <v>20240255</v>
      </c>
      <c r="S27" s="255" t="s">
        <v>185</v>
      </c>
      <c r="T27" s="256" t="str">
        <f>IFERROR(VLOOKUP(S27,TD!$J$34:$K$44,2,0)," ")</f>
        <v>Infraestructura física, mantenimiento y dotación (Sedes construidas, mantenidas reforzadas)</v>
      </c>
      <c r="U27" s="187" t="str">
        <f>CONCATENATE(S27,"-",T27)</f>
        <v>08-Infraestructura física, mantenimiento y dotación (Sedes construidas, mantenidas reforzadas)</v>
      </c>
      <c r="V27" s="255" t="s">
        <v>236</v>
      </c>
      <c r="W27" s="256" t="str">
        <f>IFERROR(VLOOKUP(V27,TD!$N$34:$O$46,2,0)," ")</f>
        <v>Estaciones de bomberos adecuadas</v>
      </c>
      <c r="X27" s="187" t="str">
        <f>CONCATENATE(V27,"_",W27)</f>
        <v>014_Estaciones de bomberos adecuadas</v>
      </c>
      <c r="Y27" s="187" t="str">
        <f>CONCATENATE(U27," ",X27)</f>
        <v>08-Infraestructura física, mantenimiento y dotación (Sedes construidas, mantenidas reforzadas) 014_Estaciones de bomberos adecuadas</v>
      </c>
      <c r="Z27" s="256" t="str">
        <f>CONCATENATE(P27,Q27,R27,S27,V27)</f>
        <v>O23011745032024025508014</v>
      </c>
      <c r="AA27" s="256" t="str">
        <f>IFERROR(VLOOKUP(Y27,TD!$K$47:$L$65,2,0)," ")</f>
        <v>PM/0131/0108/45030140255</v>
      </c>
      <c r="AB27" s="264" t="s">
        <v>1048</v>
      </c>
      <c r="AC27" s="266" t="s">
        <v>204</v>
      </c>
    </row>
    <row r="28" spans="2:29" s="28" customFormat="1" ht="98" x14ac:dyDescent="0.35">
      <c r="B28" s="267">
        <v>20250909</v>
      </c>
      <c r="C28" s="268" t="s">
        <v>209</v>
      </c>
      <c r="D28" s="269" t="s">
        <v>167</v>
      </c>
      <c r="E28" s="254" t="s">
        <v>505</v>
      </c>
      <c r="F28" s="269" t="s">
        <v>1088</v>
      </c>
      <c r="G28" s="269" t="s">
        <v>155</v>
      </c>
      <c r="H28" s="270">
        <v>80111600</v>
      </c>
      <c r="I28" s="271">
        <v>11</v>
      </c>
      <c r="J28" s="271">
        <v>1</v>
      </c>
      <c r="K28" s="272">
        <v>0</v>
      </c>
      <c r="L28" s="265">
        <v>12000000</v>
      </c>
      <c r="M28" s="275" t="s">
        <v>464</v>
      </c>
      <c r="N28" s="265" t="s">
        <v>113</v>
      </c>
      <c r="O28" s="255" t="s">
        <v>226</v>
      </c>
      <c r="P28" s="273" t="str">
        <f>IFERROR(VLOOKUP(C28,TD!$B$33:$F$37,2,0)," ")</f>
        <v>O230117</v>
      </c>
      <c r="Q28" s="273" t="str">
        <f>IFERROR(VLOOKUP(C28,TD!$B$33:$F$37,3,0)," ")</f>
        <v>4503</v>
      </c>
      <c r="R28" s="273">
        <f>IFERROR(VLOOKUP(C28,TD!$B$33:$F$37,4,0)," ")</f>
        <v>20240255</v>
      </c>
      <c r="S28" s="255" t="s">
        <v>179</v>
      </c>
      <c r="T28" s="256" t="str">
        <f>IFERROR(VLOOKUP(S28,TD!$J$34:$K$44,2,0)," ")</f>
        <v>Infraestructura Tecnológica   (Sistemas de Información y Tecnologia)</v>
      </c>
      <c r="U28" s="190" t="str">
        <f>CONCATENATE(S28,"-",T28)</f>
        <v>11-Infraestructura Tecnológica   (Sistemas de Información y Tecnologia)</v>
      </c>
      <c r="V28" s="255" t="s">
        <v>235</v>
      </c>
      <c r="W28" s="256" t="str">
        <f>IFERROR(VLOOKUP(V28,TD!$N$34:$O$46,2,0)," ")</f>
        <v>"Servicio de monitoreo y seguimiento para la gestión del riesgo"</v>
      </c>
      <c r="X28" s="187" t="str">
        <f>CONCATENATE(V28,"_",W28)</f>
        <v>018_"Servicio de monitoreo y seguimiento para la gestión del riesgo"</v>
      </c>
      <c r="Y28" s="187" t="str">
        <f>CONCATENATE(U28," ",X28)</f>
        <v>11-Infraestructura Tecnológica   (Sistemas de Información y Tecnologia) 018_"Servicio de monitoreo y seguimiento para la gestión del riesgo"</v>
      </c>
      <c r="Z28" s="273" t="str">
        <f>CONCATENATE(P28,Q28,R28,S28,V28)</f>
        <v>O23011745032024025511018</v>
      </c>
      <c r="AA28" s="273" t="str">
        <f>IFERROR(VLOOKUP(Y28,TD!$K$47:$L$65,2,0)," ")</f>
        <v>PM/0131/0111/45030180255</v>
      </c>
      <c r="AB28" s="265" t="s">
        <v>138</v>
      </c>
      <c r="AC28" s="274" t="s">
        <v>205</v>
      </c>
    </row>
    <row r="29" spans="2:29" s="28" customFormat="1" ht="98" x14ac:dyDescent="0.35">
      <c r="B29" s="267">
        <v>20250946</v>
      </c>
      <c r="C29" s="268" t="s">
        <v>209</v>
      </c>
      <c r="D29" s="269" t="s">
        <v>165</v>
      </c>
      <c r="E29" s="254" t="s">
        <v>484</v>
      </c>
      <c r="F29" s="269" t="s">
        <v>1132</v>
      </c>
      <c r="G29" s="269" t="s">
        <v>155</v>
      </c>
      <c r="H29" s="270">
        <v>80111600</v>
      </c>
      <c r="I29" s="271">
        <v>10</v>
      </c>
      <c r="J29" s="271">
        <v>2</v>
      </c>
      <c r="K29" s="272">
        <v>0</v>
      </c>
      <c r="L29" s="265">
        <v>19625000</v>
      </c>
      <c r="M29" s="275" t="s">
        <v>464</v>
      </c>
      <c r="N29" s="265" t="s">
        <v>113</v>
      </c>
      <c r="O29" s="254" t="s">
        <v>229</v>
      </c>
      <c r="P29" s="273" t="str">
        <f>IFERROR(VLOOKUP(C29,TD!$B$33:$F$37,2,0)," ")</f>
        <v>O230117</v>
      </c>
      <c r="Q29" s="273" t="str">
        <f>IFERROR(VLOOKUP(C29,TD!$B$33:$F$37,3,0)," ")</f>
        <v>4503</v>
      </c>
      <c r="R29" s="273">
        <f>IFERROR(VLOOKUP(C29,TD!$B$33:$F$37,4,0)," ")</f>
        <v>20240255</v>
      </c>
      <c r="S29" s="254" t="s">
        <v>183</v>
      </c>
      <c r="T29" s="273" t="str">
        <f>IFERROR(VLOOKUP(S29,TD!$J$34:$K$44,2,0)," ")</f>
        <v>Servicio de formación en gestión del riesgo de incendios para el personal UAECOB</v>
      </c>
      <c r="U29" s="187" t="str">
        <f>CONCATENATE(S29,"-",T29)</f>
        <v>07-Servicio de formación en gestión del riesgo de incendios para el personal UAECOB</v>
      </c>
      <c r="V29" s="254" t="s">
        <v>233</v>
      </c>
      <c r="W29" s="273" t="str">
        <f>IFERROR(VLOOKUP(V29,TD!$N$34:$O$46,2,0)," ")</f>
        <v>Servicio de educación informal</v>
      </c>
      <c r="X29" s="187" t="str">
        <f>CONCATENATE(V29,"_",W29)</f>
        <v>002_Servicio de educación informal</v>
      </c>
      <c r="Y29" s="187" t="str">
        <f>CONCATENATE(U29," ",X29)</f>
        <v>07-Servicio de formación en gestión del riesgo de incendios para el personal UAECOB 002_Servicio de educación informal</v>
      </c>
      <c r="Z29" s="273" t="str">
        <f>CONCATENATE(P29,Q29,R29,S29,V29)</f>
        <v>O23011745032024025507002</v>
      </c>
      <c r="AA29" s="273" t="str">
        <f>IFERROR(VLOOKUP(Y29,TD!$K$47:$L$65,2,0)," ")</f>
        <v>PM/0131/0107/45030020255</v>
      </c>
      <c r="AB29" s="265" t="s">
        <v>120</v>
      </c>
      <c r="AC29" s="274" t="s">
        <v>205</v>
      </c>
    </row>
    <row r="30" spans="2:29" s="28" customFormat="1" ht="70" x14ac:dyDescent="0.35">
      <c r="B30" s="320">
        <v>20251027</v>
      </c>
      <c r="C30" s="276" t="s">
        <v>209</v>
      </c>
      <c r="D30" s="277" t="s">
        <v>167</v>
      </c>
      <c r="E30" s="278" t="s">
        <v>505</v>
      </c>
      <c r="F30" s="277" t="s">
        <v>1219</v>
      </c>
      <c r="G30" s="277" t="s">
        <v>109</v>
      </c>
      <c r="H30" s="270" t="s">
        <v>1360</v>
      </c>
      <c r="I30" s="279">
        <v>10</v>
      </c>
      <c r="J30" s="279">
        <v>2</v>
      </c>
      <c r="K30" s="280">
        <v>0</v>
      </c>
      <c r="L30" s="281">
        <v>62320601</v>
      </c>
      <c r="M30" s="282" t="s">
        <v>464</v>
      </c>
      <c r="N30" s="281" t="s">
        <v>100</v>
      </c>
      <c r="O30" s="254" t="s">
        <v>221</v>
      </c>
      <c r="P30" s="283" t="str">
        <f>IFERROR(VLOOKUP(C30,TD!$B$33:$F$37,2,0)," ")</f>
        <v>O230117</v>
      </c>
      <c r="Q30" s="283" t="str">
        <f>IFERROR(VLOOKUP(C30,TD!$B$33:$F$37,3,0)," ")</f>
        <v>4503</v>
      </c>
      <c r="R30" s="283">
        <f>IFERROR(VLOOKUP(C30,TD!$B$33:$F$37,4,0)," ")</f>
        <v>20240255</v>
      </c>
      <c r="S30" s="254" t="s">
        <v>177</v>
      </c>
      <c r="T30" s="273" t="str">
        <f>IFERROR(VLOOKUP(S30,TD!$J$34:$K$44,2,0)," ")</f>
        <v>Servicio de capacitaciones en gestión del riesgo de incendios  a la ciudadania.</v>
      </c>
      <c r="U30" s="187" t="str">
        <f>CONCATENATE(S30,"-",T30)</f>
        <v>05-Servicio de capacitaciones en gestión del riesgo de incendios  a la ciudadania.</v>
      </c>
      <c r="V30" s="254" t="s">
        <v>234</v>
      </c>
      <c r="W30" s="273" t="str">
        <f>IFERROR(VLOOKUP(V30,TD!$N$34:$O$46,2,0)," ")</f>
        <v>Servicio prevención y control de incendios</v>
      </c>
      <c r="X30" s="187" t="str">
        <f>CONCATENATE(V30,"_",W30)</f>
        <v>035_Servicio prevención y control de incendios</v>
      </c>
      <c r="Y30" s="187" t="str">
        <f>CONCATENATE(U30," ",X30)</f>
        <v>05-Servicio de capacitaciones en gestión del riesgo de incendios  a la ciudadania. 035_Servicio prevención y control de incendios</v>
      </c>
      <c r="Z30" s="283" t="str">
        <f>CONCATENATE(P30,Q30,R30,S30,V30)</f>
        <v>O23011745032024025505035</v>
      </c>
      <c r="AA30" s="283" t="str">
        <f>IFERROR(VLOOKUP(Y30,TD!$K$47:$L$65,2,0)," ")</f>
        <v>PM/0131/0105/45030350255</v>
      </c>
      <c r="AB30" s="281" t="s">
        <v>138</v>
      </c>
      <c r="AC30" s="284" t="s">
        <v>204</v>
      </c>
    </row>
    <row r="31" spans="2:29" s="28" customFormat="1" ht="70" x14ac:dyDescent="0.35">
      <c r="B31" s="320">
        <v>20251052</v>
      </c>
      <c r="C31" s="276" t="s">
        <v>209</v>
      </c>
      <c r="D31" s="260" t="s">
        <v>169</v>
      </c>
      <c r="E31" s="278" t="s">
        <v>465</v>
      </c>
      <c r="F31" s="277" t="s">
        <v>1223</v>
      </c>
      <c r="G31" s="277" t="s">
        <v>155</v>
      </c>
      <c r="H31" s="335">
        <v>80111600</v>
      </c>
      <c r="I31" s="279">
        <v>10</v>
      </c>
      <c r="J31" s="279">
        <v>3</v>
      </c>
      <c r="K31" s="280">
        <v>0</v>
      </c>
      <c r="L31" s="281">
        <v>36000000</v>
      </c>
      <c r="M31" s="282" t="s">
        <v>464</v>
      </c>
      <c r="N31" s="281" t="s">
        <v>113</v>
      </c>
      <c r="O31" s="254" t="s">
        <v>222</v>
      </c>
      <c r="P31" s="283" t="str">
        <f>IFERROR(VLOOKUP(C31,TD!$B$33:$F$37,2,0)," ")</f>
        <v>O230117</v>
      </c>
      <c r="Q31" s="283" t="str">
        <f>IFERROR(VLOOKUP(C31,TD!$B$33:$F$37,3,0)," ")</f>
        <v>4503</v>
      </c>
      <c r="R31" s="283">
        <f>IFERROR(VLOOKUP(C31,TD!$B$33:$F$37,4,0)," ")</f>
        <v>20240255</v>
      </c>
      <c r="S31" s="254" t="s">
        <v>175</v>
      </c>
      <c r="T31" s="273" t="str">
        <f>IFERROR(VLOOKUP(S31,TD!$J$34:$K$44,2,0)," ")</f>
        <v>Servicio de atención a incidentes y emergencias.</v>
      </c>
      <c r="U31" s="187" t="str">
        <f>CONCATENATE(S31,"-",T31)</f>
        <v>04-Servicio de atención a incidentes y emergencias.</v>
      </c>
      <c r="V31" s="254" t="s">
        <v>232</v>
      </c>
      <c r="W31" s="273" t="str">
        <f>IFERROR(VLOOKUP(V31,TD!$N$34:$O$46,2,0)," ")</f>
        <v>Servicio de atención a emergencias y desastres</v>
      </c>
      <c r="X31" s="187" t="str">
        <f>CONCATENATE(V31,"_",W31)</f>
        <v>004_Servicio de atención a emergencias y desastres</v>
      </c>
      <c r="Y31" s="187" t="str">
        <f>CONCATENATE(U31," ",X31)</f>
        <v>04-Servicio de atención a incidentes y emergencias. 004_Servicio de atención a emergencias y desastres</v>
      </c>
      <c r="Z31" s="283" t="str">
        <f>CONCATENATE(P31,Q31,R31,S31,V31)</f>
        <v>O23011745032024025504004</v>
      </c>
      <c r="AA31" s="283" t="str">
        <f>IFERROR(VLOOKUP(Y31,TD!$K$47:$L$65,2,0)," ")</f>
        <v>PM/0131/0104/45030040255</v>
      </c>
      <c r="AB31" s="281" t="s">
        <v>120</v>
      </c>
      <c r="AC31" s="284" t="s">
        <v>204</v>
      </c>
    </row>
    <row r="32" spans="2:29" s="28" customFormat="1" ht="70" x14ac:dyDescent="0.35">
      <c r="B32" s="320">
        <v>20251095</v>
      </c>
      <c r="C32" s="268" t="s">
        <v>209</v>
      </c>
      <c r="D32" s="269" t="s">
        <v>165</v>
      </c>
      <c r="E32" s="254" t="s">
        <v>484</v>
      </c>
      <c r="F32" s="269" t="s">
        <v>1271</v>
      </c>
      <c r="G32" s="269" t="s">
        <v>155</v>
      </c>
      <c r="H32" s="270">
        <v>80111600</v>
      </c>
      <c r="I32" s="271">
        <v>10</v>
      </c>
      <c r="J32" s="271">
        <v>3</v>
      </c>
      <c r="K32" s="272">
        <v>0</v>
      </c>
      <c r="L32" s="265">
        <v>18750000</v>
      </c>
      <c r="M32" s="275" t="s">
        <v>464</v>
      </c>
      <c r="N32" s="265" t="s">
        <v>113</v>
      </c>
      <c r="O32" s="254" t="s">
        <v>229</v>
      </c>
      <c r="P32" s="273" t="str">
        <f>IFERROR(VLOOKUP(C32,TD!$B$33:$F$37,2,0)," ")</f>
        <v>O230117</v>
      </c>
      <c r="Q32" s="273" t="str">
        <f>IFERROR(VLOOKUP(C32,TD!$B$33:$F$37,3,0)," ")</f>
        <v>4503</v>
      </c>
      <c r="R32" s="273">
        <f>IFERROR(VLOOKUP(C32,TD!$B$33:$F$37,4,0)," ")</f>
        <v>20240255</v>
      </c>
      <c r="S32" s="254" t="s">
        <v>183</v>
      </c>
      <c r="T32" s="273" t="str">
        <f>IFERROR(VLOOKUP(S32,TD!$J$34:$K$44,2,0)," ")</f>
        <v>Servicio de formación en gestión del riesgo de incendios para el personal UAECOB</v>
      </c>
      <c r="U32" s="187" t="str">
        <f>CONCATENATE(S32,"-",T32)</f>
        <v>07-Servicio de formación en gestión del riesgo de incendios para el personal UAECOB</v>
      </c>
      <c r="V32" s="254" t="s">
        <v>233</v>
      </c>
      <c r="W32" s="273" t="str">
        <f>IFERROR(VLOOKUP(V32,TD!$N$34:$O$46,2,0)," ")</f>
        <v>Servicio de educación informal</v>
      </c>
      <c r="X32" s="187" t="str">
        <f>CONCATENATE(V32,"_",W32)</f>
        <v>002_Servicio de educación informal</v>
      </c>
      <c r="Y32" s="187" t="str">
        <f>CONCATENATE(U32," ",X32)</f>
        <v>07-Servicio de formación en gestión del riesgo de incendios para el personal UAECOB 002_Servicio de educación informal</v>
      </c>
      <c r="Z32" s="273" t="str">
        <f>CONCATENATE(P32,Q32,R32,S32,V32)</f>
        <v>O23011745032024025507002</v>
      </c>
      <c r="AA32" s="273" t="str">
        <f>IFERROR(VLOOKUP(Y32,TD!$K$47:$L$65,2,0)," ")</f>
        <v>PM/0131/0107/45030020255</v>
      </c>
      <c r="AB32" s="265" t="s">
        <v>138</v>
      </c>
      <c r="AC32" s="274" t="s">
        <v>205</v>
      </c>
    </row>
    <row r="33" spans="2:29" s="28" customFormat="1" ht="70" x14ac:dyDescent="0.35">
      <c r="B33" s="267">
        <v>20251096</v>
      </c>
      <c r="C33" s="268" t="s">
        <v>209</v>
      </c>
      <c r="D33" s="269" t="s">
        <v>165</v>
      </c>
      <c r="E33" s="254" t="s">
        <v>484</v>
      </c>
      <c r="F33" s="269" t="s">
        <v>1272</v>
      </c>
      <c r="G33" s="269" t="s">
        <v>155</v>
      </c>
      <c r="H33" s="270">
        <v>80111600</v>
      </c>
      <c r="I33" s="271">
        <v>10</v>
      </c>
      <c r="J33" s="271">
        <v>3</v>
      </c>
      <c r="K33" s="272">
        <v>0</v>
      </c>
      <c r="L33" s="265">
        <v>16250000</v>
      </c>
      <c r="M33" s="275" t="s">
        <v>464</v>
      </c>
      <c r="N33" s="265" t="s">
        <v>113</v>
      </c>
      <c r="O33" s="254" t="s">
        <v>229</v>
      </c>
      <c r="P33" s="273" t="str">
        <f>IFERROR(VLOOKUP(C33,TD!$B$33:$F$37,2,0)," ")</f>
        <v>O230117</v>
      </c>
      <c r="Q33" s="273" t="str">
        <f>IFERROR(VLOOKUP(C33,TD!$B$33:$F$37,3,0)," ")</f>
        <v>4503</v>
      </c>
      <c r="R33" s="273">
        <f>IFERROR(VLOOKUP(C33,TD!$B$33:$F$37,4,0)," ")</f>
        <v>20240255</v>
      </c>
      <c r="S33" s="254" t="s">
        <v>183</v>
      </c>
      <c r="T33" s="273" t="str">
        <f>IFERROR(VLOOKUP(S33,TD!$J$34:$K$44,2,0)," ")</f>
        <v>Servicio de formación en gestión del riesgo de incendios para el personal UAECOB</v>
      </c>
      <c r="U33" s="187" t="str">
        <f>CONCATENATE(S33,"-",T33)</f>
        <v>07-Servicio de formación en gestión del riesgo de incendios para el personal UAECOB</v>
      </c>
      <c r="V33" s="254" t="s">
        <v>233</v>
      </c>
      <c r="W33" s="273" t="str">
        <f>IFERROR(VLOOKUP(V33,TD!$N$34:$O$46,2,0)," ")</f>
        <v>Servicio de educación informal</v>
      </c>
      <c r="X33" s="187" t="str">
        <f>CONCATENATE(V33,"_",W33)</f>
        <v>002_Servicio de educación informal</v>
      </c>
      <c r="Y33" s="187" t="str">
        <f>CONCATENATE(U33," ",X33)</f>
        <v>07-Servicio de formación en gestión del riesgo de incendios para el personal UAECOB 002_Servicio de educación informal</v>
      </c>
      <c r="Z33" s="273" t="str">
        <f>CONCATENATE(P33,Q33,R33,S33,V33)</f>
        <v>O23011745032024025507002</v>
      </c>
      <c r="AA33" s="273" t="str">
        <f>IFERROR(VLOOKUP(Y33,TD!$K$47:$L$65,2,0)," ")</f>
        <v>PM/0131/0107/45030020255</v>
      </c>
      <c r="AB33" s="265" t="s">
        <v>138</v>
      </c>
      <c r="AC33" s="274" t="s">
        <v>205</v>
      </c>
    </row>
    <row r="34" spans="2:29" s="28" customFormat="1" ht="70" x14ac:dyDescent="0.35">
      <c r="B34" s="267">
        <v>20251097</v>
      </c>
      <c r="C34" s="268" t="s">
        <v>209</v>
      </c>
      <c r="D34" s="269" t="s">
        <v>165</v>
      </c>
      <c r="E34" s="254" t="s">
        <v>484</v>
      </c>
      <c r="F34" s="269" t="s">
        <v>1273</v>
      </c>
      <c r="G34" s="269" t="s">
        <v>155</v>
      </c>
      <c r="H34" s="270">
        <v>80111600</v>
      </c>
      <c r="I34" s="271">
        <v>10</v>
      </c>
      <c r="J34" s="271">
        <v>3</v>
      </c>
      <c r="K34" s="272">
        <v>0</v>
      </c>
      <c r="L34" s="265">
        <v>15000000</v>
      </c>
      <c r="M34" s="275" t="s">
        <v>464</v>
      </c>
      <c r="N34" s="265" t="s">
        <v>113</v>
      </c>
      <c r="O34" s="254" t="s">
        <v>229</v>
      </c>
      <c r="P34" s="273" t="str">
        <f>IFERROR(VLOOKUP(C34,TD!$B$33:$F$37,2,0)," ")</f>
        <v>O230117</v>
      </c>
      <c r="Q34" s="273" t="str">
        <f>IFERROR(VLOOKUP(C34,TD!$B$33:$F$37,3,0)," ")</f>
        <v>4503</v>
      </c>
      <c r="R34" s="273">
        <f>IFERROR(VLOOKUP(C34,TD!$B$33:$F$37,4,0)," ")</f>
        <v>20240255</v>
      </c>
      <c r="S34" s="254" t="s">
        <v>183</v>
      </c>
      <c r="T34" s="273" t="str">
        <f>IFERROR(VLOOKUP(S34,TD!$J$34:$K$44,2,0)," ")</f>
        <v>Servicio de formación en gestión del riesgo de incendios para el personal UAECOB</v>
      </c>
      <c r="U34" s="187" t="str">
        <f>CONCATENATE(S34,"-",T34)</f>
        <v>07-Servicio de formación en gestión del riesgo de incendios para el personal UAECOB</v>
      </c>
      <c r="V34" s="254" t="s">
        <v>233</v>
      </c>
      <c r="W34" s="273" t="str">
        <f>IFERROR(VLOOKUP(V34,TD!$N$34:$O$46,2,0)," ")</f>
        <v>Servicio de educación informal</v>
      </c>
      <c r="X34" s="187" t="str">
        <f>CONCATENATE(V34,"_",W34)</f>
        <v>002_Servicio de educación informal</v>
      </c>
      <c r="Y34" s="187" t="str">
        <f>CONCATENATE(U34," ",X34)</f>
        <v>07-Servicio de formación en gestión del riesgo de incendios para el personal UAECOB 002_Servicio de educación informal</v>
      </c>
      <c r="Z34" s="273" t="str">
        <f>CONCATENATE(P34,Q34,R34,S34,V34)</f>
        <v>O23011745032024025507002</v>
      </c>
      <c r="AA34" s="273" t="str">
        <f>IFERROR(VLOOKUP(Y34,TD!$K$47:$L$65,2,0)," ")</f>
        <v>PM/0131/0107/45030020255</v>
      </c>
      <c r="AB34" s="265" t="s">
        <v>138</v>
      </c>
      <c r="AC34" s="274" t="s">
        <v>205</v>
      </c>
    </row>
    <row r="35" spans="2:29" s="28" customFormat="1" ht="56" x14ac:dyDescent="0.35">
      <c r="B35" s="267">
        <v>20251100</v>
      </c>
      <c r="C35" s="268" t="s">
        <v>209</v>
      </c>
      <c r="D35" s="269" t="s">
        <v>165</v>
      </c>
      <c r="E35" s="254" t="s">
        <v>484</v>
      </c>
      <c r="F35" s="269" t="s">
        <v>1354</v>
      </c>
      <c r="G35" s="269" t="s">
        <v>155</v>
      </c>
      <c r="H35" s="270">
        <v>80111600</v>
      </c>
      <c r="I35" s="271">
        <v>11</v>
      </c>
      <c r="J35" s="271">
        <v>1.5</v>
      </c>
      <c r="K35" s="272">
        <v>0</v>
      </c>
      <c r="L35" s="265">
        <v>10240000</v>
      </c>
      <c r="M35" s="275" t="s">
        <v>464</v>
      </c>
      <c r="N35" s="265" t="s">
        <v>113</v>
      </c>
      <c r="O35" s="254" t="s">
        <v>229</v>
      </c>
      <c r="P35" s="273" t="str">
        <f>IFERROR(VLOOKUP(C35,TD!$B$33:$F$37,2,0)," ")</f>
        <v>O230117</v>
      </c>
      <c r="Q35" s="273" t="str">
        <f>IFERROR(VLOOKUP(C35,TD!$B$33:$F$37,3,0)," ")</f>
        <v>4503</v>
      </c>
      <c r="R35" s="273">
        <f>IFERROR(VLOOKUP(C35,TD!$B$33:$F$37,4,0)," ")</f>
        <v>20240255</v>
      </c>
      <c r="S35" s="254" t="s">
        <v>183</v>
      </c>
      <c r="T35" s="273" t="str">
        <f>IFERROR(VLOOKUP(S35,TD!$J$34:$K$44,2,0)," ")</f>
        <v>Servicio de formación en gestión del riesgo de incendios para el personal UAECOB</v>
      </c>
      <c r="U35" s="187" t="str">
        <f>CONCATENATE(S35,"-",T35)</f>
        <v>07-Servicio de formación en gestión del riesgo de incendios para el personal UAECOB</v>
      </c>
      <c r="V35" s="254" t="s">
        <v>233</v>
      </c>
      <c r="W35" s="273" t="str">
        <f>IFERROR(VLOOKUP(V35,TD!$N$34:$O$46,2,0)," ")</f>
        <v>Servicio de educación informal</v>
      </c>
      <c r="X35" s="187" t="str">
        <f>CONCATENATE(V35,"_",W35)</f>
        <v>002_Servicio de educación informal</v>
      </c>
      <c r="Y35" s="187" t="str">
        <f>CONCATENATE(U35," ",X35)</f>
        <v>07-Servicio de formación en gestión del riesgo de incendios para el personal UAECOB 002_Servicio de educación informal</v>
      </c>
      <c r="Z35" s="273" t="str">
        <f>CONCATENATE(P35,Q35,R35,S35,V35)</f>
        <v>O23011745032024025507002</v>
      </c>
      <c r="AA35" s="273" t="str">
        <f>IFERROR(VLOOKUP(Y35,TD!$K$47:$L$65,2,0)," ")</f>
        <v>PM/0131/0107/45030020255</v>
      </c>
      <c r="AB35" s="265" t="s">
        <v>138</v>
      </c>
      <c r="AC35" s="274" t="s">
        <v>204</v>
      </c>
    </row>
    <row r="36" spans="2:29" s="28" customFormat="1" ht="56" x14ac:dyDescent="0.35">
      <c r="B36" s="320">
        <v>20251101</v>
      </c>
      <c r="C36" s="268" t="s">
        <v>209</v>
      </c>
      <c r="D36" s="269" t="s">
        <v>165</v>
      </c>
      <c r="E36" s="254" t="s">
        <v>484</v>
      </c>
      <c r="F36" s="269" t="s">
        <v>1355</v>
      </c>
      <c r="G36" s="269" t="s">
        <v>155</v>
      </c>
      <c r="H36" s="270">
        <v>80111600</v>
      </c>
      <c r="I36" s="271">
        <v>12</v>
      </c>
      <c r="J36" s="271">
        <v>1</v>
      </c>
      <c r="K36" s="272">
        <v>0</v>
      </c>
      <c r="L36" s="265">
        <v>5750000</v>
      </c>
      <c r="M36" s="275" t="s">
        <v>464</v>
      </c>
      <c r="N36" s="265" t="s">
        <v>113</v>
      </c>
      <c r="O36" s="254" t="s">
        <v>229</v>
      </c>
      <c r="P36" s="273" t="str">
        <f>IFERROR(VLOOKUP(C36,TD!$B$33:$F$37,2,0)," ")</f>
        <v>O230117</v>
      </c>
      <c r="Q36" s="273" t="str">
        <f>IFERROR(VLOOKUP(C36,TD!$B$33:$F$37,3,0)," ")</f>
        <v>4503</v>
      </c>
      <c r="R36" s="273">
        <f>IFERROR(VLOOKUP(C36,TD!$B$33:$F$37,4,0)," ")</f>
        <v>20240255</v>
      </c>
      <c r="S36" s="254" t="s">
        <v>183</v>
      </c>
      <c r="T36" s="273" t="str">
        <f>IFERROR(VLOOKUP(S36,TD!$J$34:$K$44,2,0)," ")</f>
        <v>Servicio de formación en gestión del riesgo de incendios para el personal UAECOB</v>
      </c>
      <c r="U36" s="187" t="str">
        <f>CONCATENATE(S36,"-",T36)</f>
        <v>07-Servicio de formación en gestión del riesgo de incendios para el personal UAECOB</v>
      </c>
      <c r="V36" s="254" t="s">
        <v>233</v>
      </c>
      <c r="W36" s="273" t="str">
        <f>IFERROR(VLOOKUP(V36,TD!$N$34:$O$46,2,0)," ")</f>
        <v>Servicio de educación informal</v>
      </c>
      <c r="X36" s="187" t="str">
        <f>CONCATENATE(V36,"_",W36)</f>
        <v>002_Servicio de educación informal</v>
      </c>
      <c r="Y36" s="187" t="str">
        <f>CONCATENATE(U36," ",X36)</f>
        <v>07-Servicio de formación en gestión del riesgo de incendios para el personal UAECOB 002_Servicio de educación informal</v>
      </c>
      <c r="Z36" s="273" t="str">
        <f>CONCATENATE(P36,Q36,R36,S36,V36)</f>
        <v>O23011745032024025507002</v>
      </c>
      <c r="AA36" s="273" t="str">
        <f>IFERROR(VLOOKUP(Y36,TD!$K$47:$L$65,2,0)," ")</f>
        <v>PM/0131/0107/45030020255</v>
      </c>
      <c r="AB36" s="265" t="s">
        <v>138</v>
      </c>
      <c r="AC36" s="274" t="s">
        <v>204</v>
      </c>
    </row>
    <row r="37" spans="2:29" s="28" customFormat="1" ht="56" x14ac:dyDescent="0.35">
      <c r="B37" s="320">
        <v>20251116</v>
      </c>
      <c r="C37" s="268" t="s">
        <v>209</v>
      </c>
      <c r="D37" s="269" t="s">
        <v>165</v>
      </c>
      <c r="E37" s="254" t="s">
        <v>484</v>
      </c>
      <c r="F37" s="269" t="s">
        <v>1288</v>
      </c>
      <c r="G37" s="269" t="s">
        <v>155</v>
      </c>
      <c r="H37" s="270">
        <v>80111600</v>
      </c>
      <c r="I37" s="271">
        <v>10</v>
      </c>
      <c r="J37" s="271">
        <v>3.5</v>
      </c>
      <c r="K37" s="272">
        <v>0</v>
      </c>
      <c r="L37" s="265">
        <v>17062500</v>
      </c>
      <c r="M37" s="275" t="s">
        <v>464</v>
      </c>
      <c r="N37" s="265" t="s">
        <v>113</v>
      </c>
      <c r="O37" s="254" t="s">
        <v>229</v>
      </c>
      <c r="P37" s="273" t="str">
        <f>IFERROR(VLOOKUP(C37,TD!$B$33:$F$37,2,0)," ")</f>
        <v>O230117</v>
      </c>
      <c r="Q37" s="273" t="str">
        <f>IFERROR(VLOOKUP(C37,TD!$B$33:$F$37,3,0)," ")</f>
        <v>4503</v>
      </c>
      <c r="R37" s="273">
        <f>IFERROR(VLOOKUP(C37,TD!$B$33:$F$37,4,0)," ")</f>
        <v>20240255</v>
      </c>
      <c r="S37" s="254" t="s">
        <v>183</v>
      </c>
      <c r="T37" s="273" t="str">
        <f>IFERROR(VLOOKUP(S37,TD!$J$34:$K$44,2,0)," ")</f>
        <v>Servicio de formación en gestión del riesgo de incendios para el personal UAECOB</v>
      </c>
      <c r="U37" s="187" t="str">
        <f>CONCATENATE(S37,"-",T37)</f>
        <v>07-Servicio de formación en gestión del riesgo de incendios para el personal UAECOB</v>
      </c>
      <c r="V37" s="254" t="s">
        <v>233</v>
      </c>
      <c r="W37" s="273" t="str">
        <f>IFERROR(VLOOKUP(V37,TD!$N$34:$O$46,2,0)," ")</f>
        <v>Servicio de educación informal</v>
      </c>
      <c r="X37" s="187" t="str">
        <f>CONCATENATE(V37,"_",W37)</f>
        <v>002_Servicio de educación informal</v>
      </c>
      <c r="Y37" s="187" t="str">
        <f>CONCATENATE(U37," ",X37)</f>
        <v>07-Servicio de formación en gestión del riesgo de incendios para el personal UAECOB 002_Servicio de educación informal</v>
      </c>
      <c r="Z37" s="273" t="str">
        <f>CONCATENATE(P37,Q37,R37,S37,V37)</f>
        <v>O23011745032024025507002</v>
      </c>
      <c r="AA37" s="273" t="str">
        <f>IFERROR(VLOOKUP(Y37,TD!$K$47:$L$65,2,0)," ")</f>
        <v>PM/0131/0107/45030020255</v>
      </c>
      <c r="AB37" s="265" t="s">
        <v>120</v>
      </c>
      <c r="AC37" s="274" t="s">
        <v>204</v>
      </c>
    </row>
    <row r="38" spans="2:29" s="28" customFormat="1" ht="56" x14ac:dyDescent="0.35">
      <c r="B38" s="258">
        <v>20251139</v>
      </c>
      <c r="C38" s="259" t="s">
        <v>209</v>
      </c>
      <c r="D38" s="260" t="s">
        <v>169</v>
      </c>
      <c r="E38" s="255" t="s">
        <v>465</v>
      </c>
      <c r="F38" s="260" t="s">
        <v>1314</v>
      </c>
      <c r="G38" s="260" t="s">
        <v>109</v>
      </c>
      <c r="H38" s="261" t="s">
        <v>1315</v>
      </c>
      <c r="I38" s="262">
        <v>10</v>
      </c>
      <c r="J38" s="262">
        <v>3</v>
      </c>
      <c r="K38" s="263">
        <v>0</v>
      </c>
      <c r="L38" s="264">
        <v>6850311197</v>
      </c>
      <c r="M38" s="260" t="s">
        <v>1309</v>
      </c>
      <c r="N38" s="264" t="s">
        <v>113</v>
      </c>
      <c r="O38" s="255" t="s">
        <v>222</v>
      </c>
      <c r="P38" s="256" t="str">
        <f>IFERROR(VLOOKUP(C38,TD!$B$33:$F$37,2,0)," ")</f>
        <v>O230117</v>
      </c>
      <c r="Q38" s="256" t="str">
        <f>IFERROR(VLOOKUP(C38,TD!$B$33:$F$37,3,0)," ")</f>
        <v>4503</v>
      </c>
      <c r="R38" s="256">
        <f>IFERROR(VLOOKUP(C38,TD!$B$33:$F$37,4,0)," ")</f>
        <v>20240255</v>
      </c>
      <c r="S38" s="255" t="s">
        <v>189</v>
      </c>
      <c r="T38" s="256" t="str">
        <f>IFERROR(VLOOKUP(S38,TD!$J$34:$K$44,2,0)," ")</f>
        <v>Servicio de dotación y equipamento para el personal operativo</v>
      </c>
      <c r="U38" s="187" t="str">
        <f>CONCATENATE(S38,"-",T38)</f>
        <v>10-Servicio de dotación y equipamento para el personal operativo</v>
      </c>
      <c r="V38" s="255" t="s">
        <v>232</v>
      </c>
      <c r="W38" s="256" t="str">
        <f>IFERROR(VLOOKUP(V38,TD!$N$34:$O$46,2,0)," ")</f>
        <v>Servicio de atención a emergencias y desastres</v>
      </c>
      <c r="X38" s="187" t="str">
        <f>CONCATENATE(V38,"_",W38)</f>
        <v>004_Servicio de atención a emergencias y desastres</v>
      </c>
      <c r="Y38" s="187" t="str">
        <f>CONCATENATE(U38," ",X38)</f>
        <v>10-Servicio de dotación y equipamento para el personal operativo 004_Servicio de atención a emergencias y desastres</v>
      </c>
      <c r="Z38" s="256" t="str">
        <f>CONCATENATE(P38,Q38,R38,S38,V38)</f>
        <v>O23011745032024025510004</v>
      </c>
      <c r="AA38" s="256" t="str">
        <f>IFERROR(VLOOKUP(Y38,TD!$K$47:$L$65,2,0)," ")</f>
        <v>PM/0131/0110/45030040255</v>
      </c>
      <c r="AB38" s="264" t="s">
        <v>87</v>
      </c>
      <c r="AC38" s="266" t="s">
        <v>204</v>
      </c>
    </row>
    <row r="39" spans="2:29" s="28" customFormat="1" ht="70" x14ac:dyDescent="0.35">
      <c r="B39" s="267">
        <v>20251161</v>
      </c>
      <c r="C39" s="268" t="s">
        <v>209</v>
      </c>
      <c r="D39" s="269" t="s">
        <v>165</v>
      </c>
      <c r="E39" s="254" t="s">
        <v>484</v>
      </c>
      <c r="F39" s="269" t="s">
        <v>1342</v>
      </c>
      <c r="G39" s="269" t="s">
        <v>96</v>
      </c>
      <c r="H39" s="270" t="s">
        <v>486</v>
      </c>
      <c r="I39" s="271">
        <v>11</v>
      </c>
      <c r="J39" s="271">
        <v>4</v>
      </c>
      <c r="K39" s="272">
        <v>0</v>
      </c>
      <c r="L39" s="265">
        <v>46000000</v>
      </c>
      <c r="M39" s="275" t="s">
        <v>464</v>
      </c>
      <c r="N39" s="265" t="s">
        <v>100</v>
      </c>
      <c r="O39" s="254" t="s">
        <v>229</v>
      </c>
      <c r="P39" s="273" t="str">
        <f>IFERROR(VLOOKUP(C39,TD!$B$33:$F$37,2,0)," ")</f>
        <v>O230117</v>
      </c>
      <c r="Q39" s="273" t="str">
        <f>IFERROR(VLOOKUP(C39,TD!$B$33:$F$37,3,0)," ")</f>
        <v>4503</v>
      </c>
      <c r="R39" s="273">
        <f>IFERROR(VLOOKUP(C39,TD!$B$33:$F$37,4,0)," ")</f>
        <v>20240255</v>
      </c>
      <c r="S39" s="255" t="s">
        <v>183</v>
      </c>
      <c r="T39" s="256" t="str">
        <f>IFERROR(VLOOKUP(S39,TD!$J$34:$K$44,2,0)," ")</f>
        <v>Servicio de formación en gestión del riesgo de incendios para el personal UAECOB</v>
      </c>
      <c r="U39" s="187" t="str">
        <f>CONCATENATE(S39,"-",T39)</f>
        <v>07-Servicio de formación en gestión del riesgo de incendios para el personal UAECOB</v>
      </c>
      <c r="V39" s="255" t="s">
        <v>233</v>
      </c>
      <c r="W39" s="256" t="str">
        <f>IFERROR(VLOOKUP(V39,TD!$N$34:$O$46,2,0)," ")</f>
        <v>Servicio de educación informal</v>
      </c>
      <c r="X39" s="187" t="str">
        <f>CONCATENATE(V39,"_",W39)</f>
        <v>002_Servicio de educación informal</v>
      </c>
      <c r="Y39" s="187" t="str">
        <f>CONCATENATE(U39," ",X39)</f>
        <v>07-Servicio de formación en gestión del riesgo de incendios para el personal UAECOB 002_Servicio de educación informal</v>
      </c>
      <c r="Z39" s="273" t="str">
        <f>CONCATENATE(P39,Q39,R39,S39,V39)</f>
        <v>O23011745032024025507002</v>
      </c>
      <c r="AA39" s="273" t="str">
        <f>IFERROR(VLOOKUP(Y39,TD!$K$47:$L$65,2,0)," ")</f>
        <v>PM/0131/0107/45030020255</v>
      </c>
      <c r="AB39" s="265" t="s">
        <v>138</v>
      </c>
      <c r="AC39" s="274" t="s">
        <v>204</v>
      </c>
    </row>
    <row r="40" spans="2:29" s="28" customFormat="1" ht="56" x14ac:dyDescent="0.35">
      <c r="B40" s="267">
        <v>20251162</v>
      </c>
      <c r="C40" s="268" t="s">
        <v>209</v>
      </c>
      <c r="D40" s="269" t="s">
        <v>165</v>
      </c>
      <c r="E40" s="254" t="s">
        <v>484</v>
      </c>
      <c r="F40" s="269" t="s">
        <v>1343</v>
      </c>
      <c r="G40" s="269" t="s">
        <v>155</v>
      </c>
      <c r="H40" s="270">
        <v>80111600</v>
      </c>
      <c r="I40" s="271">
        <v>11</v>
      </c>
      <c r="J40" s="271">
        <v>3</v>
      </c>
      <c r="K40" s="272">
        <v>0</v>
      </c>
      <c r="L40" s="265">
        <v>20000000</v>
      </c>
      <c r="M40" s="275" t="s">
        <v>464</v>
      </c>
      <c r="N40" s="265" t="s">
        <v>113</v>
      </c>
      <c r="O40" s="254" t="s">
        <v>229</v>
      </c>
      <c r="P40" s="273" t="str">
        <f>IFERROR(VLOOKUP(C40,TD!$B$33:$F$37,2,0)," ")</f>
        <v>O230117</v>
      </c>
      <c r="Q40" s="273" t="str">
        <f>IFERROR(VLOOKUP(C40,TD!$B$33:$F$37,3,0)," ")</f>
        <v>4503</v>
      </c>
      <c r="R40" s="273">
        <f>IFERROR(VLOOKUP(C40,TD!$B$33:$F$37,4,0)," ")</f>
        <v>20240255</v>
      </c>
      <c r="S40" s="255" t="s">
        <v>183</v>
      </c>
      <c r="T40" s="256" t="str">
        <f>IFERROR(VLOOKUP(S40,TD!$J$34:$K$44,2,0)," ")</f>
        <v>Servicio de formación en gestión del riesgo de incendios para el personal UAECOB</v>
      </c>
      <c r="U40" s="187" t="str">
        <f>CONCATENATE(S40,"-",T40)</f>
        <v>07-Servicio de formación en gestión del riesgo de incendios para el personal UAECOB</v>
      </c>
      <c r="V40" s="255" t="s">
        <v>233</v>
      </c>
      <c r="W40" s="256" t="str">
        <f>IFERROR(VLOOKUP(V40,TD!$N$34:$O$46,2,0)," ")</f>
        <v>Servicio de educación informal</v>
      </c>
      <c r="X40" s="187" t="str">
        <f>CONCATENATE(V40,"_",W40)</f>
        <v>002_Servicio de educación informal</v>
      </c>
      <c r="Y40" s="187" t="str">
        <f>CONCATENATE(U40," ",X40)</f>
        <v>07-Servicio de formación en gestión del riesgo de incendios para el personal UAECOB 002_Servicio de educación informal</v>
      </c>
      <c r="Z40" s="273" t="str">
        <f>CONCATENATE(P40,Q40,R40,S40,V40)</f>
        <v>O23011745032024025507002</v>
      </c>
      <c r="AA40" s="273" t="str">
        <f>IFERROR(VLOOKUP(Y40,TD!$K$47:$L$65,2,0)," ")</f>
        <v>PM/0131/0107/45030020255</v>
      </c>
      <c r="AB40" s="265" t="s">
        <v>138</v>
      </c>
      <c r="AC40" s="274" t="s">
        <v>204</v>
      </c>
    </row>
    <row r="41" spans="2:29" s="28" customFormat="1" ht="56" x14ac:dyDescent="0.35">
      <c r="B41" s="267">
        <v>20251165</v>
      </c>
      <c r="C41" s="268" t="s">
        <v>208</v>
      </c>
      <c r="D41" s="269" t="s">
        <v>163</v>
      </c>
      <c r="E41" s="254" t="s">
        <v>350</v>
      </c>
      <c r="F41" s="269" t="s">
        <v>1348</v>
      </c>
      <c r="G41" s="269" t="s">
        <v>155</v>
      </c>
      <c r="H41" s="270">
        <v>80111600</v>
      </c>
      <c r="I41" s="271">
        <v>10</v>
      </c>
      <c r="J41" s="271">
        <v>2</v>
      </c>
      <c r="K41" s="272">
        <v>12</v>
      </c>
      <c r="L41" s="265">
        <v>18396000</v>
      </c>
      <c r="M41" s="275" t="s">
        <v>464</v>
      </c>
      <c r="N41" s="265" t="s">
        <v>113</v>
      </c>
      <c r="O41" s="254" t="s">
        <v>219</v>
      </c>
      <c r="P41" s="273" t="str">
        <f>IFERROR(VLOOKUP(C41,TD!$B$33:$F$37,2,0)," ")</f>
        <v>O230117</v>
      </c>
      <c r="Q41" s="273" t="str">
        <f>IFERROR(VLOOKUP(C41,TD!$B$33:$F$37,3,0)," ")</f>
        <v>4599</v>
      </c>
      <c r="R41" s="273">
        <f>IFERROR(VLOOKUP(C41,TD!$B$33:$F$37,4,0)," ")</f>
        <v>20240207</v>
      </c>
      <c r="S41" s="255" t="s">
        <v>185</v>
      </c>
      <c r="T41" s="256" t="str">
        <f>IFERROR(VLOOKUP(S41,TD!$J$34:$K$44,2,0)," ")</f>
        <v>Infraestructura física, mantenimiento y dotación (Sedes construidas, mantenidas reforzadas)</v>
      </c>
      <c r="U41" s="187" t="str">
        <f>CONCATENATE(S41,"-",T41)</f>
        <v>08-Infraestructura física, mantenimiento y dotación (Sedes construidas, mantenidas reforzadas)</v>
      </c>
      <c r="V41" s="255" t="s">
        <v>238</v>
      </c>
      <c r="W41" s="256" t="str">
        <f>IFERROR(VLOOKUP(V41,TD!$N$34:$O$46,2,0)," ")</f>
        <v>Sedes mantenidas</v>
      </c>
      <c r="X41" s="187" t="str">
        <f>CONCATENATE(V41,"_",W41)</f>
        <v>016_Sedes mantenidas</v>
      </c>
      <c r="Y41" s="187" t="str">
        <f>CONCATENATE(U41," ",X41)</f>
        <v>08-Infraestructura física, mantenimiento y dotación (Sedes construidas, mantenidas reforzadas) 016_Sedes mantenidas</v>
      </c>
      <c r="Z41" s="273" t="str">
        <f>CONCATENATE(P41,Q41,R41,S41,V41)</f>
        <v>O23011745992024020708016</v>
      </c>
      <c r="AA41" s="273" t="str">
        <f>IFERROR(VLOOKUP(Y41,TD!$K$47:$L$65,2,0)," ")</f>
        <v>PM/0131/0108/45990160207</v>
      </c>
      <c r="AB41" s="265" t="s">
        <v>138</v>
      </c>
      <c r="AC41" s="274" t="s">
        <v>205</v>
      </c>
    </row>
    <row r="42" spans="2:29" s="28" customFormat="1" ht="56" x14ac:dyDescent="0.35">
      <c r="B42" s="321">
        <v>20251170</v>
      </c>
      <c r="C42" s="326" t="s">
        <v>209</v>
      </c>
      <c r="D42" s="329" t="s">
        <v>165</v>
      </c>
      <c r="E42" s="333" t="s">
        <v>484</v>
      </c>
      <c r="F42" s="329" t="s">
        <v>1349</v>
      </c>
      <c r="G42" s="329" t="s">
        <v>155</v>
      </c>
      <c r="H42" s="336">
        <v>80111600</v>
      </c>
      <c r="I42" s="339">
        <v>5</v>
      </c>
      <c r="J42" s="339">
        <v>4</v>
      </c>
      <c r="K42" s="342">
        <v>0</v>
      </c>
      <c r="L42" s="345">
        <v>10322000</v>
      </c>
      <c r="M42" s="349" t="s">
        <v>464</v>
      </c>
      <c r="N42" s="354" t="s">
        <v>508</v>
      </c>
      <c r="O42" s="333" t="s">
        <v>229</v>
      </c>
      <c r="P42" s="355" t="str">
        <f>IFERROR(VLOOKUP(C42,TD!$B$33:$F$37,2,0)," ")</f>
        <v>O230117</v>
      </c>
      <c r="Q42" s="355" t="str">
        <f>IFERROR(VLOOKUP(C42,TD!$B$33:$F$37,3,0)," ")</f>
        <v>4503</v>
      </c>
      <c r="R42" s="355">
        <f>IFERROR(VLOOKUP(C42,TD!$B$33:$F$37,4,0)," ")</f>
        <v>20240255</v>
      </c>
      <c r="S42" s="255" t="s">
        <v>183</v>
      </c>
      <c r="T42" s="256" t="str">
        <f>IFERROR(VLOOKUP(S42,TD!$J$34:$K$44,2,0)," ")</f>
        <v>Servicio de formación en gestión del riesgo de incendios para el personal UAECOB</v>
      </c>
      <c r="U42" s="257" t="str">
        <f>CONCATENATE(S42,"-",T42)</f>
        <v>07-Servicio de formación en gestión del riesgo de incendios para el personal UAECOB</v>
      </c>
      <c r="V42" s="255" t="s">
        <v>233</v>
      </c>
      <c r="W42" s="256" t="str">
        <f>IFERROR(VLOOKUP(V42,TD!$N$34:$O$46,2,0)," ")</f>
        <v>Servicio de educación informal</v>
      </c>
      <c r="X42" s="257" t="str">
        <f>CONCATENATE(V42,"_",W42)</f>
        <v>002_Servicio de educación informal</v>
      </c>
      <c r="Y42" s="257" t="str">
        <f>CONCATENATE(U42," ",X42)</f>
        <v>07-Servicio de formación en gestión del riesgo de incendios para el personal UAECOB 002_Servicio de educación informal</v>
      </c>
      <c r="Z42" s="355" t="str">
        <f>CONCATENATE(P42,Q42,R42,S42,V42)</f>
        <v>O23011745032024025507002</v>
      </c>
      <c r="AA42" s="355" t="str">
        <f>IFERROR(VLOOKUP(Y42,TD!$K$47:$L$65,2,0)," ")</f>
        <v>PM/0131/0107/45030020255</v>
      </c>
      <c r="AB42" s="354" t="s">
        <v>138</v>
      </c>
      <c r="AC42" s="360" t="s">
        <v>205</v>
      </c>
    </row>
    <row r="43" spans="2:29" s="28" customFormat="1" ht="70" x14ac:dyDescent="0.35">
      <c r="B43" s="321">
        <v>20251171</v>
      </c>
      <c r="C43" s="326" t="s">
        <v>209</v>
      </c>
      <c r="D43" s="329" t="s">
        <v>165</v>
      </c>
      <c r="E43" s="333" t="s">
        <v>484</v>
      </c>
      <c r="F43" s="329" t="s">
        <v>1350</v>
      </c>
      <c r="G43" s="329" t="s">
        <v>155</v>
      </c>
      <c r="H43" s="336">
        <v>80111600</v>
      </c>
      <c r="I43" s="339">
        <v>5</v>
      </c>
      <c r="J43" s="339">
        <v>4</v>
      </c>
      <c r="K43" s="342">
        <v>0</v>
      </c>
      <c r="L43" s="345">
        <v>7741500</v>
      </c>
      <c r="M43" s="349" t="s">
        <v>464</v>
      </c>
      <c r="N43" s="354" t="s">
        <v>508</v>
      </c>
      <c r="O43" s="333" t="s">
        <v>229</v>
      </c>
      <c r="P43" s="355" t="str">
        <f>IFERROR(VLOOKUP(C43,TD!$B$33:$F$37,2,0)," ")</f>
        <v>O230117</v>
      </c>
      <c r="Q43" s="355" t="str">
        <f>IFERROR(VLOOKUP(C43,TD!$B$33:$F$37,3,0)," ")</f>
        <v>4503</v>
      </c>
      <c r="R43" s="355">
        <f>IFERROR(VLOOKUP(C43,TD!$B$33:$F$37,4,0)," ")</f>
        <v>20240255</v>
      </c>
      <c r="S43" s="255" t="s">
        <v>183</v>
      </c>
      <c r="T43" s="256" t="str">
        <f>IFERROR(VLOOKUP(S43,TD!$J$34:$K$44,2,0)," ")</f>
        <v>Servicio de formación en gestión del riesgo de incendios para el personal UAECOB</v>
      </c>
      <c r="U43" s="257" t="str">
        <f>CONCATENATE(S43,"-",T43)</f>
        <v>07-Servicio de formación en gestión del riesgo de incendios para el personal UAECOB</v>
      </c>
      <c r="V43" s="255" t="s">
        <v>233</v>
      </c>
      <c r="W43" s="256" t="str">
        <f>IFERROR(VLOOKUP(V43,TD!$N$34:$O$46,2,0)," ")</f>
        <v>Servicio de educación informal</v>
      </c>
      <c r="X43" s="257" t="str">
        <f>CONCATENATE(V43,"_",W43)</f>
        <v>002_Servicio de educación informal</v>
      </c>
      <c r="Y43" s="257" t="str">
        <f>CONCATENATE(U43," ",X43)</f>
        <v>07-Servicio de formación en gestión del riesgo de incendios para el personal UAECOB 002_Servicio de educación informal</v>
      </c>
      <c r="Z43" s="355" t="str">
        <f>CONCATENATE(P43,Q43,R43,S43,V43)</f>
        <v>O23011745032024025507002</v>
      </c>
      <c r="AA43" s="355" t="str">
        <f>IFERROR(VLOOKUP(Y43,TD!$K$47:$L$65,2,0)," ")</f>
        <v>PM/0131/0107/45030020255</v>
      </c>
      <c r="AB43" s="354" t="s">
        <v>138</v>
      </c>
      <c r="AC43" s="360" t="s">
        <v>205</v>
      </c>
    </row>
    <row r="44" spans="2:29" s="28" customFormat="1" ht="70" x14ac:dyDescent="0.35">
      <c r="B44" s="321">
        <v>20251172</v>
      </c>
      <c r="C44" s="326" t="s">
        <v>209</v>
      </c>
      <c r="D44" s="329" t="s">
        <v>165</v>
      </c>
      <c r="E44" s="333" t="s">
        <v>484</v>
      </c>
      <c r="F44" s="329" t="s">
        <v>1351</v>
      </c>
      <c r="G44" s="329" t="s">
        <v>155</v>
      </c>
      <c r="H44" s="336">
        <v>80111600</v>
      </c>
      <c r="I44" s="339">
        <v>5</v>
      </c>
      <c r="J44" s="339">
        <v>4</v>
      </c>
      <c r="K44" s="342">
        <v>0</v>
      </c>
      <c r="L44" s="345">
        <v>10322000</v>
      </c>
      <c r="M44" s="349" t="s">
        <v>464</v>
      </c>
      <c r="N44" s="354" t="s">
        <v>508</v>
      </c>
      <c r="O44" s="333" t="s">
        <v>229</v>
      </c>
      <c r="P44" s="355" t="str">
        <f>IFERROR(VLOOKUP(C44,TD!$B$33:$F$37,2,0)," ")</f>
        <v>O230117</v>
      </c>
      <c r="Q44" s="355" t="str">
        <f>IFERROR(VLOOKUP(C44,TD!$B$33:$F$37,3,0)," ")</f>
        <v>4503</v>
      </c>
      <c r="R44" s="355">
        <f>IFERROR(VLOOKUP(C44,TD!$B$33:$F$37,4,0)," ")</f>
        <v>20240255</v>
      </c>
      <c r="S44" s="255" t="s">
        <v>183</v>
      </c>
      <c r="T44" s="256" t="str">
        <f>IFERROR(VLOOKUP(S44,TD!$J$34:$K$44,2,0)," ")</f>
        <v>Servicio de formación en gestión del riesgo de incendios para el personal UAECOB</v>
      </c>
      <c r="U44" s="257" t="str">
        <f>CONCATENATE(S44,"-",T44)</f>
        <v>07-Servicio de formación en gestión del riesgo de incendios para el personal UAECOB</v>
      </c>
      <c r="V44" s="255" t="s">
        <v>233</v>
      </c>
      <c r="W44" s="256" t="str">
        <f>IFERROR(VLOOKUP(V44,TD!$N$34:$O$46,2,0)," ")</f>
        <v>Servicio de educación informal</v>
      </c>
      <c r="X44" s="257" t="str">
        <f>CONCATENATE(V44,"_",W44)</f>
        <v>002_Servicio de educación informal</v>
      </c>
      <c r="Y44" s="257" t="str">
        <f>CONCATENATE(U44," ",X44)</f>
        <v>07-Servicio de formación en gestión del riesgo de incendios para el personal UAECOB 002_Servicio de educación informal</v>
      </c>
      <c r="Z44" s="355" t="str">
        <f>CONCATENATE(P44,Q44,R44,S44,V44)</f>
        <v>O23011745032024025507002</v>
      </c>
      <c r="AA44" s="355" t="str">
        <f>IFERROR(VLOOKUP(Y44,TD!$K$47:$L$65,2,0)," ")</f>
        <v>PM/0131/0107/45030020255</v>
      </c>
      <c r="AB44" s="354" t="s">
        <v>138</v>
      </c>
      <c r="AC44" s="360" t="s">
        <v>205</v>
      </c>
    </row>
    <row r="45" spans="2:29" s="28" customFormat="1" ht="56" x14ac:dyDescent="0.35">
      <c r="B45" s="321">
        <v>20251173</v>
      </c>
      <c r="C45" s="327" t="s">
        <v>209</v>
      </c>
      <c r="D45" s="329" t="s">
        <v>165</v>
      </c>
      <c r="E45" s="333" t="s">
        <v>484</v>
      </c>
      <c r="F45" s="329" t="s">
        <v>434</v>
      </c>
      <c r="G45" s="329" t="s">
        <v>155</v>
      </c>
      <c r="H45" s="336">
        <v>80111600</v>
      </c>
      <c r="I45" s="339">
        <v>12</v>
      </c>
      <c r="J45" s="339">
        <v>1</v>
      </c>
      <c r="K45" s="342">
        <v>0</v>
      </c>
      <c r="L45" s="345">
        <v>1241862</v>
      </c>
      <c r="M45" s="351" t="s">
        <v>464</v>
      </c>
      <c r="N45" s="345" t="s">
        <v>113</v>
      </c>
      <c r="O45" s="333" t="s">
        <v>229</v>
      </c>
      <c r="P45" s="355" t="str">
        <f>IFERROR(VLOOKUP(C45,TD!$B$33:$F$37,2,0)," ")</f>
        <v>O230117</v>
      </c>
      <c r="Q45" s="355" t="str">
        <f>IFERROR(VLOOKUP(C45,TD!$B$33:$F$37,3,0)," ")</f>
        <v>4503</v>
      </c>
      <c r="R45" s="355">
        <f>IFERROR(VLOOKUP(C45,TD!$B$33:$F$37,4,0)," ")</f>
        <v>20240255</v>
      </c>
      <c r="S45" s="333" t="s">
        <v>183</v>
      </c>
      <c r="T45" s="355" t="str">
        <f>IFERROR(VLOOKUP(S45,TD!$J$34:$K$44,2,0)," ")</f>
        <v>Servicio de formación en gestión del riesgo de incendios para el personal UAECOB</v>
      </c>
      <c r="U45" s="257" t="str">
        <f>CONCATENATE(S45,"-",T45)</f>
        <v>07-Servicio de formación en gestión del riesgo de incendios para el personal UAECOB</v>
      </c>
      <c r="V45" s="333" t="s">
        <v>233</v>
      </c>
      <c r="W45" s="355" t="str">
        <f>IFERROR(VLOOKUP(V45,TD!$N$34:$O$46,2,0)," ")</f>
        <v>Servicio de educación informal</v>
      </c>
      <c r="X45" s="257" t="str">
        <f>CONCATENATE(V45,"_",W45)</f>
        <v>002_Servicio de educación informal</v>
      </c>
      <c r="Y45" s="257" t="str">
        <f>CONCATENATE(U45," ",X45)</f>
        <v>07-Servicio de formación en gestión del riesgo de incendios para el personal UAECOB 002_Servicio de educación informal</v>
      </c>
      <c r="Z45" s="355" t="str">
        <f>CONCATENATE(P45,Q45,R45,S45,V45)</f>
        <v>O23011745032024025507002</v>
      </c>
      <c r="AA45" s="355" t="str">
        <f>IFERROR(VLOOKUP(Y45,TD!$K$47:$L$65,2,0)," ")</f>
        <v>PM/0131/0107/45030020255</v>
      </c>
      <c r="AB45" s="345" t="s">
        <v>120</v>
      </c>
      <c r="AC45" s="360" t="s">
        <v>204</v>
      </c>
    </row>
    <row r="46" spans="2:29" s="28" customFormat="1" ht="70" x14ac:dyDescent="0.35">
      <c r="B46" s="321">
        <v>20251174</v>
      </c>
      <c r="C46" s="327" t="s">
        <v>209</v>
      </c>
      <c r="D46" s="329" t="s">
        <v>168</v>
      </c>
      <c r="E46" s="333" t="s">
        <v>603</v>
      </c>
      <c r="F46" s="329" t="s">
        <v>1356</v>
      </c>
      <c r="G46" s="329" t="s">
        <v>155</v>
      </c>
      <c r="H46" s="336" t="s">
        <v>1357</v>
      </c>
      <c r="I46" s="339">
        <v>11</v>
      </c>
      <c r="J46" s="339">
        <v>5</v>
      </c>
      <c r="K46" s="342">
        <v>0</v>
      </c>
      <c r="L46" s="345">
        <v>64000000</v>
      </c>
      <c r="M46" s="351" t="s">
        <v>464</v>
      </c>
      <c r="N46" s="345" t="s">
        <v>100</v>
      </c>
      <c r="O46" s="333" t="s">
        <v>224</v>
      </c>
      <c r="P46" s="355" t="str">
        <f>IFERROR(VLOOKUP(C46,TD!$B$33:$F$37,2,0)," ")</f>
        <v>O230117</v>
      </c>
      <c r="Q46" s="355" t="str">
        <f>IFERROR(VLOOKUP(C46,TD!$B$33:$F$37,3,0)," ")</f>
        <v>4503</v>
      </c>
      <c r="R46" s="355">
        <f>IFERROR(VLOOKUP(C46,TD!$B$33:$F$37,4,0)," ")</f>
        <v>20240255</v>
      </c>
      <c r="S46" s="333" t="s">
        <v>191</v>
      </c>
      <c r="T46" s="355" t="str">
        <f>IFERROR(VLOOKUP(S46,TD!$J$34:$K$44,2,0)," ")</f>
        <v>Servicio de apoyo   logístico  en eventos operativos y/o emergencias.</v>
      </c>
      <c r="U46" s="358" t="str">
        <f>CONCATENATE(S46,"-",T46)</f>
        <v>12-Servicio de apoyo   logístico  en eventos operativos y/o emergencias.</v>
      </c>
      <c r="V46" s="333" t="s">
        <v>232</v>
      </c>
      <c r="W46" s="355" t="str">
        <f>IFERROR(VLOOKUP(V46,TD!$N$34:$O$46,2,0)," ")</f>
        <v>Servicio de atención a emergencias y desastres</v>
      </c>
      <c r="X46" s="358" t="str">
        <f>CONCATENATE(V46,"_",W46)</f>
        <v>004_Servicio de atención a emergencias y desastres</v>
      </c>
      <c r="Y46" s="358" t="str">
        <f>CONCATENATE(U46," ",X46)</f>
        <v>12-Servicio de apoyo   logístico  en eventos operativos y/o emergencias. 004_Servicio de atención a emergencias y desastres</v>
      </c>
      <c r="Z46" s="355" t="str">
        <f>CONCATENATE(P46,Q46,R46,S46,V46)</f>
        <v>O23011745032024025512004</v>
      </c>
      <c r="AA46" s="355" t="str">
        <f>IFERROR(VLOOKUP(Y46,TD!$K$47:$L$65,2,0)," ")</f>
        <v>PM/0131/0112/45030040255</v>
      </c>
      <c r="AB46" s="345" t="s">
        <v>87</v>
      </c>
      <c r="AC46" s="360" t="s">
        <v>204</v>
      </c>
    </row>
    <row r="47" spans="2:29" s="28" customFormat="1" ht="70" x14ac:dyDescent="0.35">
      <c r="B47" s="321">
        <v>20251175</v>
      </c>
      <c r="C47" s="327" t="s">
        <v>209</v>
      </c>
      <c r="D47" s="329" t="s">
        <v>168</v>
      </c>
      <c r="E47" s="333" t="s">
        <v>603</v>
      </c>
      <c r="F47" s="329" t="s">
        <v>1358</v>
      </c>
      <c r="G47" s="329" t="s">
        <v>155</v>
      </c>
      <c r="H47" s="336">
        <v>80111600</v>
      </c>
      <c r="I47" s="339">
        <v>11</v>
      </c>
      <c r="J47" s="339">
        <v>2</v>
      </c>
      <c r="K47" s="342">
        <v>0</v>
      </c>
      <c r="L47" s="345">
        <v>11000000</v>
      </c>
      <c r="M47" s="351" t="s">
        <v>464</v>
      </c>
      <c r="N47" s="345" t="s">
        <v>113</v>
      </c>
      <c r="O47" s="333" t="s">
        <v>224</v>
      </c>
      <c r="P47" s="355" t="str">
        <f>IFERROR(VLOOKUP(C47,TD!$B$33:$F$37,2,0)," ")</f>
        <v>O230117</v>
      </c>
      <c r="Q47" s="355" t="str">
        <f>IFERROR(VLOOKUP(C47,TD!$B$33:$F$37,3,0)," ")</f>
        <v>4503</v>
      </c>
      <c r="R47" s="355">
        <f>IFERROR(VLOOKUP(C47,TD!$B$33:$F$37,4,0)," ")</f>
        <v>20240255</v>
      </c>
      <c r="S47" s="333" t="s">
        <v>191</v>
      </c>
      <c r="T47" s="355" t="str">
        <f>IFERROR(VLOOKUP(S47,TD!$J$34:$K$44,2,0)," ")</f>
        <v>Servicio de apoyo   logístico  en eventos operativos y/o emergencias.</v>
      </c>
      <c r="U47" s="358" t="str">
        <f>CONCATENATE(S47,"-",T47)</f>
        <v>12-Servicio de apoyo   logístico  en eventos operativos y/o emergencias.</v>
      </c>
      <c r="V47" s="333" t="s">
        <v>232</v>
      </c>
      <c r="W47" s="355" t="str">
        <f>IFERROR(VLOOKUP(V47,TD!$N$34:$O$46,2,0)," ")</f>
        <v>Servicio de atención a emergencias y desastres</v>
      </c>
      <c r="X47" s="358" t="str">
        <f>CONCATENATE(V47,"_",W47)</f>
        <v>004_Servicio de atención a emergencias y desastres</v>
      </c>
      <c r="Y47" s="358" t="str">
        <f>CONCATENATE(U47," ",X47)</f>
        <v>12-Servicio de apoyo   logístico  en eventos operativos y/o emergencias. 004_Servicio de atención a emergencias y desastres</v>
      </c>
      <c r="Z47" s="355" t="str">
        <f>CONCATENATE(P47,Q47,R47,S47,V47)</f>
        <v>O23011745032024025512004</v>
      </c>
      <c r="AA47" s="355" t="str">
        <f>IFERROR(VLOOKUP(Y47,TD!$K$47:$L$65,2,0)," ")</f>
        <v>PM/0131/0112/45030040255</v>
      </c>
      <c r="AB47" s="345" t="s">
        <v>138</v>
      </c>
      <c r="AC47" s="360" t="s">
        <v>205</v>
      </c>
    </row>
    <row r="48" spans="2:29" s="28" customFormat="1" ht="56" x14ac:dyDescent="0.35">
      <c r="B48" s="321">
        <v>20251176</v>
      </c>
      <c r="C48" s="327" t="s">
        <v>209</v>
      </c>
      <c r="D48" s="329" t="s">
        <v>168</v>
      </c>
      <c r="E48" s="333" t="s">
        <v>603</v>
      </c>
      <c r="F48" s="329" t="s">
        <v>1359</v>
      </c>
      <c r="G48" s="329" t="s">
        <v>119</v>
      </c>
      <c r="H48" s="336">
        <v>15101500</v>
      </c>
      <c r="I48" s="339">
        <v>12</v>
      </c>
      <c r="J48" s="339">
        <v>3</v>
      </c>
      <c r="K48" s="342">
        <v>0</v>
      </c>
      <c r="L48" s="345">
        <v>772325</v>
      </c>
      <c r="M48" s="351" t="s">
        <v>464</v>
      </c>
      <c r="N48" s="345" t="s">
        <v>123</v>
      </c>
      <c r="O48" s="333" t="s">
        <v>224</v>
      </c>
      <c r="P48" s="355" t="str">
        <f>IFERROR(VLOOKUP(C48,TD!$B$33:$F$37,2,0)," ")</f>
        <v>O230117</v>
      </c>
      <c r="Q48" s="355" t="str">
        <f>IFERROR(VLOOKUP(C48,TD!$B$33:$F$37,3,0)," ")</f>
        <v>4503</v>
      </c>
      <c r="R48" s="355">
        <f>IFERROR(VLOOKUP(C48,TD!$B$33:$F$37,4,0)," ")</f>
        <v>20240255</v>
      </c>
      <c r="S48" s="333" t="s">
        <v>191</v>
      </c>
      <c r="T48" s="355" t="str">
        <f>IFERROR(VLOOKUP(S48,TD!$J$34:$K$44,2,0)," ")</f>
        <v>Servicio de apoyo   logístico  en eventos operativos y/o emergencias.</v>
      </c>
      <c r="U48" s="358" t="str">
        <f>CONCATENATE(S48,"-",T48)</f>
        <v>12-Servicio de apoyo   logístico  en eventos operativos y/o emergencias.</v>
      </c>
      <c r="V48" s="333" t="s">
        <v>232</v>
      </c>
      <c r="W48" s="355" t="str">
        <f>IFERROR(VLOOKUP(V48,TD!$N$34:$O$46,2,0)," ")</f>
        <v>Servicio de atención a emergencias y desastres</v>
      </c>
      <c r="X48" s="358" t="str">
        <f>CONCATENATE(V48,"_",W48)</f>
        <v>004_Servicio de atención a emergencias y desastres</v>
      </c>
      <c r="Y48" s="358" t="str">
        <f>CONCATENATE(U48," ",X48)</f>
        <v>12-Servicio de apoyo   logístico  en eventos operativos y/o emergencias. 004_Servicio de atención a emergencias y desastres</v>
      </c>
      <c r="Z48" s="355" t="str">
        <f>CONCATENATE(P48,Q48,R48,S48,V48)</f>
        <v>O23011745032024025512004</v>
      </c>
      <c r="AA48" s="355" t="str">
        <f>IFERROR(VLOOKUP(Y48,TD!$K$47:$L$65,2,0)," ")</f>
        <v>PM/0131/0112/45030040255</v>
      </c>
      <c r="AB48" s="345" t="s">
        <v>92</v>
      </c>
      <c r="AC48" s="360" t="s">
        <v>205</v>
      </c>
    </row>
    <row r="49" spans="2:29" s="28" customFormat="1" ht="56" x14ac:dyDescent="0.35">
      <c r="B49" s="267">
        <v>20251177</v>
      </c>
      <c r="C49" s="268" t="s">
        <v>209</v>
      </c>
      <c r="D49" s="269" t="s">
        <v>169</v>
      </c>
      <c r="E49" s="254" t="s">
        <v>465</v>
      </c>
      <c r="F49" s="269" t="s">
        <v>1361</v>
      </c>
      <c r="G49" s="269" t="s">
        <v>156</v>
      </c>
      <c r="H49" s="270">
        <v>80111600</v>
      </c>
      <c r="I49" s="271">
        <v>11</v>
      </c>
      <c r="J49" s="271">
        <v>2</v>
      </c>
      <c r="K49" s="272">
        <v>0</v>
      </c>
      <c r="L49" s="265">
        <v>6000000</v>
      </c>
      <c r="M49" s="351" t="s">
        <v>464</v>
      </c>
      <c r="N49" s="265" t="s">
        <v>113</v>
      </c>
      <c r="O49" s="254" t="s">
        <v>222</v>
      </c>
      <c r="P49" s="273" t="str">
        <f>IFERROR(VLOOKUP(C49,TD!$B$33:$F$37,2,0)," ")</f>
        <v>O230117</v>
      </c>
      <c r="Q49" s="273" t="str">
        <f>IFERROR(VLOOKUP(C49,TD!$B$33:$F$37,3,0)," ")</f>
        <v>4503</v>
      </c>
      <c r="R49" s="273">
        <f>IFERROR(VLOOKUP(C49,TD!$B$33:$F$37,4,0)," ")</f>
        <v>20240255</v>
      </c>
      <c r="S49" s="333" t="s">
        <v>175</v>
      </c>
      <c r="T49" s="355" t="str">
        <f>IFERROR(VLOOKUP(S49,TD!$J$34:$K$44,2,0)," ")</f>
        <v>Servicio de atención a incidentes y emergencias.</v>
      </c>
      <c r="U49" s="359" t="str">
        <f>CONCATENATE(S49,"-",T49)</f>
        <v>04-Servicio de atención a incidentes y emergencias.</v>
      </c>
      <c r="V49" s="333" t="s">
        <v>232</v>
      </c>
      <c r="W49" s="355" t="str">
        <f>IFERROR(VLOOKUP(V49,TD!$N$34:$O$46,2,0)," ")</f>
        <v>Servicio de atención a emergencias y desastres</v>
      </c>
      <c r="X49" s="359" t="str">
        <f>CONCATENATE(V49,"_",W49)</f>
        <v>004_Servicio de atención a emergencias y desastres</v>
      </c>
      <c r="Y49" s="359" t="str">
        <f>CONCATENATE(U49," ",X49)</f>
        <v>04-Servicio de atención a incidentes y emergencias. 004_Servicio de atención a emergencias y desastres</v>
      </c>
      <c r="Z49" s="273" t="str">
        <f>CONCATENATE(P49,Q49,R49,S49,V49)</f>
        <v>O23011745032024025504004</v>
      </c>
      <c r="AA49" s="273" t="str">
        <f>IFERROR(VLOOKUP(Y49,TD!$K$47:$L$65,2,0)," ")</f>
        <v>PM/0131/0104/45030040255</v>
      </c>
      <c r="AB49" s="265" t="s">
        <v>138</v>
      </c>
      <c r="AC49" s="274" t="s">
        <v>204</v>
      </c>
    </row>
    <row r="50" spans="2:29" s="28" customFormat="1" ht="56" x14ac:dyDescent="0.35">
      <c r="B50" s="258">
        <v>20251178</v>
      </c>
      <c r="C50" s="259" t="s">
        <v>208</v>
      </c>
      <c r="D50" s="260" t="s">
        <v>166</v>
      </c>
      <c r="E50" s="255" t="s">
        <v>558</v>
      </c>
      <c r="F50" s="260" t="s">
        <v>1363</v>
      </c>
      <c r="G50" s="260" t="s">
        <v>96</v>
      </c>
      <c r="H50" s="261" t="s">
        <v>1364</v>
      </c>
      <c r="I50" s="262">
        <v>11</v>
      </c>
      <c r="J50" s="262">
        <v>1</v>
      </c>
      <c r="K50" s="263">
        <v>0</v>
      </c>
      <c r="L50" s="264">
        <v>13000000</v>
      </c>
      <c r="M50" s="285" t="s">
        <v>464</v>
      </c>
      <c r="N50" s="264" t="s">
        <v>123</v>
      </c>
      <c r="O50" s="255" t="s">
        <v>218</v>
      </c>
      <c r="P50" s="256" t="str">
        <f>IFERROR(VLOOKUP(C50,TD!$B$33:$F$37,2,0)," ")</f>
        <v>O230117</v>
      </c>
      <c r="Q50" s="256" t="str">
        <f>IFERROR(VLOOKUP(C50,TD!$B$33:$F$37,3,0)," ")</f>
        <v>4599</v>
      </c>
      <c r="R50" s="256">
        <f>IFERROR(VLOOKUP(C50,TD!$B$33:$F$37,4,0)," ")</f>
        <v>20240207</v>
      </c>
      <c r="S50" s="255" t="s">
        <v>185</v>
      </c>
      <c r="T50" s="256" t="str">
        <f>IFERROR(VLOOKUP(S50,TD!$J$34:$K$44,2,0)," ")</f>
        <v>Infraestructura física, mantenimiento y dotación (Sedes construidas, mantenidas reforzadas)</v>
      </c>
      <c r="U50" s="257" t="str">
        <f>CONCATENATE(S50,"-",T50)</f>
        <v>08-Infraestructura física, mantenimiento y dotación (Sedes construidas, mantenidas reforzadas)</v>
      </c>
      <c r="V50" s="255" t="s">
        <v>238</v>
      </c>
      <c r="W50" s="256" t="str">
        <f>IFERROR(VLOOKUP(V50,TD!$N$34:$O$46,2,0)," ")</f>
        <v>Sedes mantenidas</v>
      </c>
      <c r="X50" s="257" t="str">
        <f>CONCATENATE(V50,"_",W50)</f>
        <v>016_Sedes mantenidas</v>
      </c>
      <c r="Y50" s="257" t="str">
        <f>CONCATENATE(U50," ",X50)</f>
        <v>08-Infraestructura física, mantenimiento y dotación (Sedes construidas, mantenidas reforzadas) 016_Sedes mantenidas</v>
      </c>
      <c r="Z50" s="256" t="str">
        <f>CONCATENATE(P50,Q50,R50,S50,V50)</f>
        <v>O23011745992024020708016</v>
      </c>
      <c r="AA50" s="256" t="str">
        <f>IFERROR(VLOOKUP(Y50,TD!$K$47:$L$65,2,0)," ")</f>
        <v>PM/0131/0108/45990160207</v>
      </c>
      <c r="AB50" s="264" t="s">
        <v>143</v>
      </c>
      <c r="AC50" s="266" t="s">
        <v>205</v>
      </c>
    </row>
    <row r="51" spans="2:29" s="28" customFormat="1" ht="56" x14ac:dyDescent="0.35">
      <c r="B51" s="258">
        <v>20251179</v>
      </c>
      <c r="C51" s="259" t="s">
        <v>209</v>
      </c>
      <c r="D51" s="260" t="s">
        <v>169</v>
      </c>
      <c r="E51" s="255" t="s">
        <v>465</v>
      </c>
      <c r="F51" s="260" t="s">
        <v>1371</v>
      </c>
      <c r="G51" s="260" t="s">
        <v>86</v>
      </c>
      <c r="H51" s="261" t="s">
        <v>1372</v>
      </c>
      <c r="I51" s="262">
        <v>11</v>
      </c>
      <c r="J51" s="262">
        <v>2</v>
      </c>
      <c r="K51" s="263">
        <v>0</v>
      </c>
      <c r="L51" s="264">
        <v>64057000</v>
      </c>
      <c r="M51" s="285" t="s">
        <v>1309</v>
      </c>
      <c r="N51" s="264" t="s">
        <v>123</v>
      </c>
      <c r="O51" s="255" t="s">
        <v>222</v>
      </c>
      <c r="P51" s="256" t="str">
        <f>IFERROR(VLOOKUP(C51,TD!$B$33:$F$37,2,0)," ")</f>
        <v>O230117</v>
      </c>
      <c r="Q51" s="256" t="str">
        <f>IFERROR(VLOOKUP(C51,TD!$B$33:$F$37,3,0)," ")</f>
        <v>4503</v>
      </c>
      <c r="R51" s="256">
        <f>IFERROR(VLOOKUP(C51,TD!$B$33:$F$37,4,0)," ")</f>
        <v>20240255</v>
      </c>
      <c r="S51" s="255" t="s">
        <v>189</v>
      </c>
      <c r="T51" s="256" t="str">
        <f>IFERROR(VLOOKUP(S51,TD!$J$34:$K$44,2,0)," ")</f>
        <v>Servicio de dotación y equipamento para el personal operativo</v>
      </c>
      <c r="U51" s="257" t="str">
        <f>CONCATENATE(S51,"-",T51)</f>
        <v>10-Servicio de dotación y equipamento para el personal operativo</v>
      </c>
      <c r="V51" s="255" t="s">
        <v>232</v>
      </c>
      <c r="W51" s="256" t="str">
        <f>IFERROR(VLOOKUP(V51,TD!$N$34:$O$46,2,0)," ")</f>
        <v>Servicio de atención a emergencias y desastres</v>
      </c>
      <c r="X51" s="257" t="str">
        <f>CONCATENATE(V51,"_",W51)</f>
        <v>004_Servicio de atención a emergencias y desastres</v>
      </c>
      <c r="Y51" s="257" t="str">
        <f>CONCATENATE(U51," ",X51)</f>
        <v>10-Servicio de dotación y equipamento para el personal operativo 004_Servicio de atención a emergencias y desastres</v>
      </c>
      <c r="Z51" s="256" t="str">
        <f>CONCATENATE(P51,Q51,R51,S51,V51)</f>
        <v>O23011745032024025510004</v>
      </c>
      <c r="AA51" s="256" t="str">
        <f>IFERROR(VLOOKUP(Y51,TD!$K$47:$L$65,2,0)," ")</f>
        <v>PM/0131/0110/45030040255</v>
      </c>
      <c r="AB51" s="264" t="s">
        <v>87</v>
      </c>
      <c r="AC51" s="266" t="s">
        <v>204</v>
      </c>
    </row>
    <row r="52" spans="2:29" s="28" customFormat="1" ht="56" x14ac:dyDescent="0.35">
      <c r="B52" s="77">
        <v>20250001</v>
      </c>
      <c r="C52" s="50" t="s">
        <v>208</v>
      </c>
      <c r="D52" s="184" t="s">
        <v>163</v>
      </c>
      <c r="E52" s="51" t="s">
        <v>350</v>
      </c>
      <c r="F52" s="184" t="s">
        <v>351</v>
      </c>
      <c r="G52" s="184" t="s">
        <v>155</v>
      </c>
      <c r="H52" s="93">
        <v>80111600</v>
      </c>
      <c r="I52" s="185" t="s">
        <v>450</v>
      </c>
      <c r="J52" s="185">
        <v>10</v>
      </c>
      <c r="K52" s="52">
        <v>0</v>
      </c>
      <c r="L52" s="53">
        <v>76650001</v>
      </c>
      <c r="M52" s="184" t="s">
        <v>464</v>
      </c>
      <c r="N52" s="53" t="s">
        <v>113</v>
      </c>
      <c r="O52" s="51" t="s">
        <v>219</v>
      </c>
      <c r="P52" s="186" t="str">
        <f>IFERROR(VLOOKUP(C52,TD!$B$33:$F$37,2,0)," ")</f>
        <v>O230117</v>
      </c>
      <c r="Q52" s="186" t="str">
        <f>IFERROR(VLOOKUP(C52,TD!$B$33:$F$37,3,0)," ")</f>
        <v>4599</v>
      </c>
      <c r="R52" s="186">
        <f>IFERROR(VLOOKUP(C52,TD!$B$33:$F$37,4,0)," ")</f>
        <v>20240207</v>
      </c>
      <c r="S52" s="51" t="s">
        <v>185</v>
      </c>
      <c r="T52" s="186" t="str">
        <f>IFERROR(VLOOKUP(S52,TD!$J$34:$K$44,2,0)," ")</f>
        <v>Infraestructura física, mantenimiento y dotación (Sedes construidas, mantenidas reforzadas)</v>
      </c>
      <c r="U52" s="187" t="str">
        <f>CONCATENATE(S52,"-",T52)</f>
        <v>08-Infraestructura física, mantenimiento y dotación (Sedes construidas, mantenidas reforzadas)</v>
      </c>
      <c r="V52" s="51" t="s">
        <v>238</v>
      </c>
      <c r="W52" s="186" t="str">
        <f>IFERROR(VLOOKUP(V52,TD!$N$34:$O$46,2,0)," ")</f>
        <v>Sedes mantenidas</v>
      </c>
      <c r="X52" s="187" t="str">
        <f>CONCATENATE(V52,"_",W52)</f>
        <v>016_Sedes mantenidas</v>
      </c>
      <c r="Y52" s="187" t="str">
        <f>CONCATENATE(U52," ",X52)</f>
        <v>08-Infraestructura física, mantenimiento y dotación (Sedes construidas, mantenidas reforzadas) 016_Sedes mantenidas</v>
      </c>
      <c r="Z52" s="186" t="str">
        <f>CONCATENATE(P52,Q52,R52,S52,V52)</f>
        <v>O23011745992024020708016</v>
      </c>
      <c r="AA52" s="186" t="str">
        <f>IFERROR(VLOOKUP(Y52,TD!$K$47:$L$65,2,0)," ")</f>
        <v>PM/0131/0108/45990160207</v>
      </c>
      <c r="AB52" s="53" t="s">
        <v>138</v>
      </c>
      <c r="AC52" s="188" t="s">
        <v>204</v>
      </c>
    </row>
    <row r="53" spans="2:29" s="28" customFormat="1" ht="70" x14ac:dyDescent="0.35">
      <c r="B53" s="77">
        <v>20250002</v>
      </c>
      <c r="C53" s="50" t="s">
        <v>208</v>
      </c>
      <c r="D53" s="184" t="s">
        <v>163</v>
      </c>
      <c r="E53" s="51" t="s">
        <v>350</v>
      </c>
      <c r="F53" s="184" t="s">
        <v>352</v>
      </c>
      <c r="G53" s="184" t="s">
        <v>155</v>
      </c>
      <c r="H53" s="93">
        <v>80111600</v>
      </c>
      <c r="I53" s="185">
        <v>1</v>
      </c>
      <c r="J53" s="185">
        <v>10</v>
      </c>
      <c r="K53" s="52">
        <v>0</v>
      </c>
      <c r="L53" s="53">
        <v>76650001</v>
      </c>
      <c r="M53" s="184" t="s">
        <v>464</v>
      </c>
      <c r="N53" s="53" t="s">
        <v>113</v>
      </c>
      <c r="O53" s="51" t="s">
        <v>219</v>
      </c>
      <c r="P53" s="186" t="str">
        <f>IFERROR(VLOOKUP(C53,TD!$B$33:$F$37,2,0)," ")</f>
        <v>O230117</v>
      </c>
      <c r="Q53" s="186" t="str">
        <f>IFERROR(VLOOKUP(C53,TD!$B$33:$F$37,3,0)," ")</f>
        <v>4599</v>
      </c>
      <c r="R53" s="186">
        <f>IFERROR(VLOOKUP(C53,TD!$B$33:$F$37,4,0)," ")</f>
        <v>20240207</v>
      </c>
      <c r="S53" s="51" t="s">
        <v>185</v>
      </c>
      <c r="T53" s="186" t="str">
        <f>IFERROR(VLOOKUP(S53,TD!$J$34:$K$44,2,0)," ")</f>
        <v>Infraestructura física, mantenimiento y dotación (Sedes construidas, mantenidas reforzadas)</v>
      </c>
      <c r="U53" s="187" t="str">
        <f>CONCATENATE(S53,"-",T53)</f>
        <v>08-Infraestructura física, mantenimiento y dotación (Sedes construidas, mantenidas reforzadas)</v>
      </c>
      <c r="V53" s="51" t="s">
        <v>238</v>
      </c>
      <c r="W53" s="186" t="str">
        <f>IFERROR(VLOOKUP(V53,TD!$N$34:$O$46,2,0)," ")</f>
        <v>Sedes mantenidas</v>
      </c>
      <c r="X53" s="187" t="str">
        <f>CONCATENATE(V53,"_",W53)</f>
        <v>016_Sedes mantenidas</v>
      </c>
      <c r="Y53" s="187" t="str">
        <f>CONCATENATE(U53," ",X53)</f>
        <v>08-Infraestructura física, mantenimiento y dotación (Sedes construidas, mantenidas reforzadas) 016_Sedes mantenidas</v>
      </c>
      <c r="Z53" s="186" t="str">
        <f>CONCATENATE(P53,Q53,R53,S53,V53)</f>
        <v>O23011745992024020708016</v>
      </c>
      <c r="AA53" s="186" t="str">
        <f>IFERROR(VLOOKUP(Y53,TD!$K$47:$L$65,2,0)," ")</f>
        <v>PM/0131/0108/45990160207</v>
      </c>
      <c r="AB53" s="53" t="s">
        <v>138</v>
      </c>
      <c r="AC53" s="188" t="s">
        <v>204</v>
      </c>
    </row>
    <row r="54" spans="2:29" s="28" customFormat="1" ht="70" x14ac:dyDescent="0.35">
      <c r="B54" s="77">
        <v>20250003</v>
      </c>
      <c r="C54" s="50" t="s">
        <v>208</v>
      </c>
      <c r="D54" s="184" t="s">
        <v>163</v>
      </c>
      <c r="E54" s="51" t="s">
        <v>350</v>
      </c>
      <c r="F54" s="184" t="s">
        <v>353</v>
      </c>
      <c r="G54" s="184" t="s">
        <v>155</v>
      </c>
      <c r="H54" s="93">
        <v>80111600</v>
      </c>
      <c r="I54" s="185">
        <v>2</v>
      </c>
      <c r="J54" s="185">
        <v>7</v>
      </c>
      <c r="K54" s="52">
        <v>11</v>
      </c>
      <c r="L54" s="53">
        <v>56674097</v>
      </c>
      <c r="M54" s="184" t="s">
        <v>464</v>
      </c>
      <c r="N54" s="53" t="s">
        <v>113</v>
      </c>
      <c r="O54" s="51" t="s">
        <v>219</v>
      </c>
      <c r="P54" s="186" t="str">
        <f>IFERROR(VLOOKUP(C54,TD!$B$33:$F$37,2,0)," ")</f>
        <v>O230117</v>
      </c>
      <c r="Q54" s="186" t="str">
        <f>IFERROR(VLOOKUP(C54,TD!$B$33:$F$37,3,0)," ")</f>
        <v>4599</v>
      </c>
      <c r="R54" s="186">
        <f>IFERROR(VLOOKUP(C54,TD!$B$33:$F$37,4,0)," ")</f>
        <v>20240207</v>
      </c>
      <c r="S54" s="51" t="s">
        <v>185</v>
      </c>
      <c r="T54" s="186" t="str">
        <f>IFERROR(VLOOKUP(S54,TD!$J$34:$K$44,2,0)," ")</f>
        <v>Infraestructura física, mantenimiento y dotación (Sedes construidas, mantenidas reforzadas)</v>
      </c>
      <c r="U54" s="187" t="str">
        <f>CONCATENATE(S54,"-",T54)</f>
        <v>08-Infraestructura física, mantenimiento y dotación (Sedes construidas, mantenidas reforzadas)</v>
      </c>
      <c r="V54" s="51" t="s">
        <v>238</v>
      </c>
      <c r="W54" s="186" t="str">
        <f>IFERROR(VLOOKUP(V54,TD!$N$34:$O$46,2,0)," ")</f>
        <v>Sedes mantenidas</v>
      </c>
      <c r="X54" s="187" t="str">
        <f>CONCATENATE(V54,"_",W54)</f>
        <v>016_Sedes mantenidas</v>
      </c>
      <c r="Y54" s="187" t="str">
        <f>CONCATENATE(U54," ",X54)</f>
        <v>08-Infraestructura física, mantenimiento y dotación (Sedes construidas, mantenidas reforzadas) 016_Sedes mantenidas</v>
      </c>
      <c r="Z54" s="186" t="str">
        <f>CONCATENATE(P54,Q54,R54,S54,V54)</f>
        <v>O23011745992024020708016</v>
      </c>
      <c r="AA54" s="186" t="str">
        <f>IFERROR(VLOOKUP(Y54,TD!$K$47:$L$65,2,0)," ")</f>
        <v>PM/0131/0108/45990160207</v>
      </c>
      <c r="AB54" s="53" t="s">
        <v>138</v>
      </c>
      <c r="AC54" s="188" t="s">
        <v>204</v>
      </c>
    </row>
    <row r="55" spans="2:29" s="28" customFormat="1" ht="98" x14ac:dyDescent="0.35">
      <c r="B55" s="77">
        <v>20250004</v>
      </c>
      <c r="C55" s="50" t="s">
        <v>208</v>
      </c>
      <c r="D55" s="184" t="s">
        <v>163</v>
      </c>
      <c r="E55" s="51" t="s">
        <v>350</v>
      </c>
      <c r="F55" s="184" t="s">
        <v>353</v>
      </c>
      <c r="G55" s="184" t="s">
        <v>155</v>
      </c>
      <c r="H55" s="93">
        <v>80111600</v>
      </c>
      <c r="I55" s="185">
        <v>1</v>
      </c>
      <c r="J55" s="185">
        <v>10</v>
      </c>
      <c r="K55" s="52">
        <v>0</v>
      </c>
      <c r="L55" s="53">
        <v>46285827</v>
      </c>
      <c r="M55" s="184" t="s">
        <v>464</v>
      </c>
      <c r="N55" s="53" t="s">
        <v>113</v>
      </c>
      <c r="O55" s="51" t="s">
        <v>219</v>
      </c>
      <c r="P55" s="186" t="str">
        <f>IFERROR(VLOOKUP(C55,TD!$B$33:$F$37,2,0)," ")</f>
        <v>O230117</v>
      </c>
      <c r="Q55" s="186" t="str">
        <f>IFERROR(VLOOKUP(C55,TD!$B$33:$F$37,3,0)," ")</f>
        <v>4599</v>
      </c>
      <c r="R55" s="186">
        <f>IFERROR(VLOOKUP(C55,TD!$B$33:$F$37,4,0)," ")</f>
        <v>20240207</v>
      </c>
      <c r="S55" s="51" t="s">
        <v>185</v>
      </c>
      <c r="T55" s="186" t="str">
        <f>IFERROR(VLOOKUP(S55,TD!$J$34:$K$44,2,0)," ")</f>
        <v>Infraestructura física, mantenimiento y dotación (Sedes construidas, mantenidas reforzadas)</v>
      </c>
      <c r="U55" s="187" t="str">
        <f>CONCATENATE(S55,"-",T55)</f>
        <v>08-Infraestructura física, mantenimiento y dotación (Sedes construidas, mantenidas reforzadas)</v>
      </c>
      <c r="V55" s="51" t="s">
        <v>238</v>
      </c>
      <c r="W55" s="186" t="str">
        <f>IFERROR(VLOOKUP(V55,TD!$N$34:$O$46,2,0)," ")</f>
        <v>Sedes mantenidas</v>
      </c>
      <c r="X55" s="187" t="str">
        <f>CONCATENATE(V55,"_",W55)</f>
        <v>016_Sedes mantenidas</v>
      </c>
      <c r="Y55" s="187" t="str">
        <f>CONCATENATE(U55," ",X55)</f>
        <v>08-Infraestructura física, mantenimiento y dotación (Sedes construidas, mantenidas reforzadas) 016_Sedes mantenidas</v>
      </c>
      <c r="Z55" s="186" t="str">
        <f>CONCATENATE(P55,Q55,R55,S55,V55)</f>
        <v>O23011745992024020708016</v>
      </c>
      <c r="AA55" s="186" t="str">
        <f>IFERROR(VLOOKUP(Y55,TD!$K$47:$L$65,2,0)," ")</f>
        <v>PM/0131/0108/45990160207</v>
      </c>
      <c r="AB55" s="53" t="s">
        <v>138</v>
      </c>
      <c r="AC55" s="188" t="s">
        <v>204</v>
      </c>
    </row>
    <row r="56" spans="2:29" s="28" customFormat="1" ht="56" x14ac:dyDescent="0.35">
      <c r="B56" s="77">
        <v>20250005</v>
      </c>
      <c r="C56" s="50" t="s">
        <v>208</v>
      </c>
      <c r="D56" s="184" t="s">
        <v>163</v>
      </c>
      <c r="E56" s="51" t="s">
        <v>350</v>
      </c>
      <c r="F56" s="184" t="s">
        <v>354</v>
      </c>
      <c r="G56" s="184" t="s">
        <v>156</v>
      </c>
      <c r="H56" s="93">
        <v>80111600</v>
      </c>
      <c r="I56" s="185">
        <v>1</v>
      </c>
      <c r="J56" s="185">
        <v>10</v>
      </c>
      <c r="K56" s="52">
        <v>0</v>
      </c>
      <c r="L56" s="53">
        <v>38240074</v>
      </c>
      <c r="M56" s="184" t="s">
        <v>464</v>
      </c>
      <c r="N56" s="53" t="s">
        <v>113</v>
      </c>
      <c r="O56" s="51" t="s">
        <v>219</v>
      </c>
      <c r="P56" s="186" t="str">
        <f>IFERROR(VLOOKUP(C56,TD!$B$33:$F$37,2,0)," ")</f>
        <v>O230117</v>
      </c>
      <c r="Q56" s="186" t="str">
        <f>IFERROR(VLOOKUP(C56,TD!$B$33:$F$37,3,0)," ")</f>
        <v>4599</v>
      </c>
      <c r="R56" s="186">
        <f>IFERROR(VLOOKUP(C56,TD!$B$33:$F$37,4,0)," ")</f>
        <v>20240207</v>
      </c>
      <c r="S56" s="51" t="s">
        <v>185</v>
      </c>
      <c r="T56" s="186" t="str">
        <f>IFERROR(VLOOKUP(S56,TD!$J$34:$K$44,2,0)," ")</f>
        <v>Infraestructura física, mantenimiento y dotación (Sedes construidas, mantenidas reforzadas)</v>
      </c>
      <c r="U56" s="187" t="str">
        <f>CONCATENATE(S56,"-",T56)</f>
        <v>08-Infraestructura física, mantenimiento y dotación (Sedes construidas, mantenidas reforzadas)</v>
      </c>
      <c r="V56" s="51" t="s">
        <v>238</v>
      </c>
      <c r="W56" s="186" t="str">
        <f>IFERROR(VLOOKUP(V56,TD!$N$34:$O$46,2,0)," ")</f>
        <v>Sedes mantenidas</v>
      </c>
      <c r="X56" s="187" t="str">
        <f>CONCATENATE(V56,"_",W56)</f>
        <v>016_Sedes mantenidas</v>
      </c>
      <c r="Y56" s="187" t="str">
        <f>CONCATENATE(U56," ",X56)</f>
        <v>08-Infraestructura física, mantenimiento y dotación (Sedes construidas, mantenidas reforzadas) 016_Sedes mantenidas</v>
      </c>
      <c r="Z56" s="186" t="str">
        <f>CONCATENATE(P56,Q56,R56,S56,V56)</f>
        <v>O23011745992024020708016</v>
      </c>
      <c r="AA56" s="186" t="str">
        <f>IFERROR(VLOOKUP(Y56,TD!$K$47:$L$65,2,0)," ")</f>
        <v>PM/0131/0108/45990160207</v>
      </c>
      <c r="AB56" s="53" t="s">
        <v>138</v>
      </c>
      <c r="AC56" s="188" t="s">
        <v>204</v>
      </c>
    </row>
    <row r="57" spans="2:29" s="28" customFormat="1" ht="84" x14ac:dyDescent="0.35">
      <c r="B57" s="77">
        <v>20250006</v>
      </c>
      <c r="C57" s="50" t="s">
        <v>208</v>
      </c>
      <c r="D57" s="184" t="s">
        <v>164</v>
      </c>
      <c r="E57" s="51" t="s">
        <v>389</v>
      </c>
      <c r="F57" s="184" t="s">
        <v>717</v>
      </c>
      <c r="G57" s="184" t="s">
        <v>155</v>
      </c>
      <c r="H57" s="93">
        <v>80111600</v>
      </c>
      <c r="I57" s="185">
        <v>2</v>
      </c>
      <c r="J57" s="185">
        <v>11</v>
      </c>
      <c r="K57" s="52">
        <v>0</v>
      </c>
      <c r="L57" s="53">
        <f>64500000-7500000</f>
        <v>57000000</v>
      </c>
      <c r="M57" s="184" t="s">
        <v>464</v>
      </c>
      <c r="N57" s="53" t="s">
        <v>113</v>
      </c>
      <c r="O57" s="51" t="s">
        <v>219</v>
      </c>
      <c r="P57" s="186" t="str">
        <f>IFERROR(VLOOKUP(C57,TD!$B$33:$F$37,2,0)," ")</f>
        <v>O230117</v>
      </c>
      <c r="Q57" s="186" t="str">
        <f>IFERROR(VLOOKUP(C57,TD!$B$33:$F$37,3,0)," ")</f>
        <v>4599</v>
      </c>
      <c r="R57" s="186">
        <f>IFERROR(VLOOKUP(C57,TD!$B$33:$F$37,4,0)," ")</f>
        <v>20240207</v>
      </c>
      <c r="S57" s="51" t="s">
        <v>185</v>
      </c>
      <c r="T57" s="186" t="str">
        <f>IFERROR(VLOOKUP(S57,TD!$J$34:$K$44,2,0)," ")</f>
        <v>Infraestructura física, mantenimiento y dotación (Sedes construidas, mantenidas reforzadas)</v>
      </c>
      <c r="U57" s="187" t="str">
        <f>CONCATENATE(S57,"-",T57)</f>
        <v>08-Infraestructura física, mantenimiento y dotación (Sedes construidas, mantenidas reforzadas)</v>
      </c>
      <c r="V57" s="51" t="s">
        <v>238</v>
      </c>
      <c r="W57" s="186" t="str">
        <f>IFERROR(VLOOKUP(V57,TD!$N$34:$O$46,2,0)," ")</f>
        <v>Sedes mantenidas</v>
      </c>
      <c r="X57" s="187" t="str">
        <f>CONCATENATE(V57,"_",W57)</f>
        <v>016_Sedes mantenidas</v>
      </c>
      <c r="Y57" s="187" t="str">
        <f>CONCATENATE(U57," ",X57)</f>
        <v>08-Infraestructura física, mantenimiento y dotación (Sedes construidas, mantenidas reforzadas) 016_Sedes mantenidas</v>
      </c>
      <c r="Z57" s="186" t="str">
        <f>CONCATENATE(P57,Q57,R57,S57,V57)</f>
        <v>O23011745992024020708016</v>
      </c>
      <c r="AA57" s="186" t="str">
        <f>IFERROR(VLOOKUP(Y57,TD!$K$47:$L$65,2,0)," ")</f>
        <v>PM/0131/0108/45990160207</v>
      </c>
      <c r="AB57" s="53" t="s">
        <v>120</v>
      </c>
      <c r="AC57" s="188" t="s">
        <v>204</v>
      </c>
    </row>
    <row r="58" spans="2:29" s="28" customFormat="1" ht="84" x14ac:dyDescent="0.35">
      <c r="B58" s="77">
        <v>20250007</v>
      </c>
      <c r="C58" s="50" t="s">
        <v>208</v>
      </c>
      <c r="D58" s="184" t="s">
        <v>164</v>
      </c>
      <c r="E58" s="51" t="s">
        <v>389</v>
      </c>
      <c r="F58" s="184" t="s">
        <v>706</v>
      </c>
      <c r="G58" s="184" t="s">
        <v>155</v>
      </c>
      <c r="H58" s="93">
        <v>80111600</v>
      </c>
      <c r="I58" s="185">
        <v>2</v>
      </c>
      <c r="J58" s="185">
        <v>11</v>
      </c>
      <c r="K58" s="52">
        <v>0</v>
      </c>
      <c r="L58" s="53">
        <f>49000000-7000000</f>
        <v>42000000</v>
      </c>
      <c r="M58" s="184" t="s">
        <v>464</v>
      </c>
      <c r="N58" s="53" t="s">
        <v>113</v>
      </c>
      <c r="O58" s="51" t="s">
        <v>219</v>
      </c>
      <c r="P58" s="186" t="str">
        <f>IFERROR(VLOOKUP(C58,TD!$B$33:$F$37,2,0)," ")</f>
        <v>O230117</v>
      </c>
      <c r="Q58" s="186" t="str">
        <f>IFERROR(VLOOKUP(C58,TD!$B$33:$F$37,3,0)," ")</f>
        <v>4599</v>
      </c>
      <c r="R58" s="186">
        <f>IFERROR(VLOOKUP(C58,TD!$B$33:$F$37,4,0)," ")</f>
        <v>20240207</v>
      </c>
      <c r="S58" s="51" t="s">
        <v>185</v>
      </c>
      <c r="T58" s="186" t="str">
        <f>IFERROR(VLOOKUP(S58,TD!$J$34:$K$44,2,0)," ")</f>
        <v>Infraestructura física, mantenimiento y dotación (Sedes construidas, mantenidas reforzadas)</v>
      </c>
      <c r="U58" s="187" t="str">
        <f>CONCATENATE(S58,"-",T58)</f>
        <v>08-Infraestructura física, mantenimiento y dotación (Sedes construidas, mantenidas reforzadas)</v>
      </c>
      <c r="V58" s="51" t="s">
        <v>238</v>
      </c>
      <c r="W58" s="186" t="str">
        <f>IFERROR(VLOOKUP(V58,TD!$N$34:$O$46,2,0)," ")</f>
        <v>Sedes mantenidas</v>
      </c>
      <c r="X58" s="187" t="str">
        <f>CONCATENATE(V58,"_",W58)</f>
        <v>016_Sedes mantenidas</v>
      </c>
      <c r="Y58" s="187" t="str">
        <f>CONCATENATE(U58," ",X58)</f>
        <v>08-Infraestructura física, mantenimiento y dotación (Sedes construidas, mantenidas reforzadas) 016_Sedes mantenidas</v>
      </c>
      <c r="Z58" s="186" t="str">
        <f>CONCATENATE(P58,Q58,R58,S58,V58)</f>
        <v>O23011745992024020708016</v>
      </c>
      <c r="AA58" s="186" t="str">
        <f>IFERROR(VLOOKUP(Y58,TD!$K$47:$L$65,2,0)," ")</f>
        <v>PM/0131/0108/45990160207</v>
      </c>
      <c r="AB58" s="53" t="s">
        <v>120</v>
      </c>
      <c r="AC58" s="188" t="s">
        <v>204</v>
      </c>
    </row>
    <row r="59" spans="2:29" s="28" customFormat="1" ht="98" x14ac:dyDescent="0.35">
      <c r="B59" s="77">
        <v>20250008</v>
      </c>
      <c r="C59" s="50" t="s">
        <v>208</v>
      </c>
      <c r="D59" s="184" t="s">
        <v>164</v>
      </c>
      <c r="E59" s="51" t="s">
        <v>389</v>
      </c>
      <c r="F59" s="184" t="s">
        <v>882</v>
      </c>
      <c r="G59" s="184" t="s">
        <v>155</v>
      </c>
      <c r="H59" s="93">
        <v>80111600</v>
      </c>
      <c r="I59" s="185">
        <v>2</v>
      </c>
      <c r="J59" s="185">
        <v>11</v>
      </c>
      <c r="K59" s="52">
        <v>0</v>
      </c>
      <c r="L59" s="53">
        <f>88000000-37000000</f>
        <v>51000000</v>
      </c>
      <c r="M59" s="184" t="s">
        <v>464</v>
      </c>
      <c r="N59" s="53" t="s">
        <v>113</v>
      </c>
      <c r="O59" s="51" t="s">
        <v>219</v>
      </c>
      <c r="P59" s="186" t="str">
        <f>IFERROR(VLOOKUP(C59,TD!$B$33:$F$37,2,0)," ")</f>
        <v>O230117</v>
      </c>
      <c r="Q59" s="186" t="str">
        <f>IFERROR(VLOOKUP(C59,TD!$B$33:$F$37,3,0)," ")</f>
        <v>4599</v>
      </c>
      <c r="R59" s="186">
        <f>IFERROR(VLOOKUP(C59,TD!$B$33:$F$37,4,0)," ")</f>
        <v>20240207</v>
      </c>
      <c r="S59" s="51" t="s">
        <v>185</v>
      </c>
      <c r="T59" s="186" t="str">
        <f>IFERROR(VLOOKUP(S59,TD!$J$34:$K$44,2,0)," ")</f>
        <v>Infraestructura física, mantenimiento y dotación (Sedes construidas, mantenidas reforzadas)</v>
      </c>
      <c r="U59" s="187" t="str">
        <f>CONCATENATE(S59,"-",T59)</f>
        <v>08-Infraestructura física, mantenimiento y dotación (Sedes construidas, mantenidas reforzadas)</v>
      </c>
      <c r="V59" s="51" t="s">
        <v>238</v>
      </c>
      <c r="W59" s="186" t="str">
        <f>IFERROR(VLOOKUP(V59,TD!$N$34:$O$46,2,0)," ")</f>
        <v>Sedes mantenidas</v>
      </c>
      <c r="X59" s="187" t="str">
        <f>CONCATENATE(V59,"_",W59)</f>
        <v>016_Sedes mantenidas</v>
      </c>
      <c r="Y59" s="187" t="str">
        <f>CONCATENATE(U59," ",X59)</f>
        <v>08-Infraestructura física, mantenimiento y dotación (Sedes construidas, mantenidas reforzadas) 016_Sedes mantenidas</v>
      </c>
      <c r="Z59" s="186" t="str">
        <f>CONCATENATE(P59,Q59,R59,S59,V59)</f>
        <v>O23011745992024020708016</v>
      </c>
      <c r="AA59" s="186" t="str">
        <f>IFERROR(VLOOKUP(Y59,TD!$K$47:$L$65,2,0)," ")</f>
        <v>PM/0131/0108/45990160207</v>
      </c>
      <c r="AB59" s="53" t="s">
        <v>138</v>
      </c>
      <c r="AC59" s="188" t="s">
        <v>204</v>
      </c>
    </row>
    <row r="60" spans="2:29" s="28" customFormat="1" ht="84" x14ac:dyDescent="0.35">
      <c r="B60" s="77">
        <v>20250009</v>
      </c>
      <c r="C60" s="50" t="s">
        <v>208</v>
      </c>
      <c r="D60" s="184" t="s">
        <v>164</v>
      </c>
      <c r="E60" s="51" t="s">
        <v>389</v>
      </c>
      <c r="F60" s="184" t="s">
        <v>456</v>
      </c>
      <c r="G60" s="184" t="s">
        <v>155</v>
      </c>
      <c r="H60" s="93">
        <v>80111600</v>
      </c>
      <c r="I60" s="185">
        <v>2</v>
      </c>
      <c r="J60" s="185">
        <v>11</v>
      </c>
      <c r="K60" s="52">
        <v>0</v>
      </c>
      <c r="L60" s="53">
        <f>99000000-45000000</f>
        <v>54000000</v>
      </c>
      <c r="M60" s="184" t="s">
        <v>464</v>
      </c>
      <c r="N60" s="53" t="s">
        <v>113</v>
      </c>
      <c r="O60" s="51" t="s">
        <v>219</v>
      </c>
      <c r="P60" s="186" t="str">
        <f>IFERROR(VLOOKUP(C60,TD!$B$33:$F$37,2,0)," ")</f>
        <v>O230117</v>
      </c>
      <c r="Q60" s="186" t="str">
        <f>IFERROR(VLOOKUP(C60,TD!$B$33:$F$37,3,0)," ")</f>
        <v>4599</v>
      </c>
      <c r="R60" s="186">
        <f>IFERROR(VLOOKUP(C60,TD!$B$33:$F$37,4,0)," ")</f>
        <v>20240207</v>
      </c>
      <c r="S60" s="51" t="s">
        <v>185</v>
      </c>
      <c r="T60" s="186" t="str">
        <f>IFERROR(VLOOKUP(S60,TD!$J$34:$K$44,2,0)," ")</f>
        <v>Infraestructura física, mantenimiento y dotación (Sedes construidas, mantenidas reforzadas)</v>
      </c>
      <c r="U60" s="187" t="str">
        <f>CONCATENATE(S60,"-",T60)</f>
        <v>08-Infraestructura física, mantenimiento y dotación (Sedes construidas, mantenidas reforzadas)</v>
      </c>
      <c r="V60" s="51" t="s">
        <v>238</v>
      </c>
      <c r="W60" s="186" t="str">
        <f>IFERROR(VLOOKUP(V60,TD!$N$34:$O$46,2,0)," ")</f>
        <v>Sedes mantenidas</v>
      </c>
      <c r="X60" s="187" t="str">
        <f>CONCATENATE(V60,"_",W60)</f>
        <v>016_Sedes mantenidas</v>
      </c>
      <c r="Y60" s="187" t="str">
        <f>CONCATENATE(U60," ",X60)</f>
        <v>08-Infraestructura física, mantenimiento y dotación (Sedes construidas, mantenidas reforzadas) 016_Sedes mantenidas</v>
      </c>
      <c r="Z60" s="186" t="str">
        <f>CONCATENATE(P60,Q60,R60,S60,V60)</f>
        <v>O23011745992024020708016</v>
      </c>
      <c r="AA60" s="186" t="str">
        <f>IFERROR(VLOOKUP(Y60,TD!$K$47:$L$65,2,0)," ")</f>
        <v>PM/0131/0108/45990160207</v>
      </c>
      <c r="AB60" s="53" t="s">
        <v>138</v>
      </c>
      <c r="AC60" s="188" t="s">
        <v>204</v>
      </c>
    </row>
    <row r="61" spans="2:29" s="28" customFormat="1" ht="112" x14ac:dyDescent="0.35">
      <c r="B61" s="77">
        <v>20250010</v>
      </c>
      <c r="C61" s="50" t="s">
        <v>208</v>
      </c>
      <c r="D61" s="184" t="s">
        <v>164</v>
      </c>
      <c r="E61" s="51" t="s">
        <v>389</v>
      </c>
      <c r="F61" s="184" t="s">
        <v>457</v>
      </c>
      <c r="G61" s="184" t="s">
        <v>155</v>
      </c>
      <c r="H61" s="93">
        <v>80111600</v>
      </c>
      <c r="I61" s="185">
        <v>2</v>
      </c>
      <c r="J61" s="185">
        <v>11</v>
      </c>
      <c r="K61" s="52">
        <v>0</v>
      </c>
      <c r="L61" s="53">
        <f>61300000-9050000-22850000</f>
        <v>29400000</v>
      </c>
      <c r="M61" s="184" t="s">
        <v>464</v>
      </c>
      <c r="N61" s="53" t="s">
        <v>113</v>
      </c>
      <c r="O61" s="51" t="s">
        <v>219</v>
      </c>
      <c r="P61" s="186" t="str">
        <f>IFERROR(VLOOKUP(C61,TD!$B$33:$F$37,2,0)," ")</f>
        <v>O230117</v>
      </c>
      <c r="Q61" s="186" t="str">
        <f>IFERROR(VLOOKUP(C61,TD!$B$33:$F$37,3,0)," ")</f>
        <v>4599</v>
      </c>
      <c r="R61" s="186">
        <f>IFERROR(VLOOKUP(C61,TD!$B$33:$F$37,4,0)," ")</f>
        <v>20240207</v>
      </c>
      <c r="S61" s="51" t="s">
        <v>185</v>
      </c>
      <c r="T61" s="186" t="str">
        <f>IFERROR(VLOOKUP(S61,TD!$J$34:$K$44,2,0)," ")</f>
        <v>Infraestructura física, mantenimiento y dotación (Sedes construidas, mantenidas reforzadas)</v>
      </c>
      <c r="U61" s="187" t="str">
        <f>CONCATENATE(S61,"-",T61)</f>
        <v>08-Infraestructura física, mantenimiento y dotación (Sedes construidas, mantenidas reforzadas)</v>
      </c>
      <c r="V61" s="51" t="s">
        <v>238</v>
      </c>
      <c r="W61" s="186" t="str">
        <f>IFERROR(VLOOKUP(V61,TD!$N$34:$O$46,2,0)," ")</f>
        <v>Sedes mantenidas</v>
      </c>
      <c r="X61" s="187" t="str">
        <f>CONCATENATE(V61,"_",W61)</f>
        <v>016_Sedes mantenidas</v>
      </c>
      <c r="Y61" s="187" t="str">
        <f>CONCATENATE(U61," ",X61)</f>
        <v>08-Infraestructura física, mantenimiento y dotación (Sedes construidas, mantenidas reforzadas) 016_Sedes mantenidas</v>
      </c>
      <c r="Z61" s="186" t="str">
        <f>CONCATENATE(P61,Q61,R61,S61,V61)</f>
        <v>O23011745992024020708016</v>
      </c>
      <c r="AA61" s="186" t="str">
        <f>IFERROR(VLOOKUP(Y61,TD!$K$47:$L$65,2,0)," ")</f>
        <v>PM/0131/0108/45990160207</v>
      </c>
      <c r="AB61" s="53" t="s">
        <v>138</v>
      </c>
      <c r="AC61" s="188" t="s">
        <v>204</v>
      </c>
    </row>
    <row r="62" spans="2:29" s="28" customFormat="1" ht="98" x14ac:dyDescent="0.35">
      <c r="B62" s="127">
        <v>20250011</v>
      </c>
      <c r="C62" s="50" t="s">
        <v>208</v>
      </c>
      <c r="D62" s="184" t="s">
        <v>164</v>
      </c>
      <c r="E62" s="51" t="s">
        <v>389</v>
      </c>
      <c r="F62" s="184" t="s">
        <v>803</v>
      </c>
      <c r="G62" s="184" t="s">
        <v>155</v>
      </c>
      <c r="H62" s="93">
        <v>80111600</v>
      </c>
      <c r="I62" s="185">
        <v>2</v>
      </c>
      <c r="J62" s="185">
        <v>11</v>
      </c>
      <c r="K62" s="52">
        <v>0</v>
      </c>
      <c r="L62" s="53">
        <f>65000000-32000000</f>
        <v>33000000</v>
      </c>
      <c r="M62" s="184" t="s">
        <v>464</v>
      </c>
      <c r="N62" s="53" t="s">
        <v>113</v>
      </c>
      <c r="O62" s="51" t="s">
        <v>219</v>
      </c>
      <c r="P62" s="186" t="str">
        <f>IFERROR(VLOOKUP(C62,TD!$B$33:$F$37,2,0)," ")</f>
        <v>O230117</v>
      </c>
      <c r="Q62" s="186" t="str">
        <f>IFERROR(VLOOKUP(C62,TD!$B$33:$F$37,3,0)," ")</f>
        <v>4599</v>
      </c>
      <c r="R62" s="186">
        <f>IFERROR(VLOOKUP(C62,TD!$B$33:$F$37,4,0)," ")</f>
        <v>20240207</v>
      </c>
      <c r="S62" s="51" t="s">
        <v>185</v>
      </c>
      <c r="T62" s="186" t="str">
        <f>IFERROR(VLOOKUP(S62,TD!$J$34:$K$44,2,0)," ")</f>
        <v>Infraestructura física, mantenimiento y dotación (Sedes construidas, mantenidas reforzadas)</v>
      </c>
      <c r="U62" s="187" t="str">
        <f>CONCATENATE(S62,"-",T62)</f>
        <v>08-Infraestructura física, mantenimiento y dotación (Sedes construidas, mantenidas reforzadas)</v>
      </c>
      <c r="V62" s="51" t="s">
        <v>238</v>
      </c>
      <c r="W62" s="186" t="str">
        <f>IFERROR(VLOOKUP(V62,TD!$N$34:$O$46,2,0)," ")</f>
        <v>Sedes mantenidas</v>
      </c>
      <c r="X62" s="187" t="str">
        <f>CONCATENATE(V62,"_",W62)</f>
        <v>016_Sedes mantenidas</v>
      </c>
      <c r="Y62" s="187" t="str">
        <f>CONCATENATE(U62," ",X62)</f>
        <v>08-Infraestructura física, mantenimiento y dotación (Sedes construidas, mantenidas reforzadas) 016_Sedes mantenidas</v>
      </c>
      <c r="Z62" s="186" t="str">
        <f>CONCATENATE(P62,Q62,R62,S62,V62)</f>
        <v>O23011745992024020708016</v>
      </c>
      <c r="AA62" s="186" t="str">
        <f>IFERROR(VLOOKUP(Y62,TD!$K$47:$L$65,2,0)," ")</f>
        <v>PM/0131/0108/45990160207</v>
      </c>
      <c r="AB62" s="53" t="s">
        <v>120</v>
      </c>
      <c r="AC62" s="188" t="s">
        <v>204</v>
      </c>
    </row>
    <row r="63" spans="2:29" s="28" customFormat="1" ht="98" x14ac:dyDescent="0.35">
      <c r="B63" s="77">
        <v>20250012</v>
      </c>
      <c r="C63" s="50" t="s">
        <v>208</v>
      </c>
      <c r="D63" s="184" t="s">
        <v>164</v>
      </c>
      <c r="E63" s="51" t="s">
        <v>389</v>
      </c>
      <c r="F63" s="184" t="s">
        <v>707</v>
      </c>
      <c r="G63" s="184" t="s">
        <v>155</v>
      </c>
      <c r="H63" s="93">
        <v>80111600</v>
      </c>
      <c r="I63" s="185">
        <v>2</v>
      </c>
      <c r="J63" s="185">
        <v>11</v>
      </c>
      <c r="K63" s="52">
        <v>0</v>
      </c>
      <c r="L63" s="53">
        <f>93500000-11000000-37500000</f>
        <v>45000000</v>
      </c>
      <c r="M63" s="184" t="s">
        <v>464</v>
      </c>
      <c r="N63" s="53" t="s">
        <v>113</v>
      </c>
      <c r="O63" s="51" t="s">
        <v>219</v>
      </c>
      <c r="P63" s="186" t="str">
        <f>IFERROR(VLOOKUP(C63,TD!$B$33:$F$37,2,0)," ")</f>
        <v>O230117</v>
      </c>
      <c r="Q63" s="186" t="str">
        <f>IFERROR(VLOOKUP(C63,TD!$B$33:$F$37,3,0)," ")</f>
        <v>4599</v>
      </c>
      <c r="R63" s="186">
        <f>IFERROR(VLOOKUP(C63,TD!$B$33:$F$37,4,0)," ")</f>
        <v>20240207</v>
      </c>
      <c r="S63" s="51" t="s">
        <v>185</v>
      </c>
      <c r="T63" s="186" t="str">
        <f>IFERROR(VLOOKUP(S63,TD!$J$34:$K$44,2,0)," ")</f>
        <v>Infraestructura física, mantenimiento y dotación (Sedes construidas, mantenidas reforzadas)</v>
      </c>
      <c r="U63" s="187" t="str">
        <f>CONCATENATE(S63,"-",T63)</f>
        <v>08-Infraestructura física, mantenimiento y dotación (Sedes construidas, mantenidas reforzadas)</v>
      </c>
      <c r="V63" s="51" t="s">
        <v>238</v>
      </c>
      <c r="W63" s="186" t="str">
        <f>IFERROR(VLOOKUP(V63,TD!$N$34:$O$46,2,0)," ")</f>
        <v>Sedes mantenidas</v>
      </c>
      <c r="X63" s="187" t="str">
        <f>CONCATENATE(V63,"_",W63)</f>
        <v>016_Sedes mantenidas</v>
      </c>
      <c r="Y63" s="187" t="str">
        <f>CONCATENATE(U63," ",X63)</f>
        <v>08-Infraestructura física, mantenimiento y dotación (Sedes construidas, mantenidas reforzadas) 016_Sedes mantenidas</v>
      </c>
      <c r="Z63" s="186" t="str">
        <f>CONCATENATE(P63,Q63,R63,S63,V63)</f>
        <v>O23011745992024020708016</v>
      </c>
      <c r="AA63" s="186" t="str">
        <f>IFERROR(VLOOKUP(Y63,TD!$K$47:$L$65,2,0)," ")</f>
        <v>PM/0131/0108/45990160207</v>
      </c>
      <c r="AB63" s="53" t="s">
        <v>120</v>
      </c>
      <c r="AC63" s="188" t="s">
        <v>204</v>
      </c>
    </row>
    <row r="64" spans="2:29" s="28" customFormat="1" ht="56" x14ac:dyDescent="0.35">
      <c r="B64" s="77">
        <v>20250013</v>
      </c>
      <c r="C64" s="50" t="s">
        <v>208</v>
      </c>
      <c r="D64" s="184" t="s">
        <v>164</v>
      </c>
      <c r="E64" s="51" t="s">
        <v>389</v>
      </c>
      <c r="F64" s="184" t="s">
        <v>707</v>
      </c>
      <c r="G64" s="184" t="s">
        <v>155</v>
      </c>
      <c r="H64" s="93">
        <v>80111600</v>
      </c>
      <c r="I64" s="185">
        <v>2</v>
      </c>
      <c r="J64" s="185">
        <v>11</v>
      </c>
      <c r="K64" s="52">
        <v>0</v>
      </c>
      <c r="L64" s="53">
        <f>93500000-5500000-37000000</f>
        <v>51000000</v>
      </c>
      <c r="M64" s="184" t="s">
        <v>464</v>
      </c>
      <c r="N64" s="53" t="s">
        <v>113</v>
      </c>
      <c r="O64" s="51" t="s">
        <v>219</v>
      </c>
      <c r="P64" s="186" t="str">
        <f>IFERROR(VLOOKUP(C64,TD!$B$33:$F$37,2,0)," ")</f>
        <v>O230117</v>
      </c>
      <c r="Q64" s="186" t="str">
        <f>IFERROR(VLOOKUP(C64,TD!$B$33:$F$37,3,0)," ")</f>
        <v>4599</v>
      </c>
      <c r="R64" s="186">
        <f>IFERROR(VLOOKUP(C64,TD!$B$33:$F$37,4,0)," ")</f>
        <v>20240207</v>
      </c>
      <c r="S64" s="51" t="s">
        <v>185</v>
      </c>
      <c r="T64" s="186" t="str">
        <f>IFERROR(VLOOKUP(S64,TD!$J$34:$K$44,2,0)," ")</f>
        <v>Infraestructura física, mantenimiento y dotación (Sedes construidas, mantenidas reforzadas)</v>
      </c>
      <c r="U64" s="187" t="str">
        <f>CONCATENATE(S64,"-",T64)</f>
        <v>08-Infraestructura física, mantenimiento y dotación (Sedes construidas, mantenidas reforzadas)</v>
      </c>
      <c r="V64" s="51" t="s">
        <v>238</v>
      </c>
      <c r="W64" s="186" t="str">
        <f>IFERROR(VLOOKUP(V64,TD!$N$34:$O$46,2,0)," ")</f>
        <v>Sedes mantenidas</v>
      </c>
      <c r="X64" s="187" t="str">
        <f>CONCATENATE(V64,"_",W64)</f>
        <v>016_Sedes mantenidas</v>
      </c>
      <c r="Y64" s="187" t="str">
        <f>CONCATENATE(U64," ",X64)</f>
        <v>08-Infraestructura física, mantenimiento y dotación (Sedes construidas, mantenidas reforzadas) 016_Sedes mantenidas</v>
      </c>
      <c r="Z64" s="186" t="str">
        <f>CONCATENATE(P64,Q64,R64,S64,V64)</f>
        <v>O23011745992024020708016</v>
      </c>
      <c r="AA64" s="186" t="str">
        <f>IFERROR(VLOOKUP(Y64,TD!$K$47:$L$65,2,0)," ")</f>
        <v>PM/0131/0108/45990160207</v>
      </c>
      <c r="AB64" s="53" t="s">
        <v>120</v>
      </c>
      <c r="AC64" s="188" t="s">
        <v>204</v>
      </c>
    </row>
    <row r="65" spans="2:29" s="28" customFormat="1" ht="98" x14ac:dyDescent="0.35">
      <c r="B65" s="77">
        <v>20250014</v>
      </c>
      <c r="C65" s="50" t="s">
        <v>208</v>
      </c>
      <c r="D65" s="184" t="s">
        <v>164</v>
      </c>
      <c r="E65" s="51" t="s">
        <v>389</v>
      </c>
      <c r="F65" s="184" t="s">
        <v>707</v>
      </c>
      <c r="G65" s="184" t="s">
        <v>155</v>
      </c>
      <c r="H65" s="93">
        <v>80111600</v>
      </c>
      <c r="I65" s="185">
        <v>2</v>
      </c>
      <c r="J65" s="185">
        <v>11</v>
      </c>
      <c r="K65" s="52">
        <v>0</v>
      </c>
      <c r="L65" s="53">
        <f>63500000-18500000</f>
        <v>45000000</v>
      </c>
      <c r="M65" s="184" t="s">
        <v>464</v>
      </c>
      <c r="N65" s="53" t="s">
        <v>113</v>
      </c>
      <c r="O65" s="51" t="s">
        <v>219</v>
      </c>
      <c r="P65" s="186" t="str">
        <f>IFERROR(VLOOKUP(C65,TD!$B$33:$F$37,2,0)," ")</f>
        <v>O230117</v>
      </c>
      <c r="Q65" s="186" t="str">
        <f>IFERROR(VLOOKUP(C65,TD!$B$33:$F$37,3,0)," ")</f>
        <v>4599</v>
      </c>
      <c r="R65" s="186">
        <f>IFERROR(VLOOKUP(C65,TD!$B$33:$F$37,4,0)," ")</f>
        <v>20240207</v>
      </c>
      <c r="S65" s="51" t="s">
        <v>185</v>
      </c>
      <c r="T65" s="186" t="str">
        <f>IFERROR(VLOOKUP(S65,TD!$J$34:$K$44,2,0)," ")</f>
        <v>Infraestructura física, mantenimiento y dotación (Sedes construidas, mantenidas reforzadas)</v>
      </c>
      <c r="U65" s="187" t="str">
        <f>CONCATENATE(S65,"-",T65)</f>
        <v>08-Infraestructura física, mantenimiento y dotación (Sedes construidas, mantenidas reforzadas)</v>
      </c>
      <c r="V65" s="51" t="s">
        <v>238</v>
      </c>
      <c r="W65" s="186" t="str">
        <f>IFERROR(VLOOKUP(V65,TD!$N$34:$O$46,2,0)," ")</f>
        <v>Sedes mantenidas</v>
      </c>
      <c r="X65" s="187" t="str">
        <f>CONCATENATE(V65,"_",W65)</f>
        <v>016_Sedes mantenidas</v>
      </c>
      <c r="Y65" s="187" t="str">
        <f>CONCATENATE(U65," ",X65)</f>
        <v>08-Infraestructura física, mantenimiento y dotación (Sedes construidas, mantenidas reforzadas) 016_Sedes mantenidas</v>
      </c>
      <c r="Z65" s="186" t="str">
        <f>CONCATENATE(P65,Q65,R65,S65,V65)</f>
        <v>O23011745992024020708016</v>
      </c>
      <c r="AA65" s="186" t="str">
        <f>IFERROR(VLOOKUP(Y65,TD!$K$47:$L$65,2,0)," ")</f>
        <v>PM/0131/0108/45990160207</v>
      </c>
      <c r="AB65" s="53" t="s">
        <v>120</v>
      </c>
      <c r="AC65" s="188" t="s">
        <v>204</v>
      </c>
    </row>
    <row r="66" spans="2:29" s="28" customFormat="1" ht="112" x14ac:dyDescent="0.35">
      <c r="B66" s="77">
        <v>20250015</v>
      </c>
      <c r="C66" s="50" t="s">
        <v>208</v>
      </c>
      <c r="D66" s="184" t="s">
        <v>164</v>
      </c>
      <c r="E66" s="51" t="s">
        <v>389</v>
      </c>
      <c r="F66" s="184" t="s">
        <v>708</v>
      </c>
      <c r="G66" s="184" t="s">
        <v>155</v>
      </c>
      <c r="H66" s="93">
        <v>80111600</v>
      </c>
      <c r="I66" s="185">
        <v>2</v>
      </c>
      <c r="J66" s="185">
        <v>11</v>
      </c>
      <c r="K66" s="52">
        <v>0</v>
      </c>
      <c r="L66" s="53">
        <f>82500000-5500000-35000000</f>
        <v>42000000</v>
      </c>
      <c r="M66" s="184" t="s">
        <v>464</v>
      </c>
      <c r="N66" s="53" t="s">
        <v>113</v>
      </c>
      <c r="O66" s="51" t="s">
        <v>219</v>
      </c>
      <c r="P66" s="186" t="str">
        <f>IFERROR(VLOOKUP(C66,TD!$B$33:$F$37,2,0)," ")</f>
        <v>O230117</v>
      </c>
      <c r="Q66" s="186" t="str">
        <f>IFERROR(VLOOKUP(C66,TD!$B$33:$F$37,3,0)," ")</f>
        <v>4599</v>
      </c>
      <c r="R66" s="186">
        <f>IFERROR(VLOOKUP(C66,TD!$B$33:$F$37,4,0)," ")</f>
        <v>20240207</v>
      </c>
      <c r="S66" s="51" t="s">
        <v>185</v>
      </c>
      <c r="T66" s="186" t="str">
        <f>IFERROR(VLOOKUP(S66,TD!$J$34:$K$44,2,0)," ")</f>
        <v>Infraestructura física, mantenimiento y dotación (Sedes construidas, mantenidas reforzadas)</v>
      </c>
      <c r="U66" s="187" t="str">
        <f>CONCATENATE(S66,"-",T66)</f>
        <v>08-Infraestructura física, mantenimiento y dotación (Sedes construidas, mantenidas reforzadas)</v>
      </c>
      <c r="V66" s="51" t="s">
        <v>238</v>
      </c>
      <c r="W66" s="186" t="str">
        <f>IFERROR(VLOOKUP(V66,TD!$N$34:$O$46,2,0)," ")</f>
        <v>Sedes mantenidas</v>
      </c>
      <c r="X66" s="187" t="str">
        <f>CONCATENATE(V66,"_",W66)</f>
        <v>016_Sedes mantenidas</v>
      </c>
      <c r="Y66" s="187" t="str">
        <f>CONCATENATE(U66," ",X66)</f>
        <v>08-Infraestructura física, mantenimiento y dotación (Sedes construidas, mantenidas reforzadas) 016_Sedes mantenidas</v>
      </c>
      <c r="Z66" s="186" t="str">
        <f>CONCATENATE(P66,Q66,R66,S66,V66)</f>
        <v>O23011745992024020708016</v>
      </c>
      <c r="AA66" s="186" t="str">
        <f>IFERROR(VLOOKUP(Y66,TD!$K$47:$L$65,2,0)," ")</f>
        <v>PM/0131/0108/45990160207</v>
      </c>
      <c r="AB66" s="53" t="s">
        <v>120</v>
      </c>
      <c r="AC66" s="188" t="s">
        <v>204</v>
      </c>
    </row>
    <row r="67" spans="2:29" s="28" customFormat="1" ht="98" x14ac:dyDescent="0.35">
      <c r="B67" s="77">
        <v>20250016</v>
      </c>
      <c r="C67" s="50" t="s">
        <v>208</v>
      </c>
      <c r="D67" s="184" t="s">
        <v>164</v>
      </c>
      <c r="E67" s="51" t="s">
        <v>389</v>
      </c>
      <c r="F67" s="184" t="s">
        <v>707</v>
      </c>
      <c r="G67" s="184" t="s">
        <v>155</v>
      </c>
      <c r="H67" s="93">
        <v>80111600</v>
      </c>
      <c r="I67" s="185">
        <v>2</v>
      </c>
      <c r="J67" s="185">
        <v>11</v>
      </c>
      <c r="K67" s="52">
        <v>0</v>
      </c>
      <c r="L67" s="53">
        <f>82500000-11000000-32500000</f>
        <v>39000000</v>
      </c>
      <c r="M67" s="184" t="s">
        <v>464</v>
      </c>
      <c r="N67" s="53" t="s">
        <v>113</v>
      </c>
      <c r="O67" s="51" t="s">
        <v>219</v>
      </c>
      <c r="P67" s="186" t="str">
        <f>IFERROR(VLOOKUP(C67,TD!$B$33:$F$37,2,0)," ")</f>
        <v>O230117</v>
      </c>
      <c r="Q67" s="186" t="str">
        <f>IFERROR(VLOOKUP(C67,TD!$B$33:$F$37,3,0)," ")</f>
        <v>4599</v>
      </c>
      <c r="R67" s="186">
        <f>IFERROR(VLOOKUP(C67,TD!$B$33:$F$37,4,0)," ")</f>
        <v>20240207</v>
      </c>
      <c r="S67" s="51" t="s">
        <v>185</v>
      </c>
      <c r="T67" s="186" t="str">
        <f>IFERROR(VLOOKUP(S67,TD!$J$34:$K$44,2,0)," ")</f>
        <v>Infraestructura física, mantenimiento y dotación (Sedes construidas, mantenidas reforzadas)</v>
      </c>
      <c r="U67" s="187" t="str">
        <f>CONCATENATE(S67,"-",T67)</f>
        <v>08-Infraestructura física, mantenimiento y dotación (Sedes construidas, mantenidas reforzadas)</v>
      </c>
      <c r="V67" s="51" t="s">
        <v>238</v>
      </c>
      <c r="W67" s="186" t="str">
        <f>IFERROR(VLOOKUP(V67,TD!$N$34:$O$46,2,0)," ")</f>
        <v>Sedes mantenidas</v>
      </c>
      <c r="X67" s="187" t="str">
        <f>CONCATENATE(V67,"_",W67)</f>
        <v>016_Sedes mantenidas</v>
      </c>
      <c r="Y67" s="187" t="str">
        <f>CONCATENATE(U67," ",X67)</f>
        <v>08-Infraestructura física, mantenimiento y dotación (Sedes construidas, mantenidas reforzadas) 016_Sedes mantenidas</v>
      </c>
      <c r="Z67" s="186" t="str">
        <f>CONCATENATE(P67,Q67,R67,S67,V67)</f>
        <v>O23011745992024020708016</v>
      </c>
      <c r="AA67" s="186" t="str">
        <f>IFERROR(VLOOKUP(Y67,TD!$K$47:$L$65,2,0)," ")</f>
        <v>PM/0131/0108/45990160207</v>
      </c>
      <c r="AB67" s="53" t="s">
        <v>120</v>
      </c>
      <c r="AC67" s="188" t="s">
        <v>204</v>
      </c>
    </row>
    <row r="68" spans="2:29" s="28" customFormat="1" ht="70" x14ac:dyDescent="0.35">
      <c r="B68" s="77">
        <v>20250017</v>
      </c>
      <c r="C68" s="50" t="s">
        <v>208</v>
      </c>
      <c r="D68" s="184" t="s">
        <v>164</v>
      </c>
      <c r="E68" s="51" t="s">
        <v>389</v>
      </c>
      <c r="F68" s="184" t="s">
        <v>707</v>
      </c>
      <c r="G68" s="184" t="s">
        <v>155</v>
      </c>
      <c r="H68" s="93">
        <v>80111600</v>
      </c>
      <c r="I68" s="185">
        <v>2</v>
      </c>
      <c r="J68" s="185">
        <v>11</v>
      </c>
      <c r="K68" s="52">
        <v>0</v>
      </c>
      <c r="L68" s="53">
        <f>75000000-45000000</f>
        <v>30000000</v>
      </c>
      <c r="M68" s="184" t="s">
        <v>464</v>
      </c>
      <c r="N68" s="53" t="s">
        <v>113</v>
      </c>
      <c r="O68" s="51" t="s">
        <v>219</v>
      </c>
      <c r="P68" s="186" t="str">
        <f>IFERROR(VLOOKUP(C68,TD!$B$33:$F$37,2,0)," ")</f>
        <v>O230117</v>
      </c>
      <c r="Q68" s="186" t="str">
        <f>IFERROR(VLOOKUP(C68,TD!$B$33:$F$37,3,0)," ")</f>
        <v>4599</v>
      </c>
      <c r="R68" s="186">
        <f>IFERROR(VLOOKUP(C68,TD!$B$33:$F$37,4,0)," ")</f>
        <v>20240207</v>
      </c>
      <c r="S68" s="51" t="s">
        <v>185</v>
      </c>
      <c r="T68" s="186" t="str">
        <f>IFERROR(VLOOKUP(S68,TD!$J$34:$K$44,2,0)," ")</f>
        <v>Infraestructura física, mantenimiento y dotación (Sedes construidas, mantenidas reforzadas)</v>
      </c>
      <c r="U68" s="187" t="str">
        <f>CONCATENATE(S68,"-",T68)</f>
        <v>08-Infraestructura física, mantenimiento y dotación (Sedes construidas, mantenidas reforzadas)</v>
      </c>
      <c r="V68" s="51" t="s">
        <v>238</v>
      </c>
      <c r="W68" s="186" t="str">
        <f>IFERROR(VLOOKUP(V68,TD!$N$34:$O$46,2,0)," ")</f>
        <v>Sedes mantenidas</v>
      </c>
      <c r="X68" s="187" t="str">
        <f>CONCATENATE(V68,"_",W68)</f>
        <v>016_Sedes mantenidas</v>
      </c>
      <c r="Y68" s="187" t="str">
        <f>CONCATENATE(U68," ",X68)</f>
        <v>08-Infraestructura física, mantenimiento y dotación (Sedes construidas, mantenidas reforzadas) 016_Sedes mantenidas</v>
      </c>
      <c r="Z68" s="186" t="str">
        <f>CONCATENATE(P68,Q68,R68,S68,V68)</f>
        <v>O23011745992024020708016</v>
      </c>
      <c r="AA68" s="186" t="str">
        <f>IFERROR(VLOOKUP(Y68,TD!$K$47:$L$65,2,0)," ")</f>
        <v>PM/0131/0108/45990160207</v>
      </c>
      <c r="AB68" s="53" t="s">
        <v>120</v>
      </c>
      <c r="AC68" s="188" t="s">
        <v>204</v>
      </c>
    </row>
    <row r="69" spans="2:29" s="28" customFormat="1" ht="70" x14ac:dyDescent="0.35">
      <c r="B69" s="77">
        <v>20250018</v>
      </c>
      <c r="C69" s="50" t="s">
        <v>208</v>
      </c>
      <c r="D69" s="184" t="s">
        <v>164</v>
      </c>
      <c r="E69" s="51" t="s">
        <v>389</v>
      </c>
      <c r="F69" s="184" t="s">
        <v>707</v>
      </c>
      <c r="G69" s="184" t="s">
        <v>155</v>
      </c>
      <c r="H69" s="93">
        <v>80111600</v>
      </c>
      <c r="I69" s="185">
        <v>2</v>
      </c>
      <c r="J69" s="185">
        <v>11</v>
      </c>
      <c r="K69" s="52">
        <v>0</v>
      </c>
      <c r="L69" s="53">
        <f>42700000-12700000</f>
        <v>30000000</v>
      </c>
      <c r="M69" s="184" t="s">
        <v>464</v>
      </c>
      <c r="N69" s="53" t="s">
        <v>113</v>
      </c>
      <c r="O69" s="51" t="s">
        <v>219</v>
      </c>
      <c r="P69" s="186" t="str">
        <f>IFERROR(VLOOKUP(C69,TD!$B$33:$F$37,2,0)," ")</f>
        <v>O230117</v>
      </c>
      <c r="Q69" s="186" t="str">
        <f>IFERROR(VLOOKUP(C69,TD!$B$33:$F$37,3,0)," ")</f>
        <v>4599</v>
      </c>
      <c r="R69" s="186">
        <f>IFERROR(VLOOKUP(C69,TD!$B$33:$F$37,4,0)," ")</f>
        <v>20240207</v>
      </c>
      <c r="S69" s="51" t="s">
        <v>185</v>
      </c>
      <c r="T69" s="186" t="str">
        <f>IFERROR(VLOOKUP(S69,TD!$J$34:$K$44,2,0)," ")</f>
        <v>Infraestructura física, mantenimiento y dotación (Sedes construidas, mantenidas reforzadas)</v>
      </c>
      <c r="U69" s="187" t="str">
        <f>CONCATENATE(S69,"-",T69)</f>
        <v>08-Infraestructura física, mantenimiento y dotación (Sedes construidas, mantenidas reforzadas)</v>
      </c>
      <c r="V69" s="51" t="s">
        <v>238</v>
      </c>
      <c r="W69" s="186" t="str">
        <f>IFERROR(VLOOKUP(V69,TD!$N$34:$O$46,2,0)," ")</f>
        <v>Sedes mantenidas</v>
      </c>
      <c r="X69" s="187" t="str">
        <f>CONCATENATE(V69,"_",W69)</f>
        <v>016_Sedes mantenidas</v>
      </c>
      <c r="Y69" s="187" t="str">
        <f>CONCATENATE(U69," ",X69)</f>
        <v>08-Infraestructura física, mantenimiento y dotación (Sedes construidas, mantenidas reforzadas) 016_Sedes mantenidas</v>
      </c>
      <c r="Z69" s="186" t="str">
        <f>CONCATENATE(P69,Q69,R69,S69,V69)</f>
        <v>O23011745992024020708016</v>
      </c>
      <c r="AA69" s="186" t="str">
        <f>IFERROR(VLOOKUP(Y69,TD!$K$47:$L$65,2,0)," ")</f>
        <v>PM/0131/0108/45990160207</v>
      </c>
      <c r="AB69" s="53" t="s">
        <v>120</v>
      </c>
      <c r="AC69" s="188" t="s">
        <v>204</v>
      </c>
    </row>
    <row r="70" spans="2:29" s="28" customFormat="1" ht="98" x14ac:dyDescent="0.35">
      <c r="B70" s="127">
        <v>20250019</v>
      </c>
      <c r="C70" s="50" t="s">
        <v>208</v>
      </c>
      <c r="D70" s="184" t="s">
        <v>164</v>
      </c>
      <c r="E70" s="51" t="s">
        <v>389</v>
      </c>
      <c r="F70" s="184" t="s">
        <v>709</v>
      </c>
      <c r="G70" s="184" t="s">
        <v>156</v>
      </c>
      <c r="H70" s="93">
        <v>80111600</v>
      </c>
      <c r="I70" s="185">
        <v>2</v>
      </c>
      <c r="J70" s="185">
        <v>11</v>
      </c>
      <c r="K70" s="52">
        <v>0</v>
      </c>
      <c r="L70" s="53">
        <f>66000000-28800000</f>
        <v>37200000</v>
      </c>
      <c r="M70" s="184" t="s">
        <v>464</v>
      </c>
      <c r="N70" s="53" t="s">
        <v>113</v>
      </c>
      <c r="O70" s="51" t="s">
        <v>219</v>
      </c>
      <c r="P70" s="186" t="str">
        <f>IFERROR(VLOOKUP(C70,TD!$B$33:$F$37,2,0)," ")</f>
        <v>O230117</v>
      </c>
      <c r="Q70" s="186" t="str">
        <f>IFERROR(VLOOKUP(C70,TD!$B$33:$F$37,3,0)," ")</f>
        <v>4599</v>
      </c>
      <c r="R70" s="186">
        <f>IFERROR(VLOOKUP(C70,TD!$B$33:$F$37,4,0)," ")</f>
        <v>20240207</v>
      </c>
      <c r="S70" s="51" t="s">
        <v>185</v>
      </c>
      <c r="T70" s="186" t="str">
        <f>IFERROR(VLOOKUP(S70,TD!$J$34:$K$44,2,0)," ")</f>
        <v>Infraestructura física, mantenimiento y dotación (Sedes construidas, mantenidas reforzadas)</v>
      </c>
      <c r="U70" s="187" t="str">
        <f>CONCATENATE(S70,"-",T70)</f>
        <v>08-Infraestructura física, mantenimiento y dotación (Sedes construidas, mantenidas reforzadas)</v>
      </c>
      <c r="V70" s="51" t="s">
        <v>238</v>
      </c>
      <c r="W70" s="186" t="str">
        <f>IFERROR(VLOOKUP(V70,TD!$N$34:$O$46,2,0)," ")</f>
        <v>Sedes mantenidas</v>
      </c>
      <c r="X70" s="187" t="str">
        <f>CONCATENATE(V70,"_",W70)</f>
        <v>016_Sedes mantenidas</v>
      </c>
      <c r="Y70" s="187" t="str">
        <f>CONCATENATE(U70," ",X70)</f>
        <v>08-Infraestructura física, mantenimiento y dotación (Sedes construidas, mantenidas reforzadas) 016_Sedes mantenidas</v>
      </c>
      <c r="Z70" s="186" t="str">
        <f>CONCATENATE(P70,Q70,R70,S70,V70)</f>
        <v>O23011745992024020708016</v>
      </c>
      <c r="AA70" s="186" t="str">
        <f>IFERROR(VLOOKUP(Y70,TD!$K$47:$L$65,2,0)," ")</f>
        <v>PM/0131/0108/45990160207</v>
      </c>
      <c r="AB70" s="53" t="s">
        <v>138</v>
      </c>
      <c r="AC70" s="188" t="s">
        <v>204</v>
      </c>
    </row>
    <row r="71" spans="2:29" s="28" customFormat="1" ht="98" x14ac:dyDescent="0.35">
      <c r="B71" s="127">
        <v>20250020</v>
      </c>
      <c r="C71" s="50" t="s">
        <v>208</v>
      </c>
      <c r="D71" s="184" t="s">
        <v>164</v>
      </c>
      <c r="E71" s="51" t="s">
        <v>389</v>
      </c>
      <c r="F71" s="184" t="s">
        <v>709</v>
      </c>
      <c r="G71" s="184" t="s">
        <v>156</v>
      </c>
      <c r="H71" s="93">
        <v>80111600</v>
      </c>
      <c r="I71" s="185">
        <v>2</v>
      </c>
      <c r="J71" s="185">
        <v>11</v>
      </c>
      <c r="K71" s="52">
        <v>0</v>
      </c>
      <c r="L71" s="53">
        <v>37200000</v>
      </c>
      <c r="M71" s="184" t="s">
        <v>464</v>
      </c>
      <c r="N71" s="53" t="s">
        <v>113</v>
      </c>
      <c r="O71" s="51" t="s">
        <v>219</v>
      </c>
      <c r="P71" s="186" t="str">
        <f>IFERROR(VLOOKUP(C71,TD!$B$33:$F$37,2,0)," ")</f>
        <v>O230117</v>
      </c>
      <c r="Q71" s="186" t="str">
        <f>IFERROR(VLOOKUP(C71,TD!$B$33:$F$37,3,0)," ")</f>
        <v>4599</v>
      </c>
      <c r="R71" s="186">
        <f>IFERROR(VLOOKUP(C71,TD!$B$33:$F$37,4,0)," ")</f>
        <v>20240207</v>
      </c>
      <c r="S71" s="51" t="s">
        <v>185</v>
      </c>
      <c r="T71" s="186" t="str">
        <f>IFERROR(VLOOKUP(S71,TD!$J$34:$K$44,2,0)," ")</f>
        <v>Infraestructura física, mantenimiento y dotación (Sedes construidas, mantenidas reforzadas)</v>
      </c>
      <c r="U71" s="187" t="str">
        <f>CONCATENATE(S71,"-",T71)</f>
        <v>08-Infraestructura física, mantenimiento y dotación (Sedes construidas, mantenidas reforzadas)</v>
      </c>
      <c r="V71" s="51" t="s">
        <v>238</v>
      </c>
      <c r="W71" s="186" t="str">
        <f>IFERROR(VLOOKUP(V71,TD!$N$34:$O$46,2,0)," ")</f>
        <v>Sedes mantenidas</v>
      </c>
      <c r="X71" s="187" t="str">
        <f>CONCATENATE(V71,"_",W71)</f>
        <v>016_Sedes mantenidas</v>
      </c>
      <c r="Y71" s="187" t="str">
        <f>CONCATENATE(U71," ",X71)</f>
        <v>08-Infraestructura física, mantenimiento y dotación (Sedes construidas, mantenidas reforzadas) 016_Sedes mantenidas</v>
      </c>
      <c r="Z71" s="186" t="str">
        <f>CONCATENATE(P71,Q71,R71,S71,V71)</f>
        <v>O23011745992024020708016</v>
      </c>
      <c r="AA71" s="186" t="str">
        <f>IFERROR(VLOOKUP(Y71,TD!$K$47:$L$65,2,0)," ")</f>
        <v>PM/0131/0108/45990160207</v>
      </c>
      <c r="AB71" s="53" t="s">
        <v>138</v>
      </c>
      <c r="AC71" s="188" t="s">
        <v>204</v>
      </c>
    </row>
    <row r="72" spans="2:29" s="28" customFormat="1" ht="70" x14ac:dyDescent="0.35">
      <c r="B72" s="127">
        <v>20250021</v>
      </c>
      <c r="C72" s="50" t="s">
        <v>208</v>
      </c>
      <c r="D72" s="184" t="s">
        <v>164</v>
      </c>
      <c r="E72" s="51" t="s">
        <v>389</v>
      </c>
      <c r="F72" s="184" t="s">
        <v>709</v>
      </c>
      <c r="G72" s="184" t="s">
        <v>156</v>
      </c>
      <c r="H72" s="93">
        <v>80111600</v>
      </c>
      <c r="I72" s="185">
        <v>2</v>
      </c>
      <c r="J72" s="185">
        <v>11</v>
      </c>
      <c r="K72" s="52">
        <v>0</v>
      </c>
      <c r="L72" s="53">
        <f>71500000-34300000</f>
        <v>37200000</v>
      </c>
      <c r="M72" s="184" t="s">
        <v>464</v>
      </c>
      <c r="N72" s="53" t="s">
        <v>113</v>
      </c>
      <c r="O72" s="51" t="s">
        <v>219</v>
      </c>
      <c r="P72" s="186" t="str">
        <f>IFERROR(VLOOKUP(C72,TD!$B$33:$F$37,2,0)," ")</f>
        <v>O230117</v>
      </c>
      <c r="Q72" s="186" t="str">
        <f>IFERROR(VLOOKUP(C72,TD!$B$33:$F$37,3,0)," ")</f>
        <v>4599</v>
      </c>
      <c r="R72" s="186">
        <f>IFERROR(VLOOKUP(C72,TD!$B$33:$F$37,4,0)," ")</f>
        <v>20240207</v>
      </c>
      <c r="S72" s="51" t="s">
        <v>185</v>
      </c>
      <c r="T72" s="186" t="str">
        <f>IFERROR(VLOOKUP(S72,TD!$J$34:$K$44,2,0)," ")</f>
        <v>Infraestructura física, mantenimiento y dotación (Sedes construidas, mantenidas reforzadas)</v>
      </c>
      <c r="U72" s="187" t="str">
        <f>CONCATENATE(S72,"-",T72)</f>
        <v>08-Infraestructura física, mantenimiento y dotación (Sedes construidas, mantenidas reforzadas)</v>
      </c>
      <c r="V72" s="51" t="s">
        <v>238</v>
      </c>
      <c r="W72" s="186" t="str">
        <f>IFERROR(VLOOKUP(V72,TD!$N$34:$O$46,2,0)," ")</f>
        <v>Sedes mantenidas</v>
      </c>
      <c r="X72" s="187" t="str">
        <f>CONCATENATE(V72,"_",W72)</f>
        <v>016_Sedes mantenidas</v>
      </c>
      <c r="Y72" s="187" t="str">
        <f>CONCATENATE(U72," ",X72)</f>
        <v>08-Infraestructura física, mantenimiento y dotación (Sedes construidas, mantenidas reforzadas) 016_Sedes mantenidas</v>
      </c>
      <c r="Z72" s="186" t="str">
        <f>CONCATENATE(P72,Q72,R72,S72,V72)</f>
        <v>O23011745992024020708016</v>
      </c>
      <c r="AA72" s="186" t="str">
        <f>IFERROR(VLOOKUP(Y72,TD!$K$47:$L$65,2,0)," ")</f>
        <v>PM/0131/0108/45990160207</v>
      </c>
      <c r="AB72" s="53" t="s">
        <v>138</v>
      </c>
      <c r="AC72" s="188" t="s">
        <v>204</v>
      </c>
    </row>
    <row r="73" spans="2:29" s="28" customFormat="1" ht="70" x14ac:dyDescent="0.35">
      <c r="B73" s="127">
        <v>20250022</v>
      </c>
      <c r="C73" s="50" t="s">
        <v>208</v>
      </c>
      <c r="D73" s="184" t="s">
        <v>164</v>
      </c>
      <c r="E73" s="51" t="s">
        <v>389</v>
      </c>
      <c r="F73" s="184" t="s">
        <v>709</v>
      </c>
      <c r="G73" s="184" t="s">
        <v>155</v>
      </c>
      <c r="H73" s="93">
        <v>80111600</v>
      </c>
      <c r="I73" s="185">
        <v>2</v>
      </c>
      <c r="J73" s="185">
        <v>11</v>
      </c>
      <c r="K73" s="52">
        <v>0</v>
      </c>
      <c r="L73" s="53">
        <v>19000000</v>
      </c>
      <c r="M73" s="184" t="s">
        <v>464</v>
      </c>
      <c r="N73" s="53" t="s">
        <v>113</v>
      </c>
      <c r="O73" s="51" t="s">
        <v>219</v>
      </c>
      <c r="P73" s="186" t="str">
        <f>IFERROR(VLOOKUP(C73,TD!$B$33:$F$37,2,0)," ")</f>
        <v>O230117</v>
      </c>
      <c r="Q73" s="186" t="str">
        <f>IFERROR(VLOOKUP(C73,TD!$B$33:$F$37,3,0)," ")</f>
        <v>4599</v>
      </c>
      <c r="R73" s="186">
        <f>IFERROR(VLOOKUP(C73,TD!$B$33:$F$37,4,0)," ")</f>
        <v>20240207</v>
      </c>
      <c r="S73" s="51" t="s">
        <v>185</v>
      </c>
      <c r="T73" s="186" t="str">
        <f>IFERROR(VLOOKUP(S73,TD!$J$34:$K$44,2,0)," ")</f>
        <v>Infraestructura física, mantenimiento y dotación (Sedes construidas, mantenidas reforzadas)</v>
      </c>
      <c r="U73" s="187" t="str">
        <f>CONCATENATE(S73,"-",T73)</f>
        <v>08-Infraestructura física, mantenimiento y dotación (Sedes construidas, mantenidas reforzadas)</v>
      </c>
      <c r="V73" s="51" t="s">
        <v>238</v>
      </c>
      <c r="W73" s="186" t="str">
        <f>IFERROR(VLOOKUP(V73,TD!$N$34:$O$46,2,0)," ")</f>
        <v>Sedes mantenidas</v>
      </c>
      <c r="X73" s="187" t="str">
        <f>CONCATENATE(V73,"_",W73)</f>
        <v>016_Sedes mantenidas</v>
      </c>
      <c r="Y73" s="187" t="str">
        <f>CONCATENATE(U73," ",X73)</f>
        <v>08-Infraestructura física, mantenimiento y dotación (Sedes construidas, mantenidas reforzadas) 016_Sedes mantenidas</v>
      </c>
      <c r="Z73" s="186" t="str">
        <f>CONCATENATE(P73,Q73,R73,S73,V73)</f>
        <v>O23011745992024020708016</v>
      </c>
      <c r="AA73" s="186" t="str">
        <f>IFERROR(VLOOKUP(Y73,TD!$K$47:$L$65,2,0)," ")</f>
        <v>PM/0131/0108/45990160207</v>
      </c>
      <c r="AB73" s="53" t="s">
        <v>138</v>
      </c>
      <c r="AC73" s="188" t="s">
        <v>204</v>
      </c>
    </row>
    <row r="74" spans="2:29" s="28" customFormat="1" ht="70" x14ac:dyDescent="0.35">
      <c r="B74" s="77">
        <v>20250023</v>
      </c>
      <c r="C74" s="50" t="s">
        <v>208</v>
      </c>
      <c r="D74" s="184" t="s">
        <v>164</v>
      </c>
      <c r="E74" s="51" t="s">
        <v>389</v>
      </c>
      <c r="F74" s="184" t="s">
        <v>388</v>
      </c>
      <c r="G74" s="184" t="s">
        <v>155</v>
      </c>
      <c r="H74" s="93">
        <v>80111600</v>
      </c>
      <c r="I74" s="185">
        <v>2</v>
      </c>
      <c r="J74" s="185">
        <v>11</v>
      </c>
      <c r="K74" s="52">
        <v>0</v>
      </c>
      <c r="L74" s="53">
        <f>93500000-1650000-41750000</f>
        <v>50100000</v>
      </c>
      <c r="M74" s="184" t="s">
        <v>464</v>
      </c>
      <c r="N74" s="53" t="s">
        <v>113</v>
      </c>
      <c r="O74" s="51" t="s">
        <v>219</v>
      </c>
      <c r="P74" s="186" t="str">
        <f>IFERROR(VLOOKUP(C74,TD!$B$33:$F$37,2,0)," ")</f>
        <v>O230117</v>
      </c>
      <c r="Q74" s="186" t="str">
        <f>IFERROR(VLOOKUP(C74,TD!$B$33:$F$37,3,0)," ")</f>
        <v>4599</v>
      </c>
      <c r="R74" s="186">
        <f>IFERROR(VLOOKUP(C74,TD!$B$33:$F$37,4,0)," ")</f>
        <v>20240207</v>
      </c>
      <c r="S74" s="51" t="s">
        <v>185</v>
      </c>
      <c r="T74" s="186" t="str">
        <f>IFERROR(VLOOKUP(S74,TD!$J$34:$K$44,2,0)," ")</f>
        <v>Infraestructura física, mantenimiento y dotación (Sedes construidas, mantenidas reforzadas)</v>
      </c>
      <c r="U74" s="187" t="str">
        <f>CONCATENATE(S74,"-",T74)</f>
        <v>08-Infraestructura física, mantenimiento y dotación (Sedes construidas, mantenidas reforzadas)</v>
      </c>
      <c r="V74" s="51" t="s">
        <v>238</v>
      </c>
      <c r="W74" s="186" t="str">
        <f>IFERROR(VLOOKUP(V74,TD!$N$34:$O$46,2,0)," ")</f>
        <v>Sedes mantenidas</v>
      </c>
      <c r="X74" s="187" t="str">
        <f>CONCATENATE(V74,"_",W74)</f>
        <v>016_Sedes mantenidas</v>
      </c>
      <c r="Y74" s="187" t="str">
        <f>CONCATENATE(U74," ",X74)</f>
        <v>08-Infraestructura física, mantenimiento y dotación (Sedes construidas, mantenidas reforzadas) 016_Sedes mantenidas</v>
      </c>
      <c r="Z74" s="186" t="str">
        <f>CONCATENATE(P74,Q74,R74,S74,V74)</f>
        <v>O23011745992024020708016</v>
      </c>
      <c r="AA74" s="186" t="str">
        <f>IFERROR(VLOOKUP(Y74,TD!$K$47:$L$65,2,0)," ")</f>
        <v>PM/0131/0108/45990160207</v>
      </c>
      <c r="AB74" s="53" t="s">
        <v>138</v>
      </c>
      <c r="AC74" s="188" t="s">
        <v>204</v>
      </c>
    </row>
    <row r="75" spans="2:29" s="28" customFormat="1" ht="56" x14ac:dyDescent="0.35">
      <c r="B75" s="77">
        <v>20250024</v>
      </c>
      <c r="C75" s="50" t="s">
        <v>208</v>
      </c>
      <c r="D75" s="184" t="s">
        <v>164</v>
      </c>
      <c r="E75" s="51" t="s">
        <v>389</v>
      </c>
      <c r="F75" s="184" t="s">
        <v>458</v>
      </c>
      <c r="G75" s="184" t="s">
        <v>155</v>
      </c>
      <c r="H75" s="93">
        <v>80111600</v>
      </c>
      <c r="I75" s="185">
        <v>2</v>
      </c>
      <c r="J75" s="185">
        <v>11</v>
      </c>
      <c r="K75" s="52">
        <v>0</v>
      </c>
      <c r="L75" s="125">
        <f>346500000-63000000</f>
        <v>283500000</v>
      </c>
      <c r="M75" s="184" t="s">
        <v>464</v>
      </c>
      <c r="N75" s="53" t="s">
        <v>113</v>
      </c>
      <c r="O75" s="51" t="s">
        <v>219</v>
      </c>
      <c r="P75" s="186" t="str">
        <f>IFERROR(VLOOKUP(C75,TD!$B$33:$F$37,2,0)," ")</f>
        <v>O230117</v>
      </c>
      <c r="Q75" s="186" t="str">
        <f>IFERROR(VLOOKUP(C75,TD!$B$33:$F$37,3,0)," ")</f>
        <v>4599</v>
      </c>
      <c r="R75" s="186">
        <f>IFERROR(VLOOKUP(C75,TD!$B$33:$F$37,4,0)," ")</f>
        <v>20240207</v>
      </c>
      <c r="S75" s="51" t="s">
        <v>185</v>
      </c>
      <c r="T75" s="186" t="str">
        <f>IFERROR(VLOOKUP(S75,TD!$J$34:$K$44,2,0)," ")</f>
        <v>Infraestructura física, mantenimiento y dotación (Sedes construidas, mantenidas reforzadas)</v>
      </c>
      <c r="U75" s="187" t="str">
        <f>CONCATENATE(S75,"-",T75)</f>
        <v>08-Infraestructura física, mantenimiento y dotación (Sedes construidas, mantenidas reforzadas)</v>
      </c>
      <c r="V75" s="51" t="s">
        <v>238</v>
      </c>
      <c r="W75" s="186" t="str">
        <f>IFERROR(VLOOKUP(V75,TD!$N$34:$O$46,2,0)," ")</f>
        <v>Sedes mantenidas</v>
      </c>
      <c r="X75" s="187" t="str">
        <f>CONCATENATE(V75,"_",W75)</f>
        <v>016_Sedes mantenidas</v>
      </c>
      <c r="Y75" s="187" t="str">
        <f>CONCATENATE(U75," ",X75)</f>
        <v>08-Infraestructura física, mantenimiento y dotación (Sedes construidas, mantenidas reforzadas) 016_Sedes mantenidas</v>
      </c>
      <c r="Z75" s="186" t="str">
        <f>CONCATENATE(P75,Q75,R75,S75,V75)</f>
        <v>O23011745992024020708016</v>
      </c>
      <c r="AA75" s="186" t="str">
        <f>IFERROR(VLOOKUP(Y75,TD!$K$47:$L$65,2,0)," ")</f>
        <v>PM/0131/0108/45990160207</v>
      </c>
      <c r="AB75" s="53" t="s">
        <v>120</v>
      </c>
      <c r="AC75" s="188" t="s">
        <v>204</v>
      </c>
    </row>
    <row r="76" spans="2:29" s="28" customFormat="1" ht="56" x14ac:dyDescent="0.35">
      <c r="B76" s="77">
        <v>20250025</v>
      </c>
      <c r="C76" s="50" t="s">
        <v>208</v>
      </c>
      <c r="D76" s="184" t="s">
        <v>164</v>
      </c>
      <c r="E76" s="51" t="s">
        <v>389</v>
      </c>
      <c r="F76" s="184" t="s">
        <v>710</v>
      </c>
      <c r="G76" s="184" t="s">
        <v>155</v>
      </c>
      <c r="H76" s="93">
        <v>80111600</v>
      </c>
      <c r="I76" s="185">
        <v>2</v>
      </c>
      <c r="J76" s="185">
        <v>11</v>
      </c>
      <c r="K76" s="52">
        <v>0</v>
      </c>
      <c r="L76" s="53">
        <f>55000000-2750000-31850000</f>
        <v>20400000</v>
      </c>
      <c r="M76" s="184" t="s">
        <v>464</v>
      </c>
      <c r="N76" s="53" t="s">
        <v>113</v>
      </c>
      <c r="O76" s="51" t="s">
        <v>219</v>
      </c>
      <c r="P76" s="186" t="str">
        <f>IFERROR(VLOOKUP(C76,TD!$B$33:$F$37,2,0)," ")</f>
        <v>O230117</v>
      </c>
      <c r="Q76" s="186" t="str">
        <f>IFERROR(VLOOKUP(C76,TD!$B$33:$F$37,3,0)," ")</f>
        <v>4599</v>
      </c>
      <c r="R76" s="186">
        <f>IFERROR(VLOOKUP(C76,TD!$B$33:$F$37,4,0)," ")</f>
        <v>20240207</v>
      </c>
      <c r="S76" s="51" t="s">
        <v>185</v>
      </c>
      <c r="T76" s="186" t="str">
        <f>IFERROR(VLOOKUP(S76,TD!$J$34:$K$44,2,0)," ")</f>
        <v>Infraestructura física, mantenimiento y dotación (Sedes construidas, mantenidas reforzadas)</v>
      </c>
      <c r="U76" s="187" t="str">
        <f>CONCATENATE(S76,"-",T76)</f>
        <v>08-Infraestructura física, mantenimiento y dotación (Sedes construidas, mantenidas reforzadas)</v>
      </c>
      <c r="V76" s="51" t="s">
        <v>238</v>
      </c>
      <c r="W76" s="186" t="str">
        <f>IFERROR(VLOOKUP(V76,TD!$N$34:$O$46,2,0)," ")</f>
        <v>Sedes mantenidas</v>
      </c>
      <c r="X76" s="187" t="str">
        <f>CONCATENATE(V76,"_",W76)</f>
        <v>016_Sedes mantenidas</v>
      </c>
      <c r="Y76" s="187" t="str">
        <f>CONCATENATE(U76," ",X76)</f>
        <v>08-Infraestructura física, mantenimiento y dotación (Sedes construidas, mantenidas reforzadas) 016_Sedes mantenidas</v>
      </c>
      <c r="Z76" s="186" t="str">
        <f>CONCATENATE(P76,Q76,R76,S76,V76)</f>
        <v>O23011745992024020708016</v>
      </c>
      <c r="AA76" s="186" t="str">
        <f>IFERROR(VLOOKUP(Y76,TD!$K$47:$L$65,2,0)," ")</f>
        <v>PM/0131/0108/45990160207</v>
      </c>
      <c r="AB76" s="53" t="s">
        <v>138</v>
      </c>
      <c r="AC76" s="188" t="s">
        <v>204</v>
      </c>
    </row>
    <row r="77" spans="2:29" s="28" customFormat="1" ht="70" x14ac:dyDescent="0.35">
      <c r="B77" s="77">
        <v>20250027</v>
      </c>
      <c r="C77" s="50" t="s">
        <v>208</v>
      </c>
      <c r="D77" s="184" t="s">
        <v>164</v>
      </c>
      <c r="E77" s="51" t="s">
        <v>389</v>
      </c>
      <c r="F77" s="184" t="s">
        <v>459</v>
      </c>
      <c r="G77" s="184" t="s">
        <v>156</v>
      </c>
      <c r="H77" s="93">
        <v>80111600</v>
      </c>
      <c r="I77" s="185">
        <v>2</v>
      </c>
      <c r="J77" s="185">
        <v>11</v>
      </c>
      <c r="K77" s="52">
        <v>0</v>
      </c>
      <c r="L77" s="53">
        <f>37400000-17000000</f>
        <v>20400000</v>
      </c>
      <c r="M77" s="184" t="s">
        <v>464</v>
      </c>
      <c r="N77" s="53" t="s">
        <v>113</v>
      </c>
      <c r="O77" s="51" t="s">
        <v>219</v>
      </c>
      <c r="P77" s="186" t="str">
        <f>IFERROR(VLOOKUP(C77,TD!$B$33:$F$37,2,0)," ")</f>
        <v>O230117</v>
      </c>
      <c r="Q77" s="186" t="str">
        <f>IFERROR(VLOOKUP(C77,TD!$B$33:$F$37,3,0)," ")</f>
        <v>4599</v>
      </c>
      <c r="R77" s="186">
        <f>IFERROR(VLOOKUP(C77,TD!$B$33:$F$37,4,0)," ")</f>
        <v>20240207</v>
      </c>
      <c r="S77" s="51" t="s">
        <v>185</v>
      </c>
      <c r="T77" s="186" t="str">
        <f>IFERROR(VLOOKUP(S77,TD!$J$34:$K$44,2,0)," ")</f>
        <v>Infraestructura física, mantenimiento y dotación (Sedes construidas, mantenidas reforzadas)</v>
      </c>
      <c r="U77" s="187" t="str">
        <f>CONCATENATE(S77,"-",T77)</f>
        <v>08-Infraestructura física, mantenimiento y dotación (Sedes construidas, mantenidas reforzadas)</v>
      </c>
      <c r="V77" s="51" t="s">
        <v>238</v>
      </c>
      <c r="W77" s="186" t="str">
        <f>IFERROR(VLOOKUP(V77,TD!$N$34:$O$46,2,0)," ")</f>
        <v>Sedes mantenidas</v>
      </c>
      <c r="X77" s="187" t="str">
        <f>CONCATENATE(V77,"_",W77)</f>
        <v>016_Sedes mantenidas</v>
      </c>
      <c r="Y77" s="187" t="str">
        <f>CONCATENATE(U77," ",X77)</f>
        <v>08-Infraestructura física, mantenimiento y dotación (Sedes construidas, mantenidas reforzadas) 016_Sedes mantenidas</v>
      </c>
      <c r="Z77" s="186" t="str">
        <f>CONCATENATE(P77,Q77,R77,S77,V77)</f>
        <v>O23011745992024020708016</v>
      </c>
      <c r="AA77" s="186" t="str">
        <f>IFERROR(VLOOKUP(Y77,TD!$K$47:$L$65,2,0)," ")</f>
        <v>PM/0131/0108/45990160207</v>
      </c>
      <c r="AB77" s="53" t="s">
        <v>138</v>
      </c>
      <c r="AC77" s="188" t="s">
        <v>204</v>
      </c>
    </row>
    <row r="78" spans="2:29" s="28" customFormat="1" ht="70" x14ac:dyDescent="0.35">
      <c r="B78" s="77">
        <v>20250028</v>
      </c>
      <c r="C78" s="50" t="s">
        <v>208</v>
      </c>
      <c r="D78" s="184" t="s">
        <v>164</v>
      </c>
      <c r="E78" s="51" t="s">
        <v>389</v>
      </c>
      <c r="F78" s="184" t="s">
        <v>459</v>
      </c>
      <c r="G78" s="184" t="s">
        <v>156</v>
      </c>
      <c r="H78" s="93">
        <v>80111600</v>
      </c>
      <c r="I78" s="185">
        <v>2</v>
      </c>
      <c r="J78" s="185">
        <v>11</v>
      </c>
      <c r="K78" s="52">
        <v>0</v>
      </c>
      <c r="L78" s="53">
        <f>37400000-17000000</f>
        <v>20400000</v>
      </c>
      <c r="M78" s="184" t="s">
        <v>464</v>
      </c>
      <c r="N78" s="53" t="s">
        <v>113</v>
      </c>
      <c r="O78" s="51" t="s">
        <v>219</v>
      </c>
      <c r="P78" s="186" t="str">
        <f>IFERROR(VLOOKUP(C78,TD!$B$33:$F$37,2,0)," ")</f>
        <v>O230117</v>
      </c>
      <c r="Q78" s="186" t="str">
        <f>IFERROR(VLOOKUP(C78,TD!$B$33:$F$37,3,0)," ")</f>
        <v>4599</v>
      </c>
      <c r="R78" s="186">
        <f>IFERROR(VLOOKUP(C78,TD!$B$33:$F$37,4,0)," ")</f>
        <v>20240207</v>
      </c>
      <c r="S78" s="51" t="s">
        <v>185</v>
      </c>
      <c r="T78" s="186" t="str">
        <f>IFERROR(VLOOKUP(S78,TD!$J$34:$K$44,2,0)," ")</f>
        <v>Infraestructura física, mantenimiento y dotación (Sedes construidas, mantenidas reforzadas)</v>
      </c>
      <c r="U78" s="187" t="str">
        <f>CONCATENATE(S78,"-",T78)</f>
        <v>08-Infraestructura física, mantenimiento y dotación (Sedes construidas, mantenidas reforzadas)</v>
      </c>
      <c r="V78" s="51" t="s">
        <v>238</v>
      </c>
      <c r="W78" s="186" t="str">
        <f>IFERROR(VLOOKUP(V78,TD!$N$34:$O$46,2,0)," ")</f>
        <v>Sedes mantenidas</v>
      </c>
      <c r="X78" s="187" t="str">
        <f>CONCATENATE(V78,"_",W78)</f>
        <v>016_Sedes mantenidas</v>
      </c>
      <c r="Y78" s="187" t="str">
        <f>CONCATENATE(U78," ",X78)</f>
        <v>08-Infraestructura física, mantenimiento y dotación (Sedes construidas, mantenidas reforzadas) 016_Sedes mantenidas</v>
      </c>
      <c r="Z78" s="186" t="str">
        <f>CONCATENATE(P78,Q78,R78,S78,V78)</f>
        <v>O23011745992024020708016</v>
      </c>
      <c r="AA78" s="186" t="str">
        <f>IFERROR(VLOOKUP(Y78,TD!$K$47:$L$65,2,0)," ")</f>
        <v>PM/0131/0108/45990160207</v>
      </c>
      <c r="AB78" s="53" t="s">
        <v>138</v>
      </c>
      <c r="AC78" s="188" t="s">
        <v>204</v>
      </c>
    </row>
    <row r="79" spans="2:29" s="28" customFormat="1" ht="70" x14ac:dyDescent="0.35">
      <c r="B79" s="77">
        <v>20250029</v>
      </c>
      <c r="C79" s="50" t="s">
        <v>208</v>
      </c>
      <c r="D79" s="184" t="s">
        <v>164</v>
      </c>
      <c r="E79" s="51" t="s">
        <v>389</v>
      </c>
      <c r="F79" s="184" t="s">
        <v>711</v>
      </c>
      <c r="G79" s="184" t="s">
        <v>155</v>
      </c>
      <c r="H79" s="93">
        <v>80111600</v>
      </c>
      <c r="I79" s="185">
        <v>2</v>
      </c>
      <c r="J79" s="185">
        <v>11</v>
      </c>
      <c r="K79" s="52">
        <v>0</v>
      </c>
      <c r="L79" s="53">
        <f>71500000-29500000</f>
        <v>42000000</v>
      </c>
      <c r="M79" s="184" t="s">
        <v>464</v>
      </c>
      <c r="N79" s="53" t="s">
        <v>113</v>
      </c>
      <c r="O79" s="51" t="s">
        <v>219</v>
      </c>
      <c r="P79" s="186" t="str">
        <f>IFERROR(VLOOKUP(C79,TD!$B$33:$F$37,2,0)," ")</f>
        <v>O230117</v>
      </c>
      <c r="Q79" s="186" t="str">
        <f>IFERROR(VLOOKUP(C79,TD!$B$33:$F$37,3,0)," ")</f>
        <v>4599</v>
      </c>
      <c r="R79" s="186">
        <f>IFERROR(VLOOKUP(C79,TD!$B$33:$F$37,4,0)," ")</f>
        <v>20240207</v>
      </c>
      <c r="S79" s="51" t="s">
        <v>185</v>
      </c>
      <c r="T79" s="186" t="str">
        <f>IFERROR(VLOOKUP(S79,TD!$J$34:$K$44,2,0)," ")</f>
        <v>Infraestructura física, mantenimiento y dotación (Sedes construidas, mantenidas reforzadas)</v>
      </c>
      <c r="U79" s="187" t="str">
        <f>CONCATENATE(S79,"-",T79)</f>
        <v>08-Infraestructura física, mantenimiento y dotación (Sedes construidas, mantenidas reforzadas)</v>
      </c>
      <c r="V79" s="51" t="s">
        <v>238</v>
      </c>
      <c r="W79" s="186" t="str">
        <f>IFERROR(VLOOKUP(V79,TD!$N$34:$O$46,2,0)," ")</f>
        <v>Sedes mantenidas</v>
      </c>
      <c r="X79" s="187" t="str">
        <f>CONCATENATE(V79,"_",W79)</f>
        <v>016_Sedes mantenidas</v>
      </c>
      <c r="Y79" s="187" t="str">
        <f>CONCATENATE(U79," ",X79)</f>
        <v>08-Infraestructura física, mantenimiento y dotación (Sedes construidas, mantenidas reforzadas) 016_Sedes mantenidas</v>
      </c>
      <c r="Z79" s="186" t="str">
        <f>CONCATENATE(P79,Q79,R79,S79,V79)</f>
        <v>O23011745992024020708016</v>
      </c>
      <c r="AA79" s="186" t="str">
        <f>IFERROR(VLOOKUP(Y79,TD!$K$47:$L$65,2,0)," ")</f>
        <v>PM/0131/0108/45990160207</v>
      </c>
      <c r="AB79" s="53" t="s">
        <v>138</v>
      </c>
      <c r="AC79" s="188" t="s">
        <v>204</v>
      </c>
    </row>
    <row r="80" spans="2:29" s="28" customFormat="1" ht="56" x14ac:dyDescent="0.35">
      <c r="B80" s="77">
        <v>20250030</v>
      </c>
      <c r="C80" s="50" t="s">
        <v>208</v>
      </c>
      <c r="D80" s="184" t="s">
        <v>164</v>
      </c>
      <c r="E80" s="51" t="s">
        <v>389</v>
      </c>
      <c r="F80" s="184" t="s">
        <v>460</v>
      </c>
      <c r="G80" s="184" t="s">
        <v>155</v>
      </c>
      <c r="H80" s="93">
        <v>80111600</v>
      </c>
      <c r="I80" s="185">
        <v>2</v>
      </c>
      <c r="J80" s="185">
        <v>11</v>
      </c>
      <c r="K80" s="52">
        <v>0</v>
      </c>
      <c r="L80" s="53">
        <f>71500000-32500000</f>
        <v>39000000</v>
      </c>
      <c r="M80" s="184" t="s">
        <v>464</v>
      </c>
      <c r="N80" s="53" t="s">
        <v>113</v>
      </c>
      <c r="O80" s="51" t="s">
        <v>219</v>
      </c>
      <c r="P80" s="186" t="str">
        <f>IFERROR(VLOOKUP(C80,TD!$B$33:$F$37,2,0)," ")</f>
        <v>O230117</v>
      </c>
      <c r="Q80" s="186" t="str">
        <f>IFERROR(VLOOKUP(C80,TD!$B$33:$F$37,3,0)," ")</f>
        <v>4599</v>
      </c>
      <c r="R80" s="186">
        <f>IFERROR(VLOOKUP(C80,TD!$B$33:$F$37,4,0)," ")</f>
        <v>20240207</v>
      </c>
      <c r="S80" s="51" t="s">
        <v>185</v>
      </c>
      <c r="T80" s="186" t="str">
        <f>IFERROR(VLOOKUP(S80,TD!$J$34:$K$44,2,0)," ")</f>
        <v>Infraestructura física, mantenimiento y dotación (Sedes construidas, mantenidas reforzadas)</v>
      </c>
      <c r="U80" s="187" t="str">
        <f>CONCATENATE(S80,"-",T80)</f>
        <v>08-Infraestructura física, mantenimiento y dotación (Sedes construidas, mantenidas reforzadas)</v>
      </c>
      <c r="V80" s="51" t="s">
        <v>238</v>
      </c>
      <c r="W80" s="186" t="str">
        <f>IFERROR(VLOOKUP(V80,TD!$N$34:$O$46,2,0)," ")</f>
        <v>Sedes mantenidas</v>
      </c>
      <c r="X80" s="187" t="str">
        <f>CONCATENATE(V80,"_",W80)</f>
        <v>016_Sedes mantenidas</v>
      </c>
      <c r="Y80" s="187" t="str">
        <f>CONCATENATE(U80," ",X80)</f>
        <v>08-Infraestructura física, mantenimiento y dotación (Sedes construidas, mantenidas reforzadas) 016_Sedes mantenidas</v>
      </c>
      <c r="Z80" s="186" t="str">
        <f>CONCATENATE(P80,Q80,R80,S80,V80)</f>
        <v>O23011745992024020708016</v>
      </c>
      <c r="AA80" s="186" t="str">
        <f>IFERROR(VLOOKUP(Y80,TD!$K$47:$L$65,2,0)," ")</f>
        <v>PM/0131/0108/45990160207</v>
      </c>
      <c r="AB80" s="53" t="s">
        <v>120</v>
      </c>
      <c r="AC80" s="188" t="s">
        <v>204</v>
      </c>
    </row>
    <row r="81" spans="2:29" s="28" customFormat="1" ht="98" x14ac:dyDescent="0.35">
      <c r="B81" s="77">
        <v>20250031</v>
      </c>
      <c r="C81" s="50" t="s">
        <v>208</v>
      </c>
      <c r="D81" s="184" t="s">
        <v>164</v>
      </c>
      <c r="E81" s="51" t="s">
        <v>389</v>
      </c>
      <c r="F81" s="184" t="s">
        <v>461</v>
      </c>
      <c r="G81" s="184" t="s">
        <v>155</v>
      </c>
      <c r="H81" s="93">
        <v>80111600</v>
      </c>
      <c r="I81" s="185">
        <v>2</v>
      </c>
      <c r="J81" s="185">
        <v>11</v>
      </c>
      <c r="K81" s="52">
        <v>0</v>
      </c>
      <c r="L81" s="53">
        <f>60500000-8250000-23750000</f>
        <v>28500000</v>
      </c>
      <c r="M81" s="184" t="s">
        <v>464</v>
      </c>
      <c r="N81" s="53" t="s">
        <v>113</v>
      </c>
      <c r="O81" s="51" t="s">
        <v>219</v>
      </c>
      <c r="P81" s="186" t="str">
        <f>IFERROR(VLOOKUP(C81,TD!$B$33:$F$37,2,0)," ")</f>
        <v>O230117</v>
      </c>
      <c r="Q81" s="186" t="str">
        <f>IFERROR(VLOOKUP(C81,TD!$B$33:$F$37,3,0)," ")</f>
        <v>4599</v>
      </c>
      <c r="R81" s="186">
        <f>IFERROR(VLOOKUP(C81,TD!$B$33:$F$37,4,0)," ")</f>
        <v>20240207</v>
      </c>
      <c r="S81" s="51" t="s">
        <v>185</v>
      </c>
      <c r="T81" s="186" t="str">
        <f>IFERROR(VLOOKUP(S81,TD!$J$34:$K$44,2,0)," ")</f>
        <v>Infraestructura física, mantenimiento y dotación (Sedes construidas, mantenidas reforzadas)</v>
      </c>
      <c r="U81" s="187" t="str">
        <f>CONCATENATE(S81,"-",T81)</f>
        <v>08-Infraestructura física, mantenimiento y dotación (Sedes construidas, mantenidas reforzadas)</v>
      </c>
      <c r="V81" s="51" t="s">
        <v>238</v>
      </c>
      <c r="W81" s="186" t="str">
        <f>IFERROR(VLOOKUP(V81,TD!$N$34:$O$46,2,0)," ")</f>
        <v>Sedes mantenidas</v>
      </c>
      <c r="X81" s="187" t="str">
        <f>CONCATENATE(V81,"_",W81)</f>
        <v>016_Sedes mantenidas</v>
      </c>
      <c r="Y81" s="187" t="str">
        <f>CONCATENATE(U81," ",X81)</f>
        <v>08-Infraestructura física, mantenimiento y dotación (Sedes construidas, mantenidas reforzadas) 016_Sedes mantenidas</v>
      </c>
      <c r="Z81" s="186" t="str">
        <f>CONCATENATE(P81,Q81,R81,S81,V81)</f>
        <v>O23011745992024020708016</v>
      </c>
      <c r="AA81" s="186" t="str">
        <f>IFERROR(VLOOKUP(Y81,TD!$K$47:$L$65,2,0)," ")</f>
        <v>PM/0131/0108/45990160207</v>
      </c>
      <c r="AB81" s="53" t="s">
        <v>138</v>
      </c>
      <c r="AC81" s="188" t="s">
        <v>204</v>
      </c>
    </row>
    <row r="82" spans="2:29" s="28" customFormat="1" ht="56" x14ac:dyDescent="0.35">
      <c r="B82" s="77">
        <v>20250032</v>
      </c>
      <c r="C82" s="50" t="s">
        <v>208</v>
      </c>
      <c r="D82" s="184" t="s">
        <v>164</v>
      </c>
      <c r="E82" s="51" t="s">
        <v>389</v>
      </c>
      <c r="F82" s="184" t="s">
        <v>461</v>
      </c>
      <c r="G82" s="184" t="s">
        <v>155</v>
      </c>
      <c r="H82" s="93">
        <v>80111600</v>
      </c>
      <c r="I82" s="185">
        <v>2</v>
      </c>
      <c r="J82" s="185">
        <v>11</v>
      </c>
      <c r="K82" s="52">
        <v>0</v>
      </c>
      <c r="L82" s="53">
        <f>60500000-8250000-33250000</f>
        <v>19000000</v>
      </c>
      <c r="M82" s="184" t="s">
        <v>464</v>
      </c>
      <c r="N82" s="53" t="s">
        <v>113</v>
      </c>
      <c r="O82" s="51" t="s">
        <v>219</v>
      </c>
      <c r="P82" s="186" t="str">
        <f>IFERROR(VLOOKUP(C82,TD!$B$33:$F$37,2,0)," ")</f>
        <v>O230117</v>
      </c>
      <c r="Q82" s="186" t="str">
        <f>IFERROR(VLOOKUP(C82,TD!$B$33:$F$37,3,0)," ")</f>
        <v>4599</v>
      </c>
      <c r="R82" s="186">
        <f>IFERROR(VLOOKUP(C82,TD!$B$33:$F$37,4,0)," ")</f>
        <v>20240207</v>
      </c>
      <c r="S82" s="51" t="s">
        <v>185</v>
      </c>
      <c r="T82" s="186" t="str">
        <f>IFERROR(VLOOKUP(S82,TD!$J$34:$K$44,2,0)," ")</f>
        <v>Infraestructura física, mantenimiento y dotación (Sedes construidas, mantenidas reforzadas)</v>
      </c>
      <c r="U82" s="187" t="str">
        <f>CONCATENATE(S82,"-",T82)</f>
        <v>08-Infraestructura física, mantenimiento y dotación (Sedes construidas, mantenidas reforzadas)</v>
      </c>
      <c r="V82" s="51" t="s">
        <v>238</v>
      </c>
      <c r="W82" s="186" t="str">
        <f>IFERROR(VLOOKUP(V82,TD!$N$34:$O$46,2,0)," ")</f>
        <v>Sedes mantenidas</v>
      </c>
      <c r="X82" s="187" t="str">
        <f>CONCATENATE(V82,"_",W82)</f>
        <v>016_Sedes mantenidas</v>
      </c>
      <c r="Y82" s="187" t="str">
        <f>CONCATENATE(U82," ",X82)</f>
        <v>08-Infraestructura física, mantenimiento y dotación (Sedes construidas, mantenidas reforzadas) 016_Sedes mantenidas</v>
      </c>
      <c r="Z82" s="186" t="str">
        <f>CONCATENATE(P82,Q82,R82,S82,V82)</f>
        <v>O23011745992024020708016</v>
      </c>
      <c r="AA82" s="186" t="str">
        <f>IFERROR(VLOOKUP(Y82,TD!$K$47:$L$65,2,0)," ")</f>
        <v>PM/0131/0108/45990160207</v>
      </c>
      <c r="AB82" s="53" t="s">
        <v>138</v>
      </c>
      <c r="AC82" s="188" t="s">
        <v>204</v>
      </c>
    </row>
    <row r="83" spans="2:29" s="28" customFormat="1" ht="70" x14ac:dyDescent="0.35">
      <c r="B83" s="77">
        <v>20250033</v>
      </c>
      <c r="C83" s="50" t="s">
        <v>208</v>
      </c>
      <c r="D83" s="184" t="s">
        <v>164</v>
      </c>
      <c r="E83" s="51" t="s">
        <v>389</v>
      </c>
      <c r="F83" s="184" t="s">
        <v>462</v>
      </c>
      <c r="G83" s="184" t="s">
        <v>155</v>
      </c>
      <c r="H83" s="93">
        <v>80111600</v>
      </c>
      <c r="I83" s="185">
        <v>2</v>
      </c>
      <c r="J83" s="185">
        <v>11</v>
      </c>
      <c r="K83" s="52">
        <v>0</v>
      </c>
      <c r="L83" s="53">
        <f>71500000-32500000</f>
        <v>39000000</v>
      </c>
      <c r="M83" s="184" t="s">
        <v>464</v>
      </c>
      <c r="N83" s="53" t="s">
        <v>113</v>
      </c>
      <c r="O83" s="51" t="s">
        <v>219</v>
      </c>
      <c r="P83" s="186" t="str">
        <f>IFERROR(VLOOKUP(C83,TD!$B$33:$F$37,2,0)," ")</f>
        <v>O230117</v>
      </c>
      <c r="Q83" s="186" t="str">
        <f>IFERROR(VLOOKUP(C83,TD!$B$33:$F$37,3,0)," ")</f>
        <v>4599</v>
      </c>
      <c r="R83" s="186">
        <f>IFERROR(VLOOKUP(C83,TD!$B$33:$F$37,4,0)," ")</f>
        <v>20240207</v>
      </c>
      <c r="S83" s="51" t="s">
        <v>185</v>
      </c>
      <c r="T83" s="186" t="str">
        <f>IFERROR(VLOOKUP(S83,TD!$J$34:$K$44,2,0)," ")</f>
        <v>Infraestructura física, mantenimiento y dotación (Sedes construidas, mantenidas reforzadas)</v>
      </c>
      <c r="U83" s="187" t="str">
        <f>CONCATENATE(S83,"-",T83)</f>
        <v>08-Infraestructura física, mantenimiento y dotación (Sedes construidas, mantenidas reforzadas)</v>
      </c>
      <c r="V83" s="51" t="s">
        <v>238</v>
      </c>
      <c r="W83" s="186" t="str">
        <f>IFERROR(VLOOKUP(V83,TD!$N$34:$O$46,2,0)," ")</f>
        <v>Sedes mantenidas</v>
      </c>
      <c r="X83" s="187" t="str">
        <f>CONCATENATE(V83,"_",W83)</f>
        <v>016_Sedes mantenidas</v>
      </c>
      <c r="Y83" s="187" t="str">
        <f>CONCATENATE(U83," ",X83)</f>
        <v>08-Infraestructura física, mantenimiento y dotación (Sedes construidas, mantenidas reforzadas) 016_Sedes mantenidas</v>
      </c>
      <c r="Z83" s="186" t="str">
        <f>CONCATENATE(P83,Q83,R83,S83,V83)</f>
        <v>O23011745992024020708016</v>
      </c>
      <c r="AA83" s="186" t="str">
        <f>IFERROR(VLOOKUP(Y83,TD!$K$47:$L$65,2,0)," ")</f>
        <v>PM/0131/0108/45990160207</v>
      </c>
      <c r="AB83" s="53" t="s">
        <v>120</v>
      </c>
      <c r="AC83" s="188" t="s">
        <v>204</v>
      </c>
    </row>
    <row r="84" spans="2:29" s="28" customFormat="1" ht="98" x14ac:dyDescent="0.35">
      <c r="B84" s="77">
        <v>20250034</v>
      </c>
      <c r="C84" s="50" t="s">
        <v>208</v>
      </c>
      <c r="D84" s="184" t="s">
        <v>164</v>
      </c>
      <c r="E84" s="51" t="s">
        <v>389</v>
      </c>
      <c r="F84" s="184" t="s">
        <v>463</v>
      </c>
      <c r="G84" s="184" t="s">
        <v>155</v>
      </c>
      <c r="H84" s="93">
        <v>80111600</v>
      </c>
      <c r="I84" s="185">
        <v>2</v>
      </c>
      <c r="J84" s="185">
        <v>11</v>
      </c>
      <c r="K84" s="52">
        <v>0</v>
      </c>
      <c r="L84" s="53">
        <f>82500000-37500000</f>
        <v>45000000</v>
      </c>
      <c r="M84" s="184" t="s">
        <v>464</v>
      </c>
      <c r="N84" s="53" t="s">
        <v>113</v>
      </c>
      <c r="O84" s="51" t="s">
        <v>219</v>
      </c>
      <c r="P84" s="186" t="str">
        <f>IFERROR(VLOOKUP(C84,TD!$B$33:$F$37,2,0)," ")</f>
        <v>O230117</v>
      </c>
      <c r="Q84" s="186" t="str">
        <f>IFERROR(VLOOKUP(C84,TD!$B$33:$F$37,3,0)," ")</f>
        <v>4599</v>
      </c>
      <c r="R84" s="186">
        <f>IFERROR(VLOOKUP(C84,TD!$B$33:$F$37,4,0)," ")</f>
        <v>20240207</v>
      </c>
      <c r="S84" s="51" t="s">
        <v>185</v>
      </c>
      <c r="T84" s="186" t="str">
        <f>IFERROR(VLOOKUP(S84,TD!$J$34:$K$44,2,0)," ")</f>
        <v>Infraestructura física, mantenimiento y dotación (Sedes construidas, mantenidas reforzadas)</v>
      </c>
      <c r="U84" s="187" t="str">
        <f>CONCATENATE(S84,"-",T84)</f>
        <v>08-Infraestructura física, mantenimiento y dotación (Sedes construidas, mantenidas reforzadas)</v>
      </c>
      <c r="V84" s="51" t="s">
        <v>238</v>
      </c>
      <c r="W84" s="186" t="str">
        <f>IFERROR(VLOOKUP(V84,TD!$N$34:$O$46,2,0)," ")</f>
        <v>Sedes mantenidas</v>
      </c>
      <c r="X84" s="187" t="str">
        <f>CONCATENATE(V84,"_",W84)</f>
        <v>016_Sedes mantenidas</v>
      </c>
      <c r="Y84" s="187" t="str">
        <f>CONCATENATE(U84," ",X84)</f>
        <v>08-Infraestructura física, mantenimiento y dotación (Sedes construidas, mantenidas reforzadas) 016_Sedes mantenidas</v>
      </c>
      <c r="Z84" s="186" t="str">
        <f>CONCATENATE(P84,Q84,R84,S84,V84)</f>
        <v>O23011745992024020708016</v>
      </c>
      <c r="AA84" s="186" t="str">
        <f>IFERROR(VLOOKUP(Y84,TD!$K$47:$L$65,2,0)," ")</f>
        <v>PM/0131/0108/45990160207</v>
      </c>
      <c r="AB84" s="53" t="s">
        <v>120</v>
      </c>
      <c r="AC84" s="188" t="s">
        <v>204</v>
      </c>
    </row>
    <row r="85" spans="2:29" s="28" customFormat="1" ht="70" x14ac:dyDescent="0.35">
      <c r="B85" s="77">
        <v>20250035</v>
      </c>
      <c r="C85" s="50" t="s">
        <v>208</v>
      </c>
      <c r="D85" s="184" t="s">
        <v>46</v>
      </c>
      <c r="E85" s="51" t="s">
        <v>465</v>
      </c>
      <c r="F85" s="184" t="s">
        <v>466</v>
      </c>
      <c r="G85" s="184" t="s">
        <v>155</v>
      </c>
      <c r="H85" s="152">
        <v>80111600</v>
      </c>
      <c r="I85" s="94">
        <v>1</v>
      </c>
      <c r="J85" s="185">
        <v>7</v>
      </c>
      <c r="K85" s="52">
        <v>0</v>
      </c>
      <c r="L85" s="53">
        <f>78000000-23400000</f>
        <v>54600000</v>
      </c>
      <c r="M85" s="184" t="s">
        <v>464</v>
      </c>
      <c r="N85" s="53" t="s">
        <v>113</v>
      </c>
      <c r="O85" s="51" t="s">
        <v>219</v>
      </c>
      <c r="P85" s="186" t="str">
        <f>IFERROR(VLOOKUP(C85,TD!$B$33:$F$37,2,0)," ")</f>
        <v>O230117</v>
      </c>
      <c r="Q85" s="186" t="str">
        <f>IFERROR(VLOOKUP(C85,TD!$B$33:$F$37,3,0)," ")</f>
        <v>4599</v>
      </c>
      <c r="R85" s="186">
        <f>IFERROR(VLOOKUP(C85,TD!$B$33:$F$37,4,0)," ")</f>
        <v>20240207</v>
      </c>
      <c r="S85" s="51" t="s">
        <v>185</v>
      </c>
      <c r="T85" s="186" t="str">
        <f>IFERROR(VLOOKUP(S85,TD!$J$34:$K$44,2,0)," ")</f>
        <v>Infraestructura física, mantenimiento y dotación (Sedes construidas, mantenidas reforzadas)</v>
      </c>
      <c r="U85" s="187" t="str">
        <f>CONCATENATE(S85,"-",T85)</f>
        <v>08-Infraestructura física, mantenimiento y dotación (Sedes construidas, mantenidas reforzadas)</v>
      </c>
      <c r="V85" s="51" t="s">
        <v>238</v>
      </c>
      <c r="W85" s="186" t="str">
        <f>IFERROR(VLOOKUP(V85,TD!$N$34:$O$46,2,0)," ")</f>
        <v>Sedes mantenidas</v>
      </c>
      <c r="X85" s="187" t="str">
        <f>CONCATENATE(V85,"_",W85)</f>
        <v>016_Sedes mantenidas</v>
      </c>
      <c r="Y85" s="187" t="str">
        <f>CONCATENATE(U85," ",X85)</f>
        <v>08-Infraestructura física, mantenimiento y dotación (Sedes construidas, mantenidas reforzadas) 016_Sedes mantenidas</v>
      </c>
      <c r="Z85" s="186" t="str">
        <f>CONCATENATE(P85,Q85,R85,S85,V85)</f>
        <v>O23011745992024020708016</v>
      </c>
      <c r="AA85" s="186" t="str">
        <f>IFERROR(VLOOKUP(Y85,TD!$K$47:$L$65,2,0)," ")</f>
        <v>PM/0131/0108/45990160207</v>
      </c>
      <c r="AB85" s="53" t="s">
        <v>120</v>
      </c>
      <c r="AC85" s="188" t="s">
        <v>204</v>
      </c>
    </row>
    <row r="86" spans="2:29" s="28" customFormat="1" ht="56" x14ac:dyDescent="0.35">
      <c r="B86" s="77">
        <v>20250036</v>
      </c>
      <c r="C86" s="50" t="s">
        <v>208</v>
      </c>
      <c r="D86" s="184" t="s">
        <v>46</v>
      </c>
      <c r="E86" s="51" t="s">
        <v>465</v>
      </c>
      <c r="F86" s="184" t="s">
        <v>467</v>
      </c>
      <c r="G86" s="184" t="s">
        <v>155</v>
      </c>
      <c r="H86" s="152">
        <v>80111600</v>
      </c>
      <c r="I86" s="94">
        <v>1</v>
      </c>
      <c r="J86" s="185">
        <v>10</v>
      </c>
      <c r="K86" s="52">
        <v>0</v>
      </c>
      <c r="L86" s="53">
        <f>93500000-8500000</f>
        <v>85000000</v>
      </c>
      <c r="M86" s="184" t="s">
        <v>464</v>
      </c>
      <c r="N86" s="53" t="s">
        <v>113</v>
      </c>
      <c r="O86" s="51" t="s">
        <v>219</v>
      </c>
      <c r="P86" s="186" t="str">
        <f>IFERROR(VLOOKUP(C86,TD!$B$33:$F$37,2,0)," ")</f>
        <v>O230117</v>
      </c>
      <c r="Q86" s="186" t="str">
        <f>IFERROR(VLOOKUP(C86,TD!$B$33:$F$37,3,0)," ")</f>
        <v>4599</v>
      </c>
      <c r="R86" s="186">
        <f>IFERROR(VLOOKUP(C86,TD!$B$33:$F$37,4,0)," ")</f>
        <v>20240207</v>
      </c>
      <c r="S86" s="51" t="s">
        <v>185</v>
      </c>
      <c r="T86" s="186" t="str">
        <f>IFERROR(VLOOKUP(S86,TD!$J$34:$K$44,2,0)," ")</f>
        <v>Infraestructura física, mantenimiento y dotación (Sedes construidas, mantenidas reforzadas)</v>
      </c>
      <c r="U86" s="187" t="str">
        <f>CONCATENATE(S86,"-",T86)</f>
        <v>08-Infraestructura física, mantenimiento y dotación (Sedes construidas, mantenidas reforzadas)</v>
      </c>
      <c r="V86" s="51" t="s">
        <v>238</v>
      </c>
      <c r="W86" s="186" t="str">
        <f>IFERROR(VLOOKUP(V86,TD!$N$34:$O$46,2,0)," ")</f>
        <v>Sedes mantenidas</v>
      </c>
      <c r="X86" s="187" t="str">
        <f>CONCATENATE(V86,"_",W86)</f>
        <v>016_Sedes mantenidas</v>
      </c>
      <c r="Y86" s="187" t="str">
        <f>CONCATENATE(U86," ",X86)</f>
        <v>08-Infraestructura física, mantenimiento y dotación (Sedes construidas, mantenidas reforzadas) 016_Sedes mantenidas</v>
      </c>
      <c r="Z86" s="186" t="str">
        <f>CONCATENATE(P86,Q86,R86,S86,V86)</f>
        <v>O23011745992024020708016</v>
      </c>
      <c r="AA86" s="186" t="str">
        <f>IFERROR(VLOOKUP(Y86,TD!$K$47:$L$65,2,0)," ")</f>
        <v>PM/0131/0108/45990160207</v>
      </c>
      <c r="AB86" s="53" t="s">
        <v>120</v>
      </c>
      <c r="AC86" s="188" t="s">
        <v>204</v>
      </c>
    </row>
    <row r="87" spans="2:29" s="28" customFormat="1" ht="56" x14ac:dyDescent="0.35">
      <c r="B87" s="77">
        <v>20250037</v>
      </c>
      <c r="C87" s="50" t="s">
        <v>208</v>
      </c>
      <c r="D87" s="184" t="s">
        <v>46</v>
      </c>
      <c r="E87" s="51" t="s">
        <v>465</v>
      </c>
      <c r="F87" s="184" t="s">
        <v>468</v>
      </c>
      <c r="G87" s="184" t="s">
        <v>155</v>
      </c>
      <c r="H87" s="152">
        <v>80111600</v>
      </c>
      <c r="I87" s="94">
        <v>1</v>
      </c>
      <c r="J87" s="185">
        <v>10</v>
      </c>
      <c r="K87" s="52">
        <v>0</v>
      </c>
      <c r="L87" s="53">
        <f>82500000-7500000</f>
        <v>75000000</v>
      </c>
      <c r="M87" s="184" t="s">
        <v>464</v>
      </c>
      <c r="N87" s="53" t="s">
        <v>113</v>
      </c>
      <c r="O87" s="51" t="s">
        <v>219</v>
      </c>
      <c r="P87" s="186" t="str">
        <f>IFERROR(VLOOKUP(C87,TD!$B$33:$F$37,2,0)," ")</f>
        <v>O230117</v>
      </c>
      <c r="Q87" s="186" t="str">
        <f>IFERROR(VLOOKUP(C87,TD!$B$33:$F$37,3,0)," ")</f>
        <v>4599</v>
      </c>
      <c r="R87" s="186">
        <f>IFERROR(VLOOKUP(C87,TD!$B$33:$F$37,4,0)," ")</f>
        <v>20240207</v>
      </c>
      <c r="S87" s="51" t="s">
        <v>185</v>
      </c>
      <c r="T87" s="186" t="str">
        <f>IFERROR(VLOOKUP(S87,TD!$J$34:$K$44,2,0)," ")</f>
        <v>Infraestructura física, mantenimiento y dotación (Sedes construidas, mantenidas reforzadas)</v>
      </c>
      <c r="U87" s="187" t="str">
        <f>CONCATENATE(S87,"-",T87)</f>
        <v>08-Infraestructura física, mantenimiento y dotación (Sedes construidas, mantenidas reforzadas)</v>
      </c>
      <c r="V87" s="51" t="s">
        <v>238</v>
      </c>
      <c r="W87" s="186" t="str">
        <f>IFERROR(VLOOKUP(V87,TD!$N$34:$O$46,2,0)," ")</f>
        <v>Sedes mantenidas</v>
      </c>
      <c r="X87" s="187" t="str">
        <f>CONCATENATE(V87,"_",W87)</f>
        <v>016_Sedes mantenidas</v>
      </c>
      <c r="Y87" s="187" t="str">
        <f>CONCATENATE(U87," ",X87)</f>
        <v>08-Infraestructura física, mantenimiento y dotación (Sedes construidas, mantenidas reforzadas) 016_Sedes mantenidas</v>
      </c>
      <c r="Z87" s="186" t="str">
        <f>CONCATENATE(P87,Q87,R87,S87,V87)</f>
        <v>O23011745992024020708016</v>
      </c>
      <c r="AA87" s="186" t="str">
        <f>IFERROR(VLOOKUP(Y87,TD!$K$47:$L$65,2,0)," ")</f>
        <v>PM/0131/0108/45990160207</v>
      </c>
      <c r="AB87" s="53" t="s">
        <v>120</v>
      </c>
      <c r="AC87" s="188" t="s">
        <v>204</v>
      </c>
    </row>
    <row r="88" spans="2:29" s="28" customFormat="1" ht="56" x14ac:dyDescent="0.35">
      <c r="B88" s="77">
        <v>20250038</v>
      </c>
      <c r="C88" s="50" t="s">
        <v>208</v>
      </c>
      <c r="D88" s="184" t="s">
        <v>46</v>
      </c>
      <c r="E88" s="51" t="s">
        <v>465</v>
      </c>
      <c r="F88" s="184" t="s">
        <v>469</v>
      </c>
      <c r="G88" s="184" t="s">
        <v>155</v>
      </c>
      <c r="H88" s="93">
        <v>80111600</v>
      </c>
      <c r="I88" s="185">
        <v>2</v>
      </c>
      <c r="J88" s="185">
        <v>6</v>
      </c>
      <c r="K88" s="52">
        <v>0</v>
      </c>
      <c r="L88" s="53">
        <f>58500000-19500000</f>
        <v>39000000</v>
      </c>
      <c r="M88" s="184" t="s">
        <v>464</v>
      </c>
      <c r="N88" s="53" t="s">
        <v>113</v>
      </c>
      <c r="O88" s="51" t="s">
        <v>219</v>
      </c>
      <c r="P88" s="186" t="str">
        <f>IFERROR(VLOOKUP(C88,TD!$B$33:$F$37,2,0)," ")</f>
        <v>O230117</v>
      </c>
      <c r="Q88" s="186" t="str">
        <f>IFERROR(VLOOKUP(C88,TD!$B$33:$F$37,3,0)," ")</f>
        <v>4599</v>
      </c>
      <c r="R88" s="186">
        <f>IFERROR(VLOOKUP(C88,TD!$B$33:$F$37,4,0)," ")</f>
        <v>20240207</v>
      </c>
      <c r="S88" s="51" t="s">
        <v>185</v>
      </c>
      <c r="T88" s="186" t="str">
        <f>IFERROR(VLOOKUP(S88,TD!$J$34:$K$44,2,0)," ")</f>
        <v>Infraestructura física, mantenimiento y dotación (Sedes construidas, mantenidas reforzadas)</v>
      </c>
      <c r="U88" s="187" t="str">
        <f>CONCATENATE(S88,"-",T88)</f>
        <v>08-Infraestructura física, mantenimiento y dotación (Sedes construidas, mantenidas reforzadas)</v>
      </c>
      <c r="V88" s="51" t="s">
        <v>238</v>
      </c>
      <c r="W88" s="186" t="str">
        <f>IFERROR(VLOOKUP(V88,TD!$N$34:$O$46,2,0)," ")</f>
        <v>Sedes mantenidas</v>
      </c>
      <c r="X88" s="187" t="str">
        <f>CONCATENATE(V88,"_",W88)</f>
        <v>016_Sedes mantenidas</v>
      </c>
      <c r="Y88" s="187" t="str">
        <f>CONCATENATE(U88," ",X88)</f>
        <v>08-Infraestructura física, mantenimiento y dotación (Sedes construidas, mantenidas reforzadas) 016_Sedes mantenidas</v>
      </c>
      <c r="Z88" s="186" t="str">
        <f>CONCATENATE(P88,Q88,R88,S88,V88)</f>
        <v>O23011745992024020708016</v>
      </c>
      <c r="AA88" s="186" t="str">
        <f>IFERROR(VLOOKUP(Y88,TD!$K$47:$L$65,2,0)," ")</f>
        <v>PM/0131/0108/45990160207</v>
      </c>
      <c r="AB88" s="53" t="s">
        <v>120</v>
      </c>
      <c r="AC88" s="188" t="s">
        <v>204</v>
      </c>
    </row>
    <row r="89" spans="2:29" s="28" customFormat="1" ht="70" x14ac:dyDescent="0.35">
      <c r="B89" s="77">
        <v>20250039</v>
      </c>
      <c r="C89" s="50" t="s">
        <v>208</v>
      </c>
      <c r="D89" s="184" t="s">
        <v>46</v>
      </c>
      <c r="E89" s="51" t="s">
        <v>465</v>
      </c>
      <c r="F89" s="184" t="s">
        <v>469</v>
      </c>
      <c r="G89" s="184" t="s">
        <v>155</v>
      </c>
      <c r="H89" s="93">
        <v>80111600</v>
      </c>
      <c r="I89" s="185">
        <v>2</v>
      </c>
      <c r="J89" s="185">
        <v>6</v>
      </c>
      <c r="K89" s="52">
        <v>0</v>
      </c>
      <c r="L89" s="53">
        <f>58500000-19500000</f>
        <v>39000000</v>
      </c>
      <c r="M89" s="184" t="s">
        <v>464</v>
      </c>
      <c r="N89" s="53" t="s">
        <v>113</v>
      </c>
      <c r="O89" s="51" t="s">
        <v>219</v>
      </c>
      <c r="P89" s="186" t="str">
        <f>IFERROR(VLOOKUP(C89,TD!$B$33:$F$37,2,0)," ")</f>
        <v>O230117</v>
      </c>
      <c r="Q89" s="186" t="str">
        <f>IFERROR(VLOOKUP(C89,TD!$B$33:$F$37,3,0)," ")</f>
        <v>4599</v>
      </c>
      <c r="R89" s="186">
        <f>IFERROR(VLOOKUP(C89,TD!$B$33:$F$37,4,0)," ")</f>
        <v>20240207</v>
      </c>
      <c r="S89" s="51" t="s">
        <v>185</v>
      </c>
      <c r="T89" s="186" t="str">
        <f>IFERROR(VLOOKUP(S89,TD!$J$34:$K$44,2,0)," ")</f>
        <v>Infraestructura física, mantenimiento y dotación (Sedes construidas, mantenidas reforzadas)</v>
      </c>
      <c r="U89" s="187" t="str">
        <f>CONCATENATE(S89,"-",T89)</f>
        <v>08-Infraestructura física, mantenimiento y dotación (Sedes construidas, mantenidas reforzadas)</v>
      </c>
      <c r="V89" s="51" t="s">
        <v>238</v>
      </c>
      <c r="W89" s="186" t="str">
        <f>IFERROR(VLOOKUP(V89,TD!$N$34:$O$46,2,0)," ")</f>
        <v>Sedes mantenidas</v>
      </c>
      <c r="X89" s="187" t="str">
        <f>CONCATENATE(V89,"_",W89)</f>
        <v>016_Sedes mantenidas</v>
      </c>
      <c r="Y89" s="187" t="str">
        <f>CONCATENATE(U89," ",X89)</f>
        <v>08-Infraestructura física, mantenimiento y dotación (Sedes construidas, mantenidas reforzadas) 016_Sedes mantenidas</v>
      </c>
      <c r="Z89" s="186" t="str">
        <f>CONCATENATE(P89,Q89,R89,S89,V89)</f>
        <v>O23011745992024020708016</v>
      </c>
      <c r="AA89" s="186" t="str">
        <f>IFERROR(VLOOKUP(Y89,TD!$K$47:$L$65,2,0)," ")</f>
        <v>PM/0131/0108/45990160207</v>
      </c>
      <c r="AB89" s="53" t="s">
        <v>120</v>
      </c>
      <c r="AC89" s="188" t="s">
        <v>204</v>
      </c>
    </row>
    <row r="90" spans="2:29" s="28" customFormat="1" ht="56" x14ac:dyDescent="0.35">
      <c r="B90" s="77">
        <v>20250040</v>
      </c>
      <c r="C90" s="50" t="s">
        <v>208</v>
      </c>
      <c r="D90" s="184" t="s">
        <v>46</v>
      </c>
      <c r="E90" s="51" t="s">
        <v>465</v>
      </c>
      <c r="F90" s="184" t="s">
        <v>469</v>
      </c>
      <c r="G90" s="184" t="s">
        <v>155</v>
      </c>
      <c r="H90" s="93">
        <v>80111600</v>
      </c>
      <c r="I90" s="185">
        <v>2</v>
      </c>
      <c r="J90" s="185">
        <v>6</v>
      </c>
      <c r="K90" s="52">
        <v>0</v>
      </c>
      <c r="L90" s="53">
        <f>58500000-19500000</f>
        <v>39000000</v>
      </c>
      <c r="M90" s="184" t="s">
        <v>464</v>
      </c>
      <c r="N90" s="53" t="s">
        <v>113</v>
      </c>
      <c r="O90" s="51" t="s">
        <v>219</v>
      </c>
      <c r="P90" s="186" t="str">
        <f>IFERROR(VLOOKUP(C90,TD!$B$33:$F$37,2,0)," ")</f>
        <v>O230117</v>
      </c>
      <c r="Q90" s="186" t="str">
        <f>IFERROR(VLOOKUP(C90,TD!$B$33:$F$37,3,0)," ")</f>
        <v>4599</v>
      </c>
      <c r="R90" s="186">
        <f>IFERROR(VLOOKUP(C90,TD!$B$33:$F$37,4,0)," ")</f>
        <v>20240207</v>
      </c>
      <c r="S90" s="51" t="s">
        <v>185</v>
      </c>
      <c r="T90" s="186" t="str">
        <f>IFERROR(VLOOKUP(S90,TD!$J$34:$K$44,2,0)," ")</f>
        <v>Infraestructura física, mantenimiento y dotación (Sedes construidas, mantenidas reforzadas)</v>
      </c>
      <c r="U90" s="187" t="str">
        <f>CONCATENATE(S90,"-",T90)</f>
        <v>08-Infraestructura física, mantenimiento y dotación (Sedes construidas, mantenidas reforzadas)</v>
      </c>
      <c r="V90" s="51" t="s">
        <v>238</v>
      </c>
      <c r="W90" s="186" t="str">
        <f>IFERROR(VLOOKUP(V90,TD!$N$34:$O$46,2,0)," ")</f>
        <v>Sedes mantenidas</v>
      </c>
      <c r="X90" s="187" t="str">
        <f>CONCATENATE(V90,"_",W90)</f>
        <v>016_Sedes mantenidas</v>
      </c>
      <c r="Y90" s="187" t="str">
        <f>CONCATENATE(U90," ",X90)</f>
        <v>08-Infraestructura física, mantenimiento y dotación (Sedes construidas, mantenidas reforzadas) 016_Sedes mantenidas</v>
      </c>
      <c r="Z90" s="186" t="str">
        <f>CONCATENATE(P90,Q90,R90,S90,V90)</f>
        <v>O23011745992024020708016</v>
      </c>
      <c r="AA90" s="186" t="str">
        <f>IFERROR(VLOOKUP(Y90,TD!$K$47:$L$65,2,0)," ")</f>
        <v>PM/0131/0108/45990160207</v>
      </c>
      <c r="AB90" s="53" t="s">
        <v>120</v>
      </c>
      <c r="AC90" s="188" t="s">
        <v>204</v>
      </c>
    </row>
    <row r="91" spans="2:29" s="28" customFormat="1" ht="70" x14ac:dyDescent="0.35">
      <c r="B91" s="77">
        <v>20250041</v>
      </c>
      <c r="C91" s="50" t="s">
        <v>208</v>
      </c>
      <c r="D91" s="184" t="s">
        <v>46</v>
      </c>
      <c r="E91" s="51" t="s">
        <v>465</v>
      </c>
      <c r="F91" s="184" t="s">
        <v>469</v>
      </c>
      <c r="G91" s="184" t="s">
        <v>155</v>
      </c>
      <c r="H91" s="93">
        <v>80111600</v>
      </c>
      <c r="I91" s="185">
        <v>3</v>
      </c>
      <c r="J91" s="185">
        <v>4</v>
      </c>
      <c r="K91" s="52">
        <v>0</v>
      </c>
      <c r="L91" s="53">
        <f>52000000-13000000-13000000</f>
        <v>26000000</v>
      </c>
      <c r="M91" s="184" t="s">
        <v>464</v>
      </c>
      <c r="N91" s="53" t="s">
        <v>113</v>
      </c>
      <c r="O91" s="51" t="s">
        <v>219</v>
      </c>
      <c r="P91" s="186" t="str">
        <f>IFERROR(VLOOKUP(C91,TD!$B$33:$F$37,2,0)," ")</f>
        <v>O230117</v>
      </c>
      <c r="Q91" s="186" t="str">
        <f>IFERROR(VLOOKUP(C91,TD!$B$33:$F$37,3,0)," ")</f>
        <v>4599</v>
      </c>
      <c r="R91" s="186">
        <f>IFERROR(VLOOKUP(C91,TD!$B$33:$F$37,4,0)," ")</f>
        <v>20240207</v>
      </c>
      <c r="S91" s="51" t="s">
        <v>185</v>
      </c>
      <c r="T91" s="186" t="str">
        <f>IFERROR(VLOOKUP(S91,TD!$J$34:$K$44,2,0)," ")</f>
        <v>Infraestructura física, mantenimiento y dotación (Sedes construidas, mantenidas reforzadas)</v>
      </c>
      <c r="U91" s="187" t="str">
        <f>CONCATENATE(S91,"-",T91)</f>
        <v>08-Infraestructura física, mantenimiento y dotación (Sedes construidas, mantenidas reforzadas)</v>
      </c>
      <c r="V91" s="51" t="s">
        <v>238</v>
      </c>
      <c r="W91" s="186" t="str">
        <f>IFERROR(VLOOKUP(V91,TD!$N$34:$O$46,2,0)," ")</f>
        <v>Sedes mantenidas</v>
      </c>
      <c r="X91" s="187" t="str">
        <f>CONCATENATE(V91,"_",W91)</f>
        <v>016_Sedes mantenidas</v>
      </c>
      <c r="Y91" s="187" t="str">
        <f>CONCATENATE(U91," ",X91)</f>
        <v>08-Infraestructura física, mantenimiento y dotación (Sedes construidas, mantenidas reforzadas) 016_Sedes mantenidas</v>
      </c>
      <c r="Z91" s="186" t="str">
        <f>CONCATENATE(P91,Q91,R91,S91,V91)</f>
        <v>O23011745992024020708016</v>
      </c>
      <c r="AA91" s="186" t="str">
        <f>IFERROR(VLOOKUP(Y91,TD!$K$47:$L$65,2,0)," ")</f>
        <v>PM/0131/0108/45990160207</v>
      </c>
      <c r="AB91" s="53" t="s">
        <v>120</v>
      </c>
      <c r="AC91" s="188" t="s">
        <v>204</v>
      </c>
    </row>
    <row r="92" spans="2:29" s="28" customFormat="1" ht="70" x14ac:dyDescent="0.35">
      <c r="B92" s="77">
        <v>20250042</v>
      </c>
      <c r="C92" s="50" t="s">
        <v>208</v>
      </c>
      <c r="D92" s="184" t="s">
        <v>46</v>
      </c>
      <c r="E92" s="51" t="s">
        <v>465</v>
      </c>
      <c r="F92" s="184" t="s">
        <v>469</v>
      </c>
      <c r="G92" s="184" t="s">
        <v>155</v>
      </c>
      <c r="H92" s="93">
        <v>80111600</v>
      </c>
      <c r="I92" s="185">
        <v>1</v>
      </c>
      <c r="J92" s="185">
        <v>10</v>
      </c>
      <c r="K92" s="52">
        <v>0</v>
      </c>
      <c r="L92" s="53">
        <v>19493333</v>
      </c>
      <c r="M92" s="184" t="s">
        <v>464</v>
      </c>
      <c r="N92" s="53" t="s">
        <v>113</v>
      </c>
      <c r="O92" s="51" t="s">
        <v>219</v>
      </c>
      <c r="P92" s="186" t="str">
        <f>IFERROR(VLOOKUP(C92,TD!$B$33:$F$37,2,0)," ")</f>
        <v>O230117</v>
      </c>
      <c r="Q92" s="186" t="str">
        <f>IFERROR(VLOOKUP(C92,TD!$B$33:$F$37,3,0)," ")</f>
        <v>4599</v>
      </c>
      <c r="R92" s="186">
        <f>IFERROR(VLOOKUP(C92,TD!$B$33:$F$37,4,0)," ")</f>
        <v>20240207</v>
      </c>
      <c r="S92" s="51" t="s">
        <v>185</v>
      </c>
      <c r="T92" s="186" t="str">
        <f>IFERROR(VLOOKUP(S92,TD!$J$34:$K$44,2,0)," ")</f>
        <v>Infraestructura física, mantenimiento y dotación (Sedes construidas, mantenidas reforzadas)</v>
      </c>
      <c r="U92" s="187" t="str">
        <f>CONCATENATE(S92,"-",T92)</f>
        <v>08-Infraestructura física, mantenimiento y dotación (Sedes construidas, mantenidas reforzadas)</v>
      </c>
      <c r="V92" s="51" t="s">
        <v>238</v>
      </c>
      <c r="W92" s="186" t="str">
        <f>IFERROR(VLOOKUP(V92,TD!$N$34:$O$46,2,0)," ")</f>
        <v>Sedes mantenidas</v>
      </c>
      <c r="X92" s="187" t="str">
        <f>CONCATENATE(V92,"_",W92)</f>
        <v>016_Sedes mantenidas</v>
      </c>
      <c r="Y92" s="187" t="str">
        <f>CONCATENATE(U92," ",X92)</f>
        <v>08-Infraestructura física, mantenimiento y dotación (Sedes construidas, mantenidas reforzadas) 016_Sedes mantenidas</v>
      </c>
      <c r="Z92" s="186" t="str">
        <f>CONCATENATE(P92,Q92,R92,S92,V92)</f>
        <v>O23011745992024020708016</v>
      </c>
      <c r="AA92" s="186" t="str">
        <f>IFERROR(VLOOKUP(Y92,TD!$K$47:$L$65,2,0)," ")</f>
        <v>PM/0131/0108/45990160207</v>
      </c>
      <c r="AB92" s="53" t="s">
        <v>120</v>
      </c>
      <c r="AC92" s="188" t="s">
        <v>204</v>
      </c>
    </row>
    <row r="93" spans="2:29" s="28" customFormat="1" ht="56" x14ac:dyDescent="0.35">
      <c r="B93" s="77">
        <v>20250043</v>
      </c>
      <c r="C93" s="50" t="s">
        <v>208</v>
      </c>
      <c r="D93" s="184" t="s">
        <v>46</v>
      </c>
      <c r="E93" s="51" t="s">
        <v>465</v>
      </c>
      <c r="F93" s="184" t="s">
        <v>817</v>
      </c>
      <c r="G93" s="184" t="s">
        <v>155</v>
      </c>
      <c r="H93" s="93">
        <v>80111600</v>
      </c>
      <c r="I93" s="185">
        <v>3</v>
      </c>
      <c r="J93" s="185">
        <v>4</v>
      </c>
      <c r="K93" s="52">
        <v>0</v>
      </c>
      <c r="L93" s="53">
        <f>38500000-10000000-8500000</f>
        <v>20000000</v>
      </c>
      <c r="M93" s="184" t="s">
        <v>464</v>
      </c>
      <c r="N93" s="53" t="s">
        <v>113</v>
      </c>
      <c r="O93" s="51" t="s">
        <v>219</v>
      </c>
      <c r="P93" s="186" t="str">
        <f>IFERROR(VLOOKUP(C93,TD!$B$33:$F$37,2,0)," ")</f>
        <v>O230117</v>
      </c>
      <c r="Q93" s="186" t="str">
        <f>IFERROR(VLOOKUP(C93,TD!$B$33:$F$37,3,0)," ")</f>
        <v>4599</v>
      </c>
      <c r="R93" s="186">
        <f>IFERROR(VLOOKUP(C93,TD!$B$33:$F$37,4,0)," ")</f>
        <v>20240207</v>
      </c>
      <c r="S93" s="51" t="s">
        <v>185</v>
      </c>
      <c r="T93" s="186" t="str">
        <f>IFERROR(VLOOKUP(S93,TD!$J$34:$K$44,2,0)," ")</f>
        <v>Infraestructura física, mantenimiento y dotación (Sedes construidas, mantenidas reforzadas)</v>
      </c>
      <c r="U93" s="187" t="str">
        <f>CONCATENATE(S93,"-",T93)</f>
        <v>08-Infraestructura física, mantenimiento y dotación (Sedes construidas, mantenidas reforzadas)</v>
      </c>
      <c r="V93" s="51" t="s">
        <v>238</v>
      </c>
      <c r="W93" s="186" t="str">
        <f>IFERROR(VLOOKUP(V93,TD!$N$34:$O$46,2,0)," ")</f>
        <v>Sedes mantenidas</v>
      </c>
      <c r="X93" s="187" t="str">
        <f>CONCATENATE(V93,"_",W93)</f>
        <v>016_Sedes mantenidas</v>
      </c>
      <c r="Y93" s="187" t="str">
        <f>CONCATENATE(U93," ",X93)</f>
        <v>08-Infraestructura física, mantenimiento y dotación (Sedes construidas, mantenidas reforzadas) 016_Sedes mantenidas</v>
      </c>
      <c r="Z93" s="186" t="str">
        <f>CONCATENATE(P93,Q93,R93,S93,V93)</f>
        <v>O23011745992024020708016</v>
      </c>
      <c r="AA93" s="186" t="str">
        <f>IFERROR(VLOOKUP(Y93,TD!$K$47:$L$65,2,0)," ")</f>
        <v>PM/0131/0108/45990160207</v>
      </c>
      <c r="AB93" s="53" t="s">
        <v>120</v>
      </c>
      <c r="AC93" s="188" t="s">
        <v>204</v>
      </c>
    </row>
    <row r="94" spans="2:29" s="28" customFormat="1" ht="56" x14ac:dyDescent="0.35">
      <c r="B94" s="77">
        <v>20250044</v>
      </c>
      <c r="C94" s="50" t="s">
        <v>208</v>
      </c>
      <c r="D94" s="184" t="s">
        <v>46</v>
      </c>
      <c r="E94" s="51" t="s">
        <v>465</v>
      </c>
      <c r="F94" s="184" t="s">
        <v>470</v>
      </c>
      <c r="G94" s="184" t="s">
        <v>156</v>
      </c>
      <c r="H94" s="93">
        <v>80111600</v>
      </c>
      <c r="I94" s="185">
        <v>2</v>
      </c>
      <c r="J94" s="185">
        <v>6</v>
      </c>
      <c r="K94" s="52">
        <v>0</v>
      </c>
      <c r="L94" s="53">
        <f>35500000-15700000</f>
        <v>19800000</v>
      </c>
      <c r="M94" s="184" t="s">
        <v>464</v>
      </c>
      <c r="N94" s="53" t="s">
        <v>113</v>
      </c>
      <c r="O94" s="51" t="s">
        <v>219</v>
      </c>
      <c r="P94" s="186" t="str">
        <f>IFERROR(VLOOKUP(C94,TD!$B$33:$F$37,2,0)," ")</f>
        <v>O230117</v>
      </c>
      <c r="Q94" s="186" t="str">
        <f>IFERROR(VLOOKUP(C94,TD!$B$33:$F$37,3,0)," ")</f>
        <v>4599</v>
      </c>
      <c r="R94" s="186">
        <f>IFERROR(VLOOKUP(C94,TD!$B$33:$F$37,4,0)," ")</f>
        <v>20240207</v>
      </c>
      <c r="S94" s="51" t="s">
        <v>185</v>
      </c>
      <c r="T94" s="186" t="str">
        <f>IFERROR(VLOOKUP(S94,TD!$J$34:$K$44,2,0)," ")</f>
        <v>Infraestructura física, mantenimiento y dotación (Sedes construidas, mantenidas reforzadas)</v>
      </c>
      <c r="U94" s="187" t="str">
        <f>CONCATENATE(S94,"-",T94)</f>
        <v>08-Infraestructura física, mantenimiento y dotación (Sedes construidas, mantenidas reforzadas)</v>
      </c>
      <c r="V94" s="51" t="s">
        <v>238</v>
      </c>
      <c r="W94" s="186" t="str">
        <f>IFERROR(VLOOKUP(V94,TD!$N$34:$O$46,2,0)," ")</f>
        <v>Sedes mantenidas</v>
      </c>
      <c r="X94" s="187" t="str">
        <f>CONCATENATE(V94,"_",W94)</f>
        <v>016_Sedes mantenidas</v>
      </c>
      <c r="Y94" s="187" t="str">
        <f>CONCATENATE(U94," ",X94)</f>
        <v>08-Infraestructura física, mantenimiento y dotación (Sedes construidas, mantenidas reforzadas) 016_Sedes mantenidas</v>
      </c>
      <c r="Z94" s="186" t="str">
        <f>CONCATENATE(P94,Q94,R94,S94,V94)</f>
        <v>O23011745992024020708016</v>
      </c>
      <c r="AA94" s="186" t="str">
        <f>IFERROR(VLOOKUP(Y94,TD!$K$47:$L$65,2,0)," ")</f>
        <v>PM/0131/0108/45990160207</v>
      </c>
      <c r="AB94" s="53" t="s">
        <v>138</v>
      </c>
      <c r="AC94" s="188" t="s">
        <v>204</v>
      </c>
    </row>
    <row r="95" spans="2:29" s="28" customFormat="1" ht="70" x14ac:dyDescent="0.35">
      <c r="B95" s="77">
        <v>20250045</v>
      </c>
      <c r="C95" s="50" t="s">
        <v>208</v>
      </c>
      <c r="D95" s="184" t="s">
        <v>46</v>
      </c>
      <c r="E95" s="51" t="s">
        <v>465</v>
      </c>
      <c r="F95" s="184" t="s">
        <v>818</v>
      </c>
      <c r="G95" s="184" t="s">
        <v>155</v>
      </c>
      <c r="H95" s="93">
        <v>80111600</v>
      </c>
      <c r="I95" s="185">
        <v>2</v>
      </c>
      <c r="J95" s="185">
        <v>8</v>
      </c>
      <c r="K95" s="52">
        <v>0</v>
      </c>
      <c r="L95" s="53">
        <v>48000000</v>
      </c>
      <c r="M95" s="184" t="s">
        <v>464</v>
      </c>
      <c r="N95" s="53" t="s">
        <v>113</v>
      </c>
      <c r="O95" s="51" t="s">
        <v>219</v>
      </c>
      <c r="P95" s="186" t="str">
        <f>IFERROR(VLOOKUP(C95,TD!$B$33:$F$37,2,0)," ")</f>
        <v>O230117</v>
      </c>
      <c r="Q95" s="186" t="str">
        <f>IFERROR(VLOOKUP(C95,TD!$B$33:$F$37,3,0)," ")</f>
        <v>4599</v>
      </c>
      <c r="R95" s="186">
        <f>IFERROR(VLOOKUP(C95,TD!$B$33:$F$37,4,0)," ")</f>
        <v>20240207</v>
      </c>
      <c r="S95" s="51" t="s">
        <v>185</v>
      </c>
      <c r="T95" s="186" t="str">
        <f>IFERROR(VLOOKUP(S95,TD!$J$34:$K$44,2,0)," ")</f>
        <v>Infraestructura física, mantenimiento y dotación (Sedes construidas, mantenidas reforzadas)</v>
      </c>
      <c r="U95" s="187" t="str">
        <f>CONCATENATE(S95,"-",T95)</f>
        <v>08-Infraestructura física, mantenimiento y dotación (Sedes construidas, mantenidas reforzadas)</v>
      </c>
      <c r="V95" s="51" t="s">
        <v>238</v>
      </c>
      <c r="W95" s="186" t="str">
        <f>IFERROR(VLOOKUP(V95,TD!$N$34:$O$46,2,0)," ")</f>
        <v>Sedes mantenidas</v>
      </c>
      <c r="X95" s="187" t="str">
        <f>CONCATENATE(V95,"_",W95)</f>
        <v>016_Sedes mantenidas</v>
      </c>
      <c r="Y95" s="187" t="str">
        <f>CONCATENATE(U95," ",X95)</f>
        <v>08-Infraestructura física, mantenimiento y dotación (Sedes construidas, mantenidas reforzadas) 016_Sedes mantenidas</v>
      </c>
      <c r="Z95" s="186" t="str">
        <f>CONCATENATE(P95,Q95,R95,S95,V95)</f>
        <v>O23011745992024020708016</v>
      </c>
      <c r="AA95" s="186" t="str">
        <f>IFERROR(VLOOKUP(Y95,TD!$K$47:$L$65,2,0)," ")</f>
        <v>PM/0131/0108/45990160207</v>
      </c>
      <c r="AB95" s="53" t="s">
        <v>120</v>
      </c>
      <c r="AC95" s="188" t="s">
        <v>204</v>
      </c>
    </row>
    <row r="96" spans="2:29" s="28" customFormat="1" ht="56" x14ac:dyDescent="0.35">
      <c r="B96" s="77">
        <v>20250046</v>
      </c>
      <c r="C96" s="50" t="s">
        <v>208</v>
      </c>
      <c r="D96" s="184" t="s">
        <v>36</v>
      </c>
      <c r="E96" s="51" t="s">
        <v>378</v>
      </c>
      <c r="F96" s="184" t="s">
        <v>471</v>
      </c>
      <c r="G96" s="184" t="s">
        <v>155</v>
      </c>
      <c r="H96" s="93">
        <v>80111600</v>
      </c>
      <c r="I96" s="185">
        <v>2</v>
      </c>
      <c r="J96" s="185">
        <v>9</v>
      </c>
      <c r="K96" s="52">
        <v>0</v>
      </c>
      <c r="L96" s="53">
        <v>33781662</v>
      </c>
      <c r="M96" s="184" t="s">
        <v>464</v>
      </c>
      <c r="N96" s="53" t="s">
        <v>113</v>
      </c>
      <c r="O96" s="51" t="s">
        <v>211</v>
      </c>
      <c r="P96" s="186" t="str">
        <f>IFERROR(VLOOKUP(C96,TD!$B$33:$F$37,2,0)," ")</f>
        <v>O230117</v>
      </c>
      <c r="Q96" s="186" t="str">
        <f>IFERROR(VLOOKUP(C96,TD!$B$33:$F$37,3,0)," ")</f>
        <v>4599</v>
      </c>
      <c r="R96" s="186">
        <f>IFERROR(VLOOKUP(C96,TD!$B$33:$F$37,4,0)," ")</f>
        <v>20240207</v>
      </c>
      <c r="S96" s="51" t="s">
        <v>193</v>
      </c>
      <c r="T96" s="186" t="str">
        <f>IFERROR(VLOOKUP(S96,TD!$J$34:$K$44,2,0)," ")</f>
        <v>Servicios para la planeación y sistemas de gestión y comunicación estratégica</v>
      </c>
      <c r="U96" s="187" t="str">
        <f>CONCATENATE(S96,"-",T96)</f>
        <v>13-Servicios para la planeación y sistemas de gestión y comunicación estratégica</v>
      </c>
      <c r="V96" s="51" t="s">
        <v>240</v>
      </c>
      <c r="W96" s="186" t="str">
        <f>IFERROR(VLOOKUP(V96,TD!$N$34:$O$46,2,0)," ")</f>
        <v>Servicio de asistencia técnica</v>
      </c>
      <c r="X96" s="187" t="str">
        <f>CONCATENATE(V96,"_",W96)</f>
        <v>031_Servicio de asistencia técnica</v>
      </c>
      <c r="Y96" s="187" t="str">
        <f>CONCATENATE(U96," ",X96)</f>
        <v>13-Servicios para la planeación y sistemas de gestión y comunicación estratégica 031_Servicio de asistencia técnica</v>
      </c>
      <c r="Z96" s="186" t="str">
        <f>CONCATENATE(P96,Q96,R96,S96,V96)</f>
        <v>O23011745992024020713031</v>
      </c>
      <c r="AA96" s="186" t="str">
        <f>IFERROR(VLOOKUP(Y96,TD!$K$47:$L$65,2,0)," ")</f>
        <v>PM/0131/0113/45990310207</v>
      </c>
      <c r="AB96" s="53" t="s">
        <v>138</v>
      </c>
      <c r="AC96" s="188" t="s">
        <v>204</v>
      </c>
    </row>
    <row r="97" spans="2:29" s="28" customFormat="1" ht="56" x14ac:dyDescent="0.35">
      <c r="B97" s="77">
        <v>20250047</v>
      </c>
      <c r="C97" s="50" t="s">
        <v>208</v>
      </c>
      <c r="D97" s="184" t="s">
        <v>36</v>
      </c>
      <c r="E97" s="51" t="s">
        <v>378</v>
      </c>
      <c r="F97" s="184" t="s">
        <v>804</v>
      </c>
      <c r="G97" s="184" t="s">
        <v>155</v>
      </c>
      <c r="H97" s="93">
        <v>80111600</v>
      </c>
      <c r="I97" s="185">
        <v>3</v>
      </c>
      <c r="J97" s="185">
        <v>10</v>
      </c>
      <c r="K97" s="52">
        <v>0</v>
      </c>
      <c r="L97" s="53">
        <v>65000000</v>
      </c>
      <c r="M97" s="184" t="s">
        <v>464</v>
      </c>
      <c r="N97" s="53" t="s">
        <v>113</v>
      </c>
      <c r="O97" s="51" t="s">
        <v>211</v>
      </c>
      <c r="P97" s="186" t="str">
        <f>IFERROR(VLOOKUP(C97,TD!$B$33:$F$37,2,0)," ")</f>
        <v>O230117</v>
      </c>
      <c r="Q97" s="186" t="str">
        <f>IFERROR(VLOOKUP(C97,TD!$B$33:$F$37,3,0)," ")</f>
        <v>4599</v>
      </c>
      <c r="R97" s="186">
        <f>IFERROR(VLOOKUP(C97,TD!$B$33:$F$37,4,0)," ")</f>
        <v>20240207</v>
      </c>
      <c r="S97" s="51" t="s">
        <v>193</v>
      </c>
      <c r="T97" s="186" t="str">
        <f>IFERROR(VLOOKUP(S97,TD!$J$34:$K$44,2,0)," ")</f>
        <v>Servicios para la planeación y sistemas de gestión y comunicación estratégica</v>
      </c>
      <c r="U97" s="187" t="str">
        <f>CONCATENATE(S97,"-",T97)</f>
        <v>13-Servicios para la planeación y sistemas de gestión y comunicación estratégica</v>
      </c>
      <c r="V97" s="51" t="s">
        <v>240</v>
      </c>
      <c r="W97" s="186" t="str">
        <f>IFERROR(VLOOKUP(V97,TD!$N$34:$O$46,2,0)," ")</f>
        <v>Servicio de asistencia técnica</v>
      </c>
      <c r="X97" s="187" t="str">
        <f>CONCATENATE(V97,"_",W97)</f>
        <v>031_Servicio de asistencia técnica</v>
      </c>
      <c r="Y97" s="187" t="str">
        <f>CONCATENATE(U97," ",X97)</f>
        <v>13-Servicios para la planeación y sistemas de gestión y comunicación estratégica 031_Servicio de asistencia técnica</v>
      </c>
      <c r="Z97" s="186" t="str">
        <f>CONCATENATE(P97,Q97,R97,S97,V97)</f>
        <v>O23011745992024020713031</v>
      </c>
      <c r="AA97" s="186" t="str">
        <f>IFERROR(VLOOKUP(Y97,TD!$K$47:$L$65,2,0)," ")</f>
        <v>PM/0131/0113/45990310207</v>
      </c>
      <c r="AB97" s="53" t="s">
        <v>138</v>
      </c>
      <c r="AC97" s="188" t="s">
        <v>204</v>
      </c>
    </row>
    <row r="98" spans="2:29" s="28" customFormat="1" ht="56" x14ac:dyDescent="0.35">
      <c r="B98" s="77">
        <v>20250048</v>
      </c>
      <c r="C98" s="50" t="s">
        <v>208</v>
      </c>
      <c r="D98" s="184" t="s">
        <v>36</v>
      </c>
      <c r="E98" s="51" t="s">
        <v>378</v>
      </c>
      <c r="F98" s="184" t="s">
        <v>379</v>
      </c>
      <c r="G98" s="184" t="s">
        <v>156</v>
      </c>
      <c r="H98" s="93">
        <v>80111600</v>
      </c>
      <c r="I98" s="185">
        <v>2</v>
      </c>
      <c r="J98" s="185">
        <v>9</v>
      </c>
      <c r="K98" s="52">
        <v>0</v>
      </c>
      <c r="L98" s="53">
        <v>40417344</v>
      </c>
      <c r="M98" s="184" t="s">
        <v>464</v>
      </c>
      <c r="N98" s="53" t="s">
        <v>113</v>
      </c>
      <c r="O98" s="51" t="s">
        <v>211</v>
      </c>
      <c r="P98" s="186" t="str">
        <f>IFERROR(VLOOKUP(C98,TD!$B$33:$F$37,2,0)," ")</f>
        <v>O230117</v>
      </c>
      <c r="Q98" s="186" t="str">
        <f>IFERROR(VLOOKUP(C98,TD!$B$33:$F$37,3,0)," ")</f>
        <v>4599</v>
      </c>
      <c r="R98" s="186">
        <f>IFERROR(VLOOKUP(C98,TD!$B$33:$F$37,4,0)," ")</f>
        <v>20240207</v>
      </c>
      <c r="S98" s="51" t="s">
        <v>193</v>
      </c>
      <c r="T98" s="186" t="str">
        <f>IFERROR(VLOOKUP(S98,TD!$J$34:$K$44,2,0)," ")</f>
        <v>Servicios para la planeación y sistemas de gestión y comunicación estratégica</v>
      </c>
      <c r="U98" s="187" t="str">
        <f>CONCATENATE(S98,"-",T98)</f>
        <v>13-Servicios para la planeación y sistemas de gestión y comunicación estratégica</v>
      </c>
      <c r="V98" s="51" t="s">
        <v>240</v>
      </c>
      <c r="W98" s="186" t="str">
        <f>IFERROR(VLOOKUP(V98,TD!$N$34:$O$46,2,0)," ")</f>
        <v>Servicio de asistencia técnica</v>
      </c>
      <c r="X98" s="187" t="str">
        <f>CONCATENATE(V98,"_",W98)</f>
        <v>031_Servicio de asistencia técnica</v>
      </c>
      <c r="Y98" s="187" t="str">
        <f>CONCATENATE(U98," ",X98)</f>
        <v>13-Servicios para la planeación y sistemas de gestión y comunicación estratégica 031_Servicio de asistencia técnica</v>
      </c>
      <c r="Z98" s="186" t="str">
        <f>CONCATENATE(P98,Q98,R98,S98,V98)</f>
        <v>O23011745992024020713031</v>
      </c>
      <c r="AA98" s="186" t="str">
        <f>IFERROR(VLOOKUP(Y98,TD!$K$47:$L$65,2,0)," ")</f>
        <v>PM/0131/0113/45990310207</v>
      </c>
      <c r="AB98" s="53" t="s">
        <v>138</v>
      </c>
      <c r="AC98" s="188" t="s">
        <v>204</v>
      </c>
    </row>
    <row r="99" spans="2:29" s="28" customFormat="1" ht="56" x14ac:dyDescent="0.35">
      <c r="B99" s="77">
        <v>20250049</v>
      </c>
      <c r="C99" s="50" t="s">
        <v>208</v>
      </c>
      <c r="D99" s="184" t="s">
        <v>36</v>
      </c>
      <c r="E99" s="51" t="s">
        <v>378</v>
      </c>
      <c r="F99" s="184" t="s">
        <v>380</v>
      </c>
      <c r="G99" s="184" t="s">
        <v>155</v>
      </c>
      <c r="H99" s="93">
        <v>80111600</v>
      </c>
      <c r="I99" s="185">
        <v>2</v>
      </c>
      <c r="J99" s="185">
        <v>11</v>
      </c>
      <c r="K99" s="52">
        <v>0</v>
      </c>
      <c r="L99" s="53">
        <v>104500000</v>
      </c>
      <c r="M99" s="184" t="s">
        <v>464</v>
      </c>
      <c r="N99" s="53" t="s">
        <v>113</v>
      </c>
      <c r="O99" s="51" t="s">
        <v>211</v>
      </c>
      <c r="P99" s="186" t="str">
        <f>IFERROR(VLOOKUP(C99,TD!$B$33:$F$37,2,0)," ")</f>
        <v>O230117</v>
      </c>
      <c r="Q99" s="186" t="str">
        <f>IFERROR(VLOOKUP(C99,TD!$B$33:$F$37,3,0)," ")</f>
        <v>4599</v>
      </c>
      <c r="R99" s="186">
        <f>IFERROR(VLOOKUP(C99,TD!$B$33:$F$37,4,0)," ")</f>
        <v>20240207</v>
      </c>
      <c r="S99" s="51" t="s">
        <v>193</v>
      </c>
      <c r="T99" s="186" t="str">
        <f>IFERROR(VLOOKUP(S99,TD!$J$34:$K$44,2,0)," ")</f>
        <v>Servicios para la planeación y sistemas de gestión y comunicación estratégica</v>
      </c>
      <c r="U99" s="187" t="str">
        <f>CONCATENATE(S99,"-",T99)</f>
        <v>13-Servicios para la planeación y sistemas de gestión y comunicación estratégica</v>
      </c>
      <c r="V99" s="51" t="s">
        <v>240</v>
      </c>
      <c r="W99" s="186" t="str">
        <f>IFERROR(VLOOKUP(V99,TD!$N$34:$O$46,2,0)," ")</f>
        <v>Servicio de asistencia técnica</v>
      </c>
      <c r="X99" s="187" t="str">
        <f>CONCATENATE(V99,"_",W99)</f>
        <v>031_Servicio de asistencia técnica</v>
      </c>
      <c r="Y99" s="187" t="str">
        <f>CONCATENATE(U99," ",X99)</f>
        <v>13-Servicios para la planeación y sistemas de gestión y comunicación estratégica 031_Servicio de asistencia técnica</v>
      </c>
      <c r="Z99" s="186" t="str">
        <f>CONCATENATE(P99,Q99,R99,S99,V99)</f>
        <v>O23011745992024020713031</v>
      </c>
      <c r="AA99" s="186" t="str">
        <f>IFERROR(VLOOKUP(Y99,TD!$K$47:$L$65,2,0)," ")</f>
        <v>PM/0131/0113/45990310207</v>
      </c>
      <c r="AB99" s="53" t="s">
        <v>138</v>
      </c>
      <c r="AC99" s="188" t="s">
        <v>204</v>
      </c>
    </row>
    <row r="100" spans="2:29" s="28" customFormat="1" ht="56" x14ac:dyDescent="0.35">
      <c r="B100" s="77">
        <v>20250050</v>
      </c>
      <c r="C100" s="50" t="s">
        <v>208</v>
      </c>
      <c r="D100" s="184" t="s">
        <v>36</v>
      </c>
      <c r="E100" s="51" t="s">
        <v>378</v>
      </c>
      <c r="F100" s="184" t="s">
        <v>381</v>
      </c>
      <c r="G100" s="184" t="s">
        <v>155</v>
      </c>
      <c r="H100" s="93">
        <v>80111600</v>
      </c>
      <c r="I100" s="185">
        <v>2</v>
      </c>
      <c r="J100" s="185">
        <v>6</v>
      </c>
      <c r="K100" s="52">
        <v>0</v>
      </c>
      <c r="L100" s="53">
        <v>42000000</v>
      </c>
      <c r="M100" s="184" t="s">
        <v>464</v>
      </c>
      <c r="N100" s="53" t="s">
        <v>113</v>
      </c>
      <c r="O100" s="51" t="s">
        <v>211</v>
      </c>
      <c r="P100" s="186" t="str">
        <f>IFERROR(VLOOKUP(C100,TD!$B$33:$F$37,2,0)," ")</f>
        <v>O230117</v>
      </c>
      <c r="Q100" s="186" t="str">
        <f>IFERROR(VLOOKUP(C100,TD!$B$33:$F$37,3,0)," ")</f>
        <v>4599</v>
      </c>
      <c r="R100" s="186">
        <f>IFERROR(VLOOKUP(C100,TD!$B$33:$F$37,4,0)," ")</f>
        <v>20240207</v>
      </c>
      <c r="S100" s="51" t="s">
        <v>193</v>
      </c>
      <c r="T100" s="186" t="str">
        <f>IFERROR(VLOOKUP(S100,TD!$J$34:$K$44,2,0)," ")</f>
        <v>Servicios para la planeación y sistemas de gestión y comunicación estratégica</v>
      </c>
      <c r="U100" s="187" t="str">
        <f>CONCATENATE(S100,"-",T100)</f>
        <v>13-Servicios para la planeación y sistemas de gestión y comunicación estratégica</v>
      </c>
      <c r="V100" s="51" t="s">
        <v>240</v>
      </c>
      <c r="W100" s="186" t="str">
        <f>IFERROR(VLOOKUP(V100,TD!$N$34:$O$46,2,0)," ")</f>
        <v>Servicio de asistencia técnica</v>
      </c>
      <c r="X100" s="187" t="str">
        <f>CONCATENATE(V100,"_",W100)</f>
        <v>031_Servicio de asistencia técnica</v>
      </c>
      <c r="Y100" s="187" t="str">
        <f>CONCATENATE(U100," ",X100)</f>
        <v>13-Servicios para la planeación y sistemas de gestión y comunicación estratégica 031_Servicio de asistencia técnica</v>
      </c>
      <c r="Z100" s="186" t="str">
        <f>CONCATENATE(P100,Q100,R100,S100,V100)</f>
        <v>O23011745992024020713031</v>
      </c>
      <c r="AA100" s="186" t="str">
        <f>IFERROR(VLOOKUP(Y100,TD!$K$47:$L$65,2,0)," ")</f>
        <v>PM/0131/0113/45990310207</v>
      </c>
      <c r="AB100" s="53" t="s">
        <v>138</v>
      </c>
      <c r="AC100" s="188" t="s">
        <v>204</v>
      </c>
    </row>
    <row r="101" spans="2:29" s="28" customFormat="1" ht="70" x14ac:dyDescent="0.35">
      <c r="B101" s="77">
        <v>20250051</v>
      </c>
      <c r="C101" s="50" t="s">
        <v>208</v>
      </c>
      <c r="D101" s="184" t="s">
        <v>36</v>
      </c>
      <c r="E101" s="51" t="s">
        <v>378</v>
      </c>
      <c r="F101" s="184" t="s">
        <v>421</v>
      </c>
      <c r="G101" s="184" t="s">
        <v>155</v>
      </c>
      <c r="H101" s="93">
        <v>80111600</v>
      </c>
      <c r="I101" s="185">
        <v>2</v>
      </c>
      <c r="J101" s="185">
        <v>7</v>
      </c>
      <c r="K101" s="52">
        <v>0</v>
      </c>
      <c r="L101" s="53">
        <v>51100000</v>
      </c>
      <c r="M101" s="184" t="s">
        <v>464</v>
      </c>
      <c r="N101" s="53" t="s">
        <v>113</v>
      </c>
      <c r="O101" s="51" t="s">
        <v>211</v>
      </c>
      <c r="P101" s="186" t="str">
        <f>IFERROR(VLOOKUP(C101,TD!$B$33:$F$37,2,0)," ")</f>
        <v>O230117</v>
      </c>
      <c r="Q101" s="186" t="str">
        <f>IFERROR(VLOOKUP(C101,TD!$B$33:$F$37,3,0)," ")</f>
        <v>4599</v>
      </c>
      <c r="R101" s="186">
        <f>IFERROR(VLOOKUP(C101,TD!$B$33:$F$37,4,0)," ")</f>
        <v>20240207</v>
      </c>
      <c r="S101" s="51" t="s">
        <v>193</v>
      </c>
      <c r="T101" s="186" t="str">
        <f>IFERROR(VLOOKUP(S101,TD!$J$34:$K$44,2,0)," ")</f>
        <v>Servicios para la planeación y sistemas de gestión y comunicación estratégica</v>
      </c>
      <c r="U101" s="187" t="str">
        <f>CONCATENATE(S101,"-",T101)</f>
        <v>13-Servicios para la planeación y sistemas de gestión y comunicación estratégica</v>
      </c>
      <c r="V101" s="51" t="s">
        <v>240</v>
      </c>
      <c r="W101" s="186" t="str">
        <f>IFERROR(VLOOKUP(V101,TD!$N$34:$O$46,2,0)," ")</f>
        <v>Servicio de asistencia técnica</v>
      </c>
      <c r="X101" s="187" t="str">
        <f>CONCATENATE(V101,"_",W101)</f>
        <v>031_Servicio de asistencia técnica</v>
      </c>
      <c r="Y101" s="187" t="str">
        <f>CONCATENATE(U101," ",X101)</f>
        <v>13-Servicios para la planeación y sistemas de gestión y comunicación estratégica 031_Servicio de asistencia técnica</v>
      </c>
      <c r="Z101" s="186" t="str">
        <f>CONCATENATE(P101,Q101,R101,S101,V101)</f>
        <v>O23011745992024020713031</v>
      </c>
      <c r="AA101" s="186" t="str">
        <f>IFERROR(VLOOKUP(Y101,TD!$K$47:$L$65,2,0)," ")</f>
        <v>PM/0131/0113/45990310207</v>
      </c>
      <c r="AB101" s="53" t="s">
        <v>138</v>
      </c>
      <c r="AC101" s="188" t="s">
        <v>204</v>
      </c>
    </row>
    <row r="102" spans="2:29" s="28" customFormat="1" ht="56" x14ac:dyDescent="0.35">
      <c r="B102" s="77">
        <v>20250052</v>
      </c>
      <c r="C102" s="50" t="s">
        <v>208</v>
      </c>
      <c r="D102" s="184" t="s">
        <v>36</v>
      </c>
      <c r="E102" s="51" t="s">
        <v>378</v>
      </c>
      <c r="F102" s="184" t="s">
        <v>472</v>
      </c>
      <c r="G102" s="184" t="s">
        <v>155</v>
      </c>
      <c r="H102" s="93">
        <v>80111600</v>
      </c>
      <c r="I102" s="185">
        <v>2</v>
      </c>
      <c r="J102" s="185">
        <v>11</v>
      </c>
      <c r="K102" s="52">
        <v>0</v>
      </c>
      <c r="L102" s="53">
        <v>93500000</v>
      </c>
      <c r="M102" s="184" t="s">
        <v>464</v>
      </c>
      <c r="N102" s="53" t="s">
        <v>113</v>
      </c>
      <c r="O102" s="51" t="s">
        <v>212</v>
      </c>
      <c r="P102" s="186" t="str">
        <f>IFERROR(VLOOKUP(C102,TD!$B$33:$F$37,2,0)," ")</f>
        <v>O230117</v>
      </c>
      <c r="Q102" s="186" t="str">
        <f>IFERROR(VLOOKUP(C102,TD!$B$33:$F$37,3,0)," ")</f>
        <v>4599</v>
      </c>
      <c r="R102" s="186">
        <f>IFERROR(VLOOKUP(C102,TD!$B$33:$F$37,4,0)," ")</f>
        <v>20240207</v>
      </c>
      <c r="S102" s="51" t="s">
        <v>193</v>
      </c>
      <c r="T102" s="186" t="str">
        <f>IFERROR(VLOOKUP(S102,TD!$J$34:$K$44,2,0)," ")</f>
        <v>Servicios para la planeación y sistemas de gestión y comunicación estratégica</v>
      </c>
      <c r="U102" s="187" t="str">
        <f>CONCATENATE(S102,"-",T102)</f>
        <v>13-Servicios para la planeación y sistemas de gestión y comunicación estratégica</v>
      </c>
      <c r="V102" s="51" t="s">
        <v>241</v>
      </c>
      <c r="W102" s="186" t="str">
        <f>IFERROR(VLOOKUP(V102,TD!$N$34:$O$46,2,0)," ")</f>
        <v>Servicio de Implementación Sistemas de Gestión</v>
      </c>
      <c r="X102" s="187" t="str">
        <f>CONCATENATE(V102,"_",W102)</f>
        <v>023_Servicio de Implementación Sistemas de Gestión</v>
      </c>
      <c r="Y102" s="187" t="str">
        <f>CONCATENATE(U102," ",X102)</f>
        <v>13-Servicios para la planeación y sistemas de gestión y comunicación estratégica 023_Servicio de Implementación Sistemas de Gestión</v>
      </c>
      <c r="Z102" s="186" t="str">
        <f>CONCATENATE(P102,Q102,R102,S102,V102)</f>
        <v>O23011745992024020713023</v>
      </c>
      <c r="AA102" s="186" t="str">
        <f>IFERROR(VLOOKUP(Y102,TD!$K$47:$L$65,2,0)," ")</f>
        <v>PM/0131/0113/45990230207</v>
      </c>
      <c r="AB102" s="53" t="s">
        <v>138</v>
      </c>
      <c r="AC102" s="188" t="s">
        <v>204</v>
      </c>
    </row>
    <row r="103" spans="2:29" s="28" customFormat="1" ht="56" x14ac:dyDescent="0.35">
      <c r="B103" s="77">
        <v>20250053</v>
      </c>
      <c r="C103" s="50" t="s">
        <v>208</v>
      </c>
      <c r="D103" s="184" t="s">
        <v>36</v>
      </c>
      <c r="E103" s="51" t="s">
        <v>378</v>
      </c>
      <c r="F103" s="184" t="s">
        <v>473</v>
      </c>
      <c r="G103" s="184" t="s">
        <v>155</v>
      </c>
      <c r="H103" s="93">
        <v>80111600</v>
      </c>
      <c r="I103" s="185">
        <v>2</v>
      </c>
      <c r="J103" s="185">
        <v>7</v>
      </c>
      <c r="K103" s="52">
        <v>0</v>
      </c>
      <c r="L103" s="53">
        <v>52500000</v>
      </c>
      <c r="M103" s="184" t="s">
        <v>464</v>
      </c>
      <c r="N103" s="53" t="s">
        <v>113</v>
      </c>
      <c r="O103" s="51" t="s">
        <v>211</v>
      </c>
      <c r="P103" s="186" t="str">
        <f>IFERROR(VLOOKUP(C103,TD!$B$33:$F$37,2,0)," ")</f>
        <v>O230117</v>
      </c>
      <c r="Q103" s="186" t="str">
        <f>IFERROR(VLOOKUP(C103,TD!$B$33:$F$37,3,0)," ")</f>
        <v>4599</v>
      </c>
      <c r="R103" s="186">
        <f>IFERROR(VLOOKUP(C103,TD!$B$33:$F$37,4,0)," ")</f>
        <v>20240207</v>
      </c>
      <c r="S103" s="51" t="s">
        <v>193</v>
      </c>
      <c r="T103" s="186" t="str">
        <f>IFERROR(VLOOKUP(S103,TD!$J$34:$K$44,2,0)," ")</f>
        <v>Servicios para la planeación y sistemas de gestión y comunicación estratégica</v>
      </c>
      <c r="U103" s="187" t="str">
        <f>CONCATENATE(S103,"-",T103)</f>
        <v>13-Servicios para la planeación y sistemas de gestión y comunicación estratégica</v>
      </c>
      <c r="V103" s="51" t="s">
        <v>240</v>
      </c>
      <c r="W103" s="186" t="str">
        <f>IFERROR(VLOOKUP(V103,TD!$N$34:$O$46,2,0)," ")</f>
        <v>Servicio de asistencia técnica</v>
      </c>
      <c r="X103" s="187" t="str">
        <f>CONCATENATE(V103,"_",W103)</f>
        <v>031_Servicio de asistencia técnica</v>
      </c>
      <c r="Y103" s="187" t="str">
        <f>CONCATENATE(U103," ",X103)</f>
        <v>13-Servicios para la planeación y sistemas de gestión y comunicación estratégica 031_Servicio de asistencia técnica</v>
      </c>
      <c r="Z103" s="186" t="str">
        <f>CONCATENATE(P103,Q103,R103,S103,V103)</f>
        <v>O23011745992024020713031</v>
      </c>
      <c r="AA103" s="186" t="str">
        <f>IFERROR(VLOOKUP(Y103,TD!$K$47:$L$65,2,0)," ")</f>
        <v>PM/0131/0113/45990310207</v>
      </c>
      <c r="AB103" s="53" t="s">
        <v>138</v>
      </c>
      <c r="AC103" s="188" t="s">
        <v>204</v>
      </c>
    </row>
    <row r="104" spans="2:29" s="28" customFormat="1" ht="56" x14ac:dyDescent="0.35">
      <c r="B104" s="77">
        <v>20250054</v>
      </c>
      <c r="C104" s="50" t="s">
        <v>208</v>
      </c>
      <c r="D104" s="184" t="s">
        <v>36</v>
      </c>
      <c r="E104" s="51" t="s">
        <v>378</v>
      </c>
      <c r="F104" s="184" t="s">
        <v>474</v>
      </c>
      <c r="G104" s="184" t="s">
        <v>156</v>
      </c>
      <c r="H104" s="93">
        <v>80111600</v>
      </c>
      <c r="I104" s="185">
        <v>2</v>
      </c>
      <c r="J104" s="185">
        <v>6</v>
      </c>
      <c r="K104" s="52">
        <v>0</v>
      </c>
      <c r="L104" s="53">
        <v>24000000</v>
      </c>
      <c r="M104" s="184" t="s">
        <v>464</v>
      </c>
      <c r="N104" s="53" t="s">
        <v>113</v>
      </c>
      <c r="O104" s="51" t="s">
        <v>211</v>
      </c>
      <c r="P104" s="186" t="str">
        <f>IFERROR(VLOOKUP(C104,TD!$B$33:$F$37,2,0)," ")</f>
        <v>O230117</v>
      </c>
      <c r="Q104" s="186" t="str">
        <f>IFERROR(VLOOKUP(C104,TD!$B$33:$F$37,3,0)," ")</f>
        <v>4599</v>
      </c>
      <c r="R104" s="186">
        <f>IFERROR(VLOOKUP(C104,TD!$B$33:$F$37,4,0)," ")</f>
        <v>20240207</v>
      </c>
      <c r="S104" s="51" t="s">
        <v>193</v>
      </c>
      <c r="T104" s="186" t="str">
        <f>IFERROR(VLOOKUP(S104,TD!$J$34:$K$44,2,0)," ")</f>
        <v>Servicios para la planeación y sistemas de gestión y comunicación estratégica</v>
      </c>
      <c r="U104" s="187" t="str">
        <f>CONCATENATE(S104,"-",T104)</f>
        <v>13-Servicios para la planeación y sistemas de gestión y comunicación estratégica</v>
      </c>
      <c r="V104" s="51" t="s">
        <v>240</v>
      </c>
      <c r="W104" s="186" t="str">
        <f>IFERROR(VLOOKUP(V104,TD!$N$34:$O$46,2,0)," ")</f>
        <v>Servicio de asistencia técnica</v>
      </c>
      <c r="X104" s="187" t="str">
        <f>CONCATENATE(V104,"_",W104)</f>
        <v>031_Servicio de asistencia técnica</v>
      </c>
      <c r="Y104" s="187" t="str">
        <f>CONCATENATE(U104," ",X104)</f>
        <v>13-Servicios para la planeación y sistemas de gestión y comunicación estratégica 031_Servicio de asistencia técnica</v>
      </c>
      <c r="Z104" s="186" t="str">
        <f>CONCATENATE(P104,Q104,R104,S104,V104)</f>
        <v>O23011745992024020713031</v>
      </c>
      <c r="AA104" s="186" t="str">
        <f>IFERROR(VLOOKUP(Y104,TD!$K$47:$L$65,2,0)," ")</f>
        <v>PM/0131/0113/45990310207</v>
      </c>
      <c r="AB104" s="53" t="s">
        <v>138</v>
      </c>
      <c r="AC104" s="188" t="s">
        <v>204</v>
      </c>
    </row>
    <row r="105" spans="2:29" s="28" customFormat="1" ht="70" x14ac:dyDescent="0.35">
      <c r="B105" s="77">
        <v>20250055</v>
      </c>
      <c r="C105" s="50" t="s">
        <v>208</v>
      </c>
      <c r="D105" s="184" t="s">
        <v>36</v>
      </c>
      <c r="E105" s="51" t="s">
        <v>378</v>
      </c>
      <c r="F105" s="184" t="s">
        <v>382</v>
      </c>
      <c r="G105" s="184" t="s">
        <v>155</v>
      </c>
      <c r="H105" s="93">
        <v>80111600</v>
      </c>
      <c r="I105" s="185">
        <v>2</v>
      </c>
      <c r="J105" s="185">
        <v>7</v>
      </c>
      <c r="K105" s="52">
        <v>0</v>
      </c>
      <c r="L105" s="53">
        <v>59500000</v>
      </c>
      <c r="M105" s="184" t="s">
        <v>464</v>
      </c>
      <c r="N105" s="53" t="s">
        <v>113</v>
      </c>
      <c r="O105" s="51" t="s">
        <v>211</v>
      </c>
      <c r="P105" s="186" t="str">
        <f>IFERROR(VLOOKUP(C105,TD!$B$33:$F$37,2,0)," ")</f>
        <v>O230117</v>
      </c>
      <c r="Q105" s="186" t="str">
        <f>IFERROR(VLOOKUP(C105,TD!$B$33:$F$37,3,0)," ")</f>
        <v>4599</v>
      </c>
      <c r="R105" s="186">
        <f>IFERROR(VLOOKUP(C105,TD!$B$33:$F$37,4,0)," ")</f>
        <v>20240207</v>
      </c>
      <c r="S105" s="51" t="s">
        <v>193</v>
      </c>
      <c r="T105" s="186" t="str">
        <f>IFERROR(VLOOKUP(S105,TD!$J$34:$K$44,2,0)," ")</f>
        <v>Servicios para la planeación y sistemas de gestión y comunicación estratégica</v>
      </c>
      <c r="U105" s="187" t="str">
        <f>CONCATENATE(S105,"-",T105)</f>
        <v>13-Servicios para la planeación y sistemas de gestión y comunicación estratégica</v>
      </c>
      <c r="V105" s="51" t="s">
        <v>241</v>
      </c>
      <c r="W105" s="186" t="str">
        <f>IFERROR(VLOOKUP(V105,TD!$N$34:$O$46,2,0)," ")</f>
        <v>Servicio de Implementación Sistemas de Gestión</v>
      </c>
      <c r="X105" s="187" t="str">
        <f>CONCATENATE(V105,"_",W105)</f>
        <v>023_Servicio de Implementación Sistemas de Gestión</v>
      </c>
      <c r="Y105" s="187" t="str">
        <f>CONCATENATE(U105," ",X105)</f>
        <v>13-Servicios para la planeación y sistemas de gestión y comunicación estratégica 023_Servicio de Implementación Sistemas de Gestión</v>
      </c>
      <c r="Z105" s="186" t="str">
        <f>CONCATENATE(P105,Q105,R105,S105,V105)</f>
        <v>O23011745992024020713023</v>
      </c>
      <c r="AA105" s="186" t="str">
        <f>IFERROR(VLOOKUP(Y105,TD!$K$47:$L$65,2,0)," ")</f>
        <v>PM/0131/0113/45990230207</v>
      </c>
      <c r="AB105" s="53" t="s">
        <v>138</v>
      </c>
      <c r="AC105" s="188" t="s">
        <v>204</v>
      </c>
    </row>
    <row r="106" spans="2:29" s="28" customFormat="1" ht="84" x14ac:dyDescent="0.35">
      <c r="B106" s="77">
        <v>20250056</v>
      </c>
      <c r="C106" s="50" t="s">
        <v>208</v>
      </c>
      <c r="D106" s="184" t="s">
        <v>36</v>
      </c>
      <c r="E106" s="51" t="s">
        <v>378</v>
      </c>
      <c r="F106" s="184" t="s">
        <v>383</v>
      </c>
      <c r="G106" s="184" t="s">
        <v>155</v>
      </c>
      <c r="H106" s="93">
        <v>80111600</v>
      </c>
      <c r="I106" s="185">
        <v>2</v>
      </c>
      <c r="J106" s="185">
        <v>10</v>
      </c>
      <c r="K106" s="52">
        <v>0</v>
      </c>
      <c r="L106" s="53">
        <v>73000000</v>
      </c>
      <c r="M106" s="184" t="s">
        <v>464</v>
      </c>
      <c r="N106" s="53" t="s">
        <v>113</v>
      </c>
      <c r="O106" s="51" t="s">
        <v>211</v>
      </c>
      <c r="P106" s="186" t="str">
        <f>IFERROR(VLOOKUP(C106,TD!$B$33:$F$37,2,0)," ")</f>
        <v>O230117</v>
      </c>
      <c r="Q106" s="186" t="str">
        <f>IFERROR(VLOOKUP(C106,TD!$B$33:$F$37,3,0)," ")</f>
        <v>4599</v>
      </c>
      <c r="R106" s="186">
        <f>IFERROR(VLOOKUP(C106,TD!$B$33:$F$37,4,0)," ")</f>
        <v>20240207</v>
      </c>
      <c r="S106" s="51" t="s">
        <v>193</v>
      </c>
      <c r="T106" s="186" t="str">
        <f>IFERROR(VLOOKUP(S106,TD!$J$34:$K$44,2,0)," ")</f>
        <v>Servicios para la planeación y sistemas de gestión y comunicación estratégica</v>
      </c>
      <c r="U106" s="187" t="str">
        <f>CONCATENATE(S106,"-",T106)</f>
        <v>13-Servicios para la planeación y sistemas de gestión y comunicación estratégica</v>
      </c>
      <c r="V106" s="51" t="s">
        <v>240</v>
      </c>
      <c r="W106" s="186" t="str">
        <f>IFERROR(VLOOKUP(V106,TD!$N$34:$O$46,2,0)," ")</f>
        <v>Servicio de asistencia técnica</v>
      </c>
      <c r="X106" s="187" t="str">
        <f>CONCATENATE(V106,"_",W106)</f>
        <v>031_Servicio de asistencia técnica</v>
      </c>
      <c r="Y106" s="187" t="str">
        <f>CONCATENATE(U106," ",X106)</f>
        <v>13-Servicios para la planeación y sistemas de gestión y comunicación estratégica 031_Servicio de asistencia técnica</v>
      </c>
      <c r="Z106" s="186" t="str">
        <f>CONCATENATE(P106,Q106,R106,S106,V106)</f>
        <v>O23011745992024020713031</v>
      </c>
      <c r="AA106" s="186" t="str">
        <f>IFERROR(VLOOKUP(Y106,TD!$K$47:$L$65,2,0)," ")</f>
        <v>PM/0131/0113/45990310207</v>
      </c>
      <c r="AB106" s="53" t="s">
        <v>138</v>
      </c>
      <c r="AC106" s="188" t="s">
        <v>204</v>
      </c>
    </row>
    <row r="107" spans="2:29" s="28" customFormat="1" ht="56" x14ac:dyDescent="0.35">
      <c r="B107" s="77">
        <v>20250057</v>
      </c>
      <c r="C107" s="50" t="s">
        <v>208</v>
      </c>
      <c r="D107" s="184" t="s">
        <v>36</v>
      </c>
      <c r="E107" s="51" t="s">
        <v>378</v>
      </c>
      <c r="F107" s="184" t="s">
        <v>475</v>
      </c>
      <c r="G107" s="184" t="s">
        <v>155</v>
      </c>
      <c r="H107" s="93">
        <v>80111600</v>
      </c>
      <c r="I107" s="185">
        <v>2</v>
      </c>
      <c r="J107" s="185">
        <v>6</v>
      </c>
      <c r="K107" s="52">
        <v>0</v>
      </c>
      <c r="L107" s="53">
        <v>39000000</v>
      </c>
      <c r="M107" s="184" t="s">
        <v>464</v>
      </c>
      <c r="N107" s="53" t="s">
        <v>113</v>
      </c>
      <c r="O107" s="51" t="s">
        <v>212</v>
      </c>
      <c r="P107" s="186" t="str">
        <f>IFERROR(VLOOKUP(C107,TD!$B$33:$F$37,2,0)," ")</f>
        <v>O230117</v>
      </c>
      <c r="Q107" s="186" t="str">
        <f>IFERROR(VLOOKUP(C107,TD!$B$33:$F$37,3,0)," ")</f>
        <v>4599</v>
      </c>
      <c r="R107" s="186">
        <f>IFERROR(VLOOKUP(C107,TD!$B$33:$F$37,4,0)," ")</f>
        <v>20240207</v>
      </c>
      <c r="S107" s="51" t="s">
        <v>193</v>
      </c>
      <c r="T107" s="186" t="str">
        <f>IFERROR(VLOOKUP(S107,TD!$J$34:$K$44,2,0)," ")</f>
        <v>Servicios para la planeación y sistemas de gestión y comunicación estratégica</v>
      </c>
      <c r="U107" s="187" t="str">
        <f>CONCATENATE(S107,"-",T107)</f>
        <v>13-Servicios para la planeación y sistemas de gestión y comunicación estratégica</v>
      </c>
      <c r="V107" s="51" t="s">
        <v>241</v>
      </c>
      <c r="W107" s="186" t="str">
        <f>IFERROR(VLOOKUP(V107,TD!$N$34:$O$46,2,0)," ")</f>
        <v>Servicio de Implementación Sistemas de Gestión</v>
      </c>
      <c r="X107" s="187" t="str">
        <f>CONCATENATE(V107,"_",W107)</f>
        <v>023_Servicio de Implementación Sistemas de Gestión</v>
      </c>
      <c r="Y107" s="187" t="str">
        <f>CONCATENATE(U107," ",X107)</f>
        <v>13-Servicios para la planeación y sistemas de gestión y comunicación estratégica 023_Servicio de Implementación Sistemas de Gestión</v>
      </c>
      <c r="Z107" s="186" t="str">
        <f>CONCATENATE(P107,Q107,R107,S107,V107)</f>
        <v>O23011745992024020713023</v>
      </c>
      <c r="AA107" s="186" t="str">
        <f>IFERROR(VLOOKUP(Y107,TD!$K$47:$L$65,2,0)," ")</f>
        <v>PM/0131/0113/45990230207</v>
      </c>
      <c r="AB107" s="53" t="s">
        <v>138</v>
      </c>
      <c r="AC107" s="188" t="s">
        <v>204</v>
      </c>
    </row>
    <row r="108" spans="2:29" s="28" customFormat="1" ht="56" x14ac:dyDescent="0.35">
      <c r="B108" s="77">
        <v>20250058</v>
      </c>
      <c r="C108" s="50" t="s">
        <v>208</v>
      </c>
      <c r="D108" s="184" t="s">
        <v>36</v>
      </c>
      <c r="E108" s="51" t="s">
        <v>378</v>
      </c>
      <c r="F108" s="184" t="s">
        <v>384</v>
      </c>
      <c r="G108" s="184" t="s">
        <v>155</v>
      </c>
      <c r="H108" s="93">
        <v>80111600</v>
      </c>
      <c r="I108" s="185">
        <v>3</v>
      </c>
      <c r="J108" s="185">
        <v>7</v>
      </c>
      <c r="K108" s="52">
        <v>0</v>
      </c>
      <c r="L108" s="53">
        <v>45500000</v>
      </c>
      <c r="M108" s="184" t="s">
        <v>464</v>
      </c>
      <c r="N108" s="53" t="s">
        <v>113</v>
      </c>
      <c r="O108" s="51" t="s">
        <v>211</v>
      </c>
      <c r="P108" s="186" t="str">
        <f>IFERROR(VLOOKUP(C108,TD!$B$33:$F$37,2,0)," ")</f>
        <v>O230117</v>
      </c>
      <c r="Q108" s="186" t="str">
        <f>IFERROR(VLOOKUP(C108,TD!$B$33:$F$37,3,0)," ")</f>
        <v>4599</v>
      </c>
      <c r="R108" s="186">
        <f>IFERROR(VLOOKUP(C108,TD!$B$33:$F$37,4,0)," ")</f>
        <v>20240207</v>
      </c>
      <c r="S108" s="51" t="s">
        <v>193</v>
      </c>
      <c r="T108" s="186" t="str">
        <f>IFERROR(VLOOKUP(S108,TD!$J$34:$K$44,2,0)," ")</f>
        <v>Servicios para la planeación y sistemas de gestión y comunicación estratégica</v>
      </c>
      <c r="U108" s="187" t="str">
        <f>CONCATENATE(S108,"-",T108)</f>
        <v>13-Servicios para la planeación y sistemas de gestión y comunicación estratégica</v>
      </c>
      <c r="V108" s="51" t="s">
        <v>241</v>
      </c>
      <c r="W108" s="186" t="str">
        <f>IFERROR(VLOOKUP(V108,TD!$N$34:$O$46,2,0)," ")</f>
        <v>Servicio de Implementación Sistemas de Gestión</v>
      </c>
      <c r="X108" s="187" t="str">
        <f>CONCATENATE(V108,"_",W108)</f>
        <v>023_Servicio de Implementación Sistemas de Gestión</v>
      </c>
      <c r="Y108" s="187" t="str">
        <f>CONCATENATE(U108," ",X108)</f>
        <v>13-Servicios para la planeación y sistemas de gestión y comunicación estratégica 023_Servicio de Implementación Sistemas de Gestión</v>
      </c>
      <c r="Z108" s="186" t="str">
        <f>CONCATENATE(P108,Q108,R108,S108,V108)</f>
        <v>O23011745992024020713023</v>
      </c>
      <c r="AA108" s="186" t="str">
        <f>IFERROR(VLOOKUP(Y108,TD!$K$47:$L$65,2,0)," ")</f>
        <v>PM/0131/0113/45990230207</v>
      </c>
      <c r="AB108" s="53" t="s">
        <v>120</v>
      </c>
      <c r="AC108" s="188" t="s">
        <v>204</v>
      </c>
    </row>
    <row r="109" spans="2:29" s="28" customFormat="1" ht="56" x14ac:dyDescent="0.35">
      <c r="B109" s="77">
        <v>20250059</v>
      </c>
      <c r="C109" s="50" t="s">
        <v>208</v>
      </c>
      <c r="D109" s="184" t="s">
        <v>36</v>
      </c>
      <c r="E109" s="51" t="s">
        <v>378</v>
      </c>
      <c r="F109" s="184" t="s">
        <v>385</v>
      </c>
      <c r="G109" s="184" t="s">
        <v>155</v>
      </c>
      <c r="H109" s="93">
        <v>80111600</v>
      </c>
      <c r="I109" s="185">
        <v>2</v>
      </c>
      <c r="J109" s="185">
        <v>11</v>
      </c>
      <c r="K109" s="52">
        <v>0</v>
      </c>
      <c r="L109" s="53">
        <v>104500000</v>
      </c>
      <c r="M109" s="184" t="s">
        <v>464</v>
      </c>
      <c r="N109" s="53" t="s">
        <v>113</v>
      </c>
      <c r="O109" s="51" t="s">
        <v>211</v>
      </c>
      <c r="P109" s="186" t="str">
        <f>IFERROR(VLOOKUP(C109,TD!$B$33:$F$37,2,0)," ")</f>
        <v>O230117</v>
      </c>
      <c r="Q109" s="186" t="str">
        <f>IFERROR(VLOOKUP(C109,TD!$B$33:$F$37,3,0)," ")</f>
        <v>4599</v>
      </c>
      <c r="R109" s="186">
        <f>IFERROR(VLOOKUP(C109,TD!$B$33:$F$37,4,0)," ")</f>
        <v>20240207</v>
      </c>
      <c r="S109" s="51" t="s">
        <v>193</v>
      </c>
      <c r="T109" s="186" t="str">
        <f>IFERROR(VLOOKUP(S109,TD!$J$34:$K$44,2,0)," ")</f>
        <v>Servicios para la planeación y sistemas de gestión y comunicación estratégica</v>
      </c>
      <c r="U109" s="187" t="str">
        <f>CONCATENATE(S109,"-",T109)</f>
        <v>13-Servicios para la planeación y sistemas de gestión y comunicación estratégica</v>
      </c>
      <c r="V109" s="51" t="s">
        <v>241</v>
      </c>
      <c r="W109" s="186" t="str">
        <f>IFERROR(VLOOKUP(V109,TD!$N$34:$O$46,2,0)," ")</f>
        <v>Servicio de Implementación Sistemas de Gestión</v>
      </c>
      <c r="X109" s="187" t="str">
        <f>CONCATENATE(V109,"_",W109)</f>
        <v>023_Servicio de Implementación Sistemas de Gestión</v>
      </c>
      <c r="Y109" s="187" t="str">
        <f>CONCATENATE(U109," ",X109)</f>
        <v>13-Servicios para la planeación y sistemas de gestión y comunicación estratégica 023_Servicio de Implementación Sistemas de Gestión</v>
      </c>
      <c r="Z109" s="186" t="str">
        <f>CONCATENATE(P109,Q109,R109,S109,V109)</f>
        <v>O23011745992024020713023</v>
      </c>
      <c r="AA109" s="186" t="str">
        <f>IFERROR(VLOOKUP(Y109,TD!$K$47:$L$65,2,0)," ")</f>
        <v>PM/0131/0113/45990230207</v>
      </c>
      <c r="AB109" s="53" t="s">
        <v>138</v>
      </c>
      <c r="AC109" s="188" t="s">
        <v>204</v>
      </c>
    </row>
    <row r="110" spans="2:29" s="28" customFormat="1" ht="56" x14ac:dyDescent="0.35">
      <c r="B110" s="77">
        <v>20250060</v>
      </c>
      <c r="C110" s="50" t="s">
        <v>208</v>
      </c>
      <c r="D110" s="184" t="s">
        <v>36</v>
      </c>
      <c r="E110" s="51" t="s">
        <v>378</v>
      </c>
      <c r="F110" s="184" t="s">
        <v>476</v>
      </c>
      <c r="G110" s="184" t="s">
        <v>155</v>
      </c>
      <c r="H110" s="93">
        <v>80111600</v>
      </c>
      <c r="I110" s="185">
        <v>2</v>
      </c>
      <c r="J110" s="185">
        <v>6</v>
      </c>
      <c r="K110" s="52">
        <v>0</v>
      </c>
      <c r="L110" s="53">
        <v>11433334</v>
      </c>
      <c r="M110" s="184" t="s">
        <v>464</v>
      </c>
      <c r="N110" s="53" t="s">
        <v>113</v>
      </c>
      <c r="O110" s="51" t="s">
        <v>212</v>
      </c>
      <c r="P110" s="186" t="str">
        <f>IFERROR(VLOOKUP(C110,TD!$B$33:$F$37,2,0)," ")</f>
        <v>O230117</v>
      </c>
      <c r="Q110" s="186" t="str">
        <f>IFERROR(VLOOKUP(C110,TD!$B$33:$F$37,3,0)," ")</f>
        <v>4599</v>
      </c>
      <c r="R110" s="186">
        <f>IFERROR(VLOOKUP(C110,TD!$B$33:$F$37,4,0)," ")</f>
        <v>20240207</v>
      </c>
      <c r="S110" s="51" t="s">
        <v>193</v>
      </c>
      <c r="T110" s="186" t="str">
        <f>IFERROR(VLOOKUP(S110,TD!$J$34:$K$44,2,0)," ")</f>
        <v>Servicios para la planeación y sistemas de gestión y comunicación estratégica</v>
      </c>
      <c r="U110" s="187" t="str">
        <f>CONCATENATE(S110,"-",T110)</f>
        <v>13-Servicios para la planeación y sistemas de gestión y comunicación estratégica</v>
      </c>
      <c r="V110" s="51" t="s">
        <v>241</v>
      </c>
      <c r="W110" s="186" t="str">
        <f>IFERROR(VLOOKUP(V110,TD!$N$34:$O$46,2,0)," ")</f>
        <v>Servicio de Implementación Sistemas de Gestión</v>
      </c>
      <c r="X110" s="187" t="str">
        <f>CONCATENATE(V110,"_",W110)</f>
        <v>023_Servicio de Implementación Sistemas de Gestión</v>
      </c>
      <c r="Y110" s="187" t="str">
        <f>CONCATENATE(U110," ",X110)</f>
        <v>13-Servicios para la planeación y sistemas de gestión y comunicación estratégica 023_Servicio de Implementación Sistemas de Gestión</v>
      </c>
      <c r="Z110" s="186" t="str">
        <f>CONCATENATE(P110,Q110,R110,S110,V110)</f>
        <v>O23011745992024020713023</v>
      </c>
      <c r="AA110" s="186" t="str">
        <f>IFERROR(VLOOKUP(Y110,TD!$K$47:$L$65,2,0)," ")</f>
        <v>PM/0131/0113/45990230207</v>
      </c>
      <c r="AB110" s="53" t="s">
        <v>138</v>
      </c>
      <c r="AC110" s="188" t="s">
        <v>204</v>
      </c>
    </row>
    <row r="111" spans="2:29" s="28" customFormat="1" ht="56" x14ac:dyDescent="0.35">
      <c r="B111" s="77">
        <v>20250061</v>
      </c>
      <c r="C111" s="50" t="s">
        <v>208</v>
      </c>
      <c r="D111" s="184" t="s">
        <v>36</v>
      </c>
      <c r="E111" s="51" t="s">
        <v>378</v>
      </c>
      <c r="F111" s="184" t="s">
        <v>477</v>
      </c>
      <c r="G111" s="184" t="s">
        <v>155</v>
      </c>
      <c r="H111" s="93">
        <v>80111600</v>
      </c>
      <c r="I111" s="185">
        <v>2</v>
      </c>
      <c r="J111" s="185">
        <v>6</v>
      </c>
      <c r="K111" s="52">
        <v>0</v>
      </c>
      <c r="L111" s="53">
        <v>42000000</v>
      </c>
      <c r="M111" s="184" t="s">
        <v>464</v>
      </c>
      <c r="N111" s="53" t="s">
        <v>113</v>
      </c>
      <c r="O111" s="51" t="s">
        <v>212</v>
      </c>
      <c r="P111" s="186" t="str">
        <f>IFERROR(VLOOKUP(C111,TD!$B$33:$F$37,2,0)," ")</f>
        <v>O230117</v>
      </c>
      <c r="Q111" s="186" t="str">
        <f>IFERROR(VLOOKUP(C111,TD!$B$33:$F$37,3,0)," ")</f>
        <v>4599</v>
      </c>
      <c r="R111" s="186">
        <f>IFERROR(VLOOKUP(C111,TD!$B$33:$F$37,4,0)," ")</f>
        <v>20240207</v>
      </c>
      <c r="S111" s="51" t="s">
        <v>193</v>
      </c>
      <c r="T111" s="186" t="str">
        <f>IFERROR(VLOOKUP(S111,TD!$J$34:$K$44,2,0)," ")</f>
        <v>Servicios para la planeación y sistemas de gestión y comunicación estratégica</v>
      </c>
      <c r="U111" s="187" t="str">
        <f>CONCATENATE(S111,"-",T111)</f>
        <v>13-Servicios para la planeación y sistemas de gestión y comunicación estratégica</v>
      </c>
      <c r="V111" s="51" t="s">
        <v>241</v>
      </c>
      <c r="W111" s="186" t="str">
        <f>IFERROR(VLOOKUP(V111,TD!$N$34:$O$46,2,0)," ")</f>
        <v>Servicio de Implementación Sistemas de Gestión</v>
      </c>
      <c r="X111" s="187" t="str">
        <f>CONCATENATE(V111,"_",W111)</f>
        <v>023_Servicio de Implementación Sistemas de Gestión</v>
      </c>
      <c r="Y111" s="187" t="str">
        <f>CONCATENATE(U111," ",X111)</f>
        <v>13-Servicios para la planeación y sistemas de gestión y comunicación estratégica 023_Servicio de Implementación Sistemas de Gestión</v>
      </c>
      <c r="Z111" s="186" t="str">
        <f>CONCATENATE(P111,Q111,R111,S111,V111)</f>
        <v>O23011745992024020713023</v>
      </c>
      <c r="AA111" s="186" t="str">
        <f>IFERROR(VLOOKUP(Y111,TD!$K$47:$L$65,2,0)," ")</f>
        <v>PM/0131/0113/45990230207</v>
      </c>
      <c r="AB111" s="53" t="s">
        <v>138</v>
      </c>
      <c r="AC111" s="188" t="s">
        <v>204</v>
      </c>
    </row>
    <row r="112" spans="2:29" s="28" customFormat="1" ht="56" x14ac:dyDescent="0.35">
      <c r="B112" s="77">
        <v>20250062</v>
      </c>
      <c r="C112" s="50" t="s">
        <v>208</v>
      </c>
      <c r="D112" s="184" t="s">
        <v>36</v>
      </c>
      <c r="E112" s="51" t="s">
        <v>378</v>
      </c>
      <c r="F112" s="184" t="s">
        <v>478</v>
      </c>
      <c r="G112" s="184" t="s">
        <v>155</v>
      </c>
      <c r="H112" s="93">
        <v>80111600</v>
      </c>
      <c r="I112" s="185">
        <v>2</v>
      </c>
      <c r="J112" s="185">
        <v>11</v>
      </c>
      <c r="K112" s="52">
        <v>0</v>
      </c>
      <c r="L112" s="53">
        <v>93500000</v>
      </c>
      <c r="M112" s="184" t="s">
        <v>464</v>
      </c>
      <c r="N112" s="53" t="s">
        <v>113</v>
      </c>
      <c r="O112" s="51" t="s">
        <v>211</v>
      </c>
      <c r="P112" s="186" t="str">
        <f>IFERROR(VLOOKUP(C112,TD!$B$33:$F$37,2,0)," ")</f>
        <v>O230117</v>
      </c>
      <c r="Q112" s="186" t="str">
        <f>IFERROR(VLOOKUP(C112,TD!$B$33:$F$37,3,0)," ")</f>
        <v>4599</v>
      </c>
      <c r="R112" s="186">
        <f>IFERROR(VLOOKUP(C112,TD!$B$33:$F$37,4,0)," ")</f>
        <v>20240207</v>
      </c>
      <c r="S112" s="51" t="s">
        <v>193</v>
      </c>
      <c r="T112" s="186" t="str">
        <f>IFERROR(VLOOKUP(S112,TD!$J$34:$K$44,2,0)," ")</f>
        <v>Servicios para la planeación y sistemas de gestión y comunicación estratégica</v>
      </c>
      <c r="U112" s="187" t="str">
        <f>CONCATENATE(S112,"-",T112)</f>
        <v>13-Servicios para la planeación y sistemas de gestión y comunicación estratégica</v>
      </c>
      <c r="V112" s="51" t="s">
        <v>241</v>
      </c>
      <c r="W112" s="186" t="str">
        <f>IFERROR(VLOOKUP(V112,TD!$N$34:$O$46,2,0)," ")</f>
        <v>Servicio de Implementación Sistemas de Gestión</v>
      </c>
      <c r="X112" s="187" t="str">
        <f>CONCATENATE(V112,"_",W112)</f>
        <v>023_Servicio de Implementación Sistemas de Gestión</v>
      </c>
      <c r="Y112" s="187" t="str">
        <f>CONCATENATE(U112," ",X112)</f>
        <v>13-Servicios para la planeación y sistemas de gestión y comunicación estratégica 023_Servicio de Implementación Sistemas de Gestión</v>
      </c>
      <c r="Z112" s="186" t="str">
        <f>CONCATENATE(P112,Q112,R112,S112,V112)</f>
        <v>O23011745992024020713023</v>
      </c>
      <c r="AA112" s="186" t="str">
        <f>IFERROR(VLOOKUP(Y112,TD!$K$47:$L$65,2,0)," ")</f>
        <v>PM/0131/0113/45990230207</v>
      </c>
      <c r="AB112" s="53" t="s">
        <v>138</v>
      </c>
      <c r="AC112" s="188" t="s">
        <v>204</v>
      </c>
    </row>
    <row r="113" spans="2:29" s="28" customFormat="1" ht="56" x14ac:dyDescent="0.35">
      <c r="B113" s="77">
        <v>20250063</v>
      </c>
      <c r="C113" s="50" t="s">
        <v>208</v>
      </c>
      <c r="D113" s="184" t="s">
        <v>36</v>
      </c>
      <c r="E113" s="51" t="s">
        <v>378</v>
      </c>
      <c r="F113" s="184" t="s">
        <v>445</v>
      </c>
      <c r="G113" s="184" t="s">
        <v>156</v>
      </c>
      <c r="H113" s="93">
        <v>80111600</v>
      </c>
      <c r="I113" s="185">
        <v>2</v>
      </c>
      <c r="J113" s="185">
        <v>9</v>
      </c>
      <c r="K113" s="52">
        <v>0</v>
      </c>
      <c r="L113" s="53">
        <v>40417344</v>
      </c>
      <c r="M113" s="184" t="s">
        <v>464</v>
      </c>
      <c r="N113" s="53" t="s">
        <v>113</v>
      </c>
      <c r="O113" s="51" t="s">
        <v>211</v>
      </c>
      <c r="P113" s="186" t="str">
        <f>IFERROR(VLOOKUP(C113,TD!$B$33:$F$37,2,0)," ")</f>
        <v>O230117</v>
      </c>
      <c r="Q113" s="186" t="str">
        <f>IFERROR(VLOOKUP(C113,TD!$B$33:$F$37,3,0)," ")</f>
        <v>4599</v>
      </c>
      <c r="R113" s="186">
        <f>IFERROR(VLOOKUP(C113,TD!$B$33:$F$37,4,0)," ")</f>
        <v>20240207</v>
      </c>
      <c r="S113" s="51" t="s">
        <v>193</v>
      </c>
      <c r="T113" s="186" t="str">
        <f>IFERROR(VLOOKUP(S113,TD!$J$34:$K$44,2,0)," ")</f>
        <v>Servicios para la planeación y sistemas de gestión y comunicación estratégica</v>
      </c>
      <c r="U113" s="187" t="str">
        <f>CONCATENATE(S113,"-",T113)</f>
        <v>13-Servicios para la planeación y sistemas de gestión y comunicación estratégica</v>
      </c>
      <c r="V113" s="51" t="s">
        <v>241</v>
      </c>
      <c r="W113" s="186" t="str">
        <f>IFERROR(VLOOKUP(V113,TD!$N$34:$O$46,2,0)," ")</f>
        <v>Servicio de Implementación Sistemas de Gestión</v>
      </c>
      <c r="X113" s="187" t="str">
        <f>CONCATENATE(V113,"_",W113)</f>
        <v>023_Servicio de Implementación Sistemas de Gestión</v>
      </c>
      <c r="Y113" s="187" t="str">
        <f>CONCATENATE(U113," ",X113)</f>
        <v>13-Servicios para la planeación y sistemas de gestión y comunicación estratégica 023_Servicio de Implementación Sistemas de Gestión</v>
      </c>
      <c r="Z113" s="186" t="str">
        <f>CONCATENATE(P113,Q113,R113,S113,V113)</f>
        <v>O23011745992024020713023</v>
      </c>
      <c r="AA113" s="186" t="str">
        <f>IFERROR(VLOOKUP(Y113,TD!$K$47:$L$65,2,0)," ")</f>
        <v>PM/0131/0113/45990230207</v>
      </c>
      <c r="AB113" s="53" t="s">
        <v>138</v>
      </c>
      <c r="AC113" s="188" t="s">
        <v>204</v>
      </c>
    </row>
    <row r="114" spans="2:29" s="28" customFormat="1" ht="56" x14ac:dyDescent="0.35">
      <c r="B114" s="77">
        <v>20250064</v>
      </c>
      <c r="C114" s="50" t="s">
        <v>208</v>
      </c>
      <c r="D114" s="184" t="s">
        <v>36</v>
      </c>
      <c r="E114" s="51" t="s">
        <v>378</v>
      </c>
      <c r="F114" s="184" t="s">
        <v>479</v>
      </c>
      <c r="G114" s="184" t="s">
        <v>155</v>
      </c>
      <c r="H114" s="93">
        <v>80111600</v>
      </c>
      <c r="I114" s="185">
        <v>3</v>
      </c>
      <c r="J114" s="185">
        <v>10</v>
      </c>
      <c r="K114" s="52">
        <v>0</v>
      </c>
      <c r="L114" s="53">
        <v>65000000</v>
      </c>
      <c r="M114" s="184" t="s">
        <v>464</v>
      </c>
      <c r="N114" s="53" t="s">
        <v>113</v>
      </c>
      <c r="O114" s="51" t="s">
        <v>211</v>
      </c>
      <c r="P114" s="186" t="str">
        <f>IFERROR(VLOOKUP(C114,TD!$B$33:$F$37,2,0)," ")</f>
        <v>O230117</v>
      </c>
      <c r="Q114" s="186" t="str">
        <f>IFERROR(VLOOKUP(C114,TD!$B$33:$F$37,3,0)," ")</f>
        <v>4599</v>
      </c>
      <c r="R114" s="186">
        <f>IFERROR(VLOOKUP(C114,TD!$B$33:$F$37,4,0)," ")</f>
        <v>20240207</v>
      </c>
      <c r="S114" s="51" t="s">
        <v>193</v>
      </c>
      <c r="T114" s="186" t="str">
        <f>IFERROR(VLOOKUP(S114,TD!$J$34:$K$44,2,0)," ")</f>
        <v>Servicios para la planeación y sistemas de gestión y comunicación estratégica</v>
      </c>
      <c r="U114" s="187" t="str">
        <f>CONCATENATE(S114,"-",T114)</f>
        <v>13-Servicios para la planeación y sistemas de gestión y comunicación estratégica</v>
      </c>
      <c r="V114" s="51" t="s">
        <v>241</v>
      </c>
      <c r="W114" s="186" t="str">
        <f>IFERROR(VLOOKUP(V114,TD!$N$34:$O$46,2,0)," ")</f>
        <v>Servicio de Implementación Sistemas de Gestión</v>
      </c>
      <c r="X114" s="187" t="str">
        <f>CONCATENATE(V114,"_",W114)</f>
        <v>023_Servicio de Implementación Sistemas de Gestión</v>
      </c>
      <c r="Y114" s="187" t="str">
        <f>CONCATENATE(U114," ",X114)</f>
        <v>13-Servicios para la planeación y sistemas de gestión y comunicación estratégica 023_Servicio de Implementación Sistemas de Gestión</v>
      </c>
      <c r="Z114" s="186" t="str">
        <f>CONCATENATE(P114,Q114,R114,S114,V114)</f>
        <v>O23011745992024020713023</v>
      </c>
      <c r="AA114" s="186" t="str">
        <f>IFERROR(VLOOKUP(Y114,TD!$K$47:$L$65,2,0)," ")</f>
        <v>PM/0131/0113/45990230207</v>
      </c>
      <c r="AB114" s="53" t="s">
        <v>138</v>
      </c>
      <c r="AC114" s="188" t="s">
        <v>204</v>
      </c>
    </row>
    <row r="115" spans="2:29" s="28" customFormat="1" ht="56" x14ac:dyDescent="0.35">
      <c r="B115" s="77">
        <v>20250065</v>
      </c>
      <c r="C115" s="50" t="s">
        <v>208</v>
      </c>
      <c r="D115" s="184" t="s">
        <v>36</v>
      </c>
      <c r="E115" s="51" t="s">
        <v>378</v>
      </c>
      <c r="F115" s="184" t="s">
        <v>480</v>
      </c>
      <c r="G115" s="184" t="s">
        <v>155</v>
      </c>
      <c r="H115" s="93">
        <v>80111600</v>
      </c>
      <c r="I115" s="185">
        <v>3</v>
      </c>
      <c r="J115" s="185">
        <v>6</v>
      </c>
      <c r="K115" s="52">
        <v>0</v>
      </c>
      <c r="L115" s="53">
        <v>35000000</v>
      </c>
      <c r="M115" s="184" t="s">
        <v>464</v>
      </c>
      <c r="N115" s="53" t="s">
        <v>113</v>
      </c>
      <c r="O115" s="51" t="s">
        <v>211</v>
      </c>
      <c r="P115" s="186" t="str">
        <f>IFERROR(VLOOKUP(C115,TD!$B$33:$F$37,2,0)," ")</f>
        <v>O230117</v>
      </c>
      <c r="Q115" s="186" t="str">
        <f>IFERROR(VLOOKUP(C115,TD!$B$33:$F$37,3,0)," ")</f>
        <v>4599</v>
      </c>
      <c r="R115" s="186">
        <f>IFERROR(VLOOKUP(C115,TD!$B$33:$F$37,4,0)," ")</f>
        <v>20240207</v>
      </c>
      <c r="S115" s="51" t="s">
        <v>193</v>
      </c>
      <c r="T115" s="186" t="str">
        <f>IFERROR(VLOOKUP(S115,TD!$J$34:$K$44,2,0)," ")</f>
        <v>Servicios para la planeación y sistemas de gestión y comunicación estratégica</v>
      </c>
      <c r="U115" s="187" t="str">
        <f>CONCATENATE(S115,"-",T115)</f>
        <v>13-Servicios para la planeación y sistemas de gestión y comunicación estratégica</v>
      </c>
      <c r="V115" s="51" t="s">
        <v>241</v>
      </c>
      <c r="W115" s="186" t="str">
        <f>IFERROR(VLOOKUP(V115,TD!$N$34:$O$46,2,0)," ")</f>
        <v>Servicio de Implementación Sistemas de Gestión</v>
      </c>
      <c r="X115" s="187" t="str">
        <f>CONCATENATE(V115,"_",W115)</f>
        <v>023_Servicio de Implementación Sistemas de Gestión</v>
      </c>
      <c r="Y115" s="187" t="str">
        <f>CONCATENATE(U115," ",X115)</f>
        <v>13-Servicios para la planeación y sistemas de gestión y comunicación estratégica 023_Servicio de Implementación Sistemas de Gestión</v>
      </c>
      <c r="Z115" s="186" t="str">
        <f>CONCATENATE(P115,Q115,R115,S115,V115)</f>
        <v>O23011745992024020713023</v>
      </c>
      <c r="AA115" s="186" t="str">
        <f>IFERROR(VLOOKUP(Y115,TD!$K$47:$L$65,2,0)," ")</f>
        <v>PM/0131/0113/45990230207</v>
      </c>
      <c r="AB115" s="53" t="s">
        <v>138</v>
      </c>
      <c r="AC115" s="188" t="s">
        <v>204</v>
      </c>
    </row>
    <row r="116" spans="2:29" s="28" customFormat="1" ht="70" x14ac:dyDescent="0.35">
      <c r="B116" s="77">
        <v>20250067</v>
      </c>
      <c r="C116" s="50" t="s">
        <v>208</v>
      </c>
      <c r="D116" s="184" t="s">
        <v>45</v>
      </c>
      <c r="E116" s="51" t="s">
        <v>355</v>
      </c>
      <c r="F116" s="184" t="s">
        <v>357</v>
      </c>
      <c r="G116" s="184" t="s">
        <v>155</v>
      </c>
      <c r="H116" s="93">
        <v>80111600</v>
      </c>
      <c r="I116" s="185">
        <v>2</v>
      </c>
      <c r="J116" s="185">
        <v>11</v>
      </c>
      <c r="K116" s="52">
        <v>0</v>
      </c>
      <c r="L116" s="53">
        <v>57200000</v>
      </c>
      <c r="M116" s="184" t="s">
        <v>464</v>
      </c>
      <c r="N116" s="53" t="s">
        <v>113</v>
      </c>
      <c r="O116" s="51" t="s">
        <v>219</v>
      </c>
      <c r="P116" s="186" t="str">
        <f>IFERROR(VLOOKUP(C116,TD!$B$33:$F$37,2,0)," ")</f>
        <v>O230117</v>
      </c>
      <c r="Q116" s="186" t="str">
        <f>IFERROR(VLOOKUP(C116,TD!$B$33:$F$37,3,0)," ")</f>
        <v>4599</v>
      </c>
      <c r="R116" s="186">
        <f>IFERROR(VLOOKUP(C116,TD!$B$33:$F$37,4,0)," ")</f>
        <v>20240207</v>
      </c>
      <c r="S116" s="51" t="s">
        <v>185</v>
      </c>
      <c r="T116" s="186" t="str">
        <f>IFERROR(VLOOKUP(S116,TD!$J$34:$K$44,2,0)," ")</f>
        <v>Infraestructura física, mantenimiento y dotación (Sedes construidas, mantenidas reforzadas)</v>
      </c>
      <c r="U116" s="187" t="str">
        <f>CONCATENATE(S116,"-",T116)</f>
        <v>08-Infraestructura física, mantenimiento y dotación (Sedes construidas, mantenidas reforzadas)</v>
      </c>
      <c r="V116" s="51" t="s">
        <v>238</v>
      </c>
      <c r="W116" s="186" t="str">
        <f>IFERROR(VLOOKUP(V116,TD!$N$34:$O$46,2,0)," ")</f>
        <v>Sedes mantenidas</v>
      </c>
      <c r="X116" s="187" t="str">
        <f>CONCATENATE(V116,"_",W116)</f>
        <v>016_Sedes mantenidas</v>
      </c>
      <c r="Y116" s="187" t="str">
        <f>CONCATENATE(U116," ",X116)</f>
        <v>08-Infraestructura física, mantenimiento y dotación (Sedes construidas, mantenidas reforzadas) 016_Sedes mantenidas</v>
      </c>
      <c r="Z116" s="186" t="str">
        <f>CONCATENATE(P116,Q116,R116,S116,V116)</f>
        <v>O23011745992024020708016</v>
      </c>
      <c r="AA116" s="186" t="str">
        <f>IFERROR(VLOOKUP(Y116,TD!$K$47:$L$65,2,0)," ")</f>
        <v>PM/0131/0108/45990160207</v>
      </c>
      <c r="AB116" s="53" t="s">
        <v>120</v>
      </c>
      <c r="AC116" s="188" t="s">
        <v>204</v>
      </c>
    </row>
    <row r="117" spans="2:29" s="28" customFormat="1" ht="56" x14ac:dyDescent="0.35">
      <c r="B117" s="77">
        <v>20250068</v>
      </c>
      <c r="C117" s="50" t="s">
        <v>208</v>
      </c>
      <c r="D117" s="184" t="s">
        <v>45</v>
      </c>
      <c r="E117" s="51" t="s">
        <v>355</v>
      </c>
      <c r="F117" s="184" t="s">
        <v>1268</v>
      </c>
      <c r="G117" s="184" t="s">
        <v>155</v>
      </c>
      <c r="H117" s="93">
        <v>80111600</v>
      </c>
      <c r="I117" s="185">
        <v>10</v>
      </c>
      <c r="J117" s="185">
        <v>3</v>
      </c>
      <c r="K117" s="52">
        <v>0</v>
      </c>
      <c r="L117" s="53">
        <v>24000000</v>
      </c>
      <c r="M117" s="184" t="s">
        <v>464</v>
      </c>
      <c r="N117" s="53" t="s">
        <v>113</v>
      </c>
      <c r="O117" s="51" t="s">
        <v>219</v>
      </c>
      <c r="P117" s="186" t="str">
        <f>IFERROR(VLOOKUP(C117,TD!$B$33:$F$37,2,0)," ")</f>
        <v>O230117</v>
      </c>
      <c r="Q117" s="186" t="str">
        <f>IFERROR(VLOOKUP(C117,TD!$B$33:$F$37,3,0)," ")</f>
        <v>4599</v>
      </c>
      <c r="R117" s="186">
        <f>IFERROR(VLOOKUP(C117,TD!$B$33:$F$37,4,0)," ")</f>
        <v>20240207</v>
      </c>
      <c r="S117" s="51" t="s">
        <v>185</v>
      </c>
      <c r="T117" s="186" t="str">
        <f>IFERROR(VLOOKUP(S117,TD!$J$34:$K$44,2,0)," ")</f>
        <v>Infraestructura física, mantenimiento y dotación (Sedes construidas, mantenidas reforzadas)</v>
      </c>
      <c r="U117" s="187" t="str">
        <f>CONCATENATE(S117,"-",T117)</f>
        <v>08-Infraestructura física, mantenimiento y dotación (Sedes construidas, mantenidas reforzadas)</v>
      </c>
      <c r="V117" s="51" t="s">
        <v>238</v>
      </c>
      <c r="W117" s="186" t="str">
        <f>IFERROR(VLOOKUP(V117,TD!$N$34:$O$46,2,0)," ")</f>
        <v>Sedes mantenidas</v>
      </c>
      <c r="X117" s="187" t="str">
        <f>CONCATENATE(V117,"_",W117)</f>
        <v>016_Sedes mantenidas</v>
      </c>
      <c r="Y117" s="187" t="str">
        <f>CONCATENATE(U117," ",X117)</f>
        <v>08-Infraestructura física, mantenimiento y dotación (Sedes construidas, mantenidas reforzadas) 016_Sedes mantenidas</v>
      </c>
      <c r="Z117" s="186" t="str">
        <f>CONCATENATE(P117,Q117,R117,S117,V117)</f>
        <v>O23011745992024020708016</v>
      </c>
      <c r="AA117" s="186" t="str">
        <f>IFERROR(VLOOKUP(Y117,TD!$K$47:$L$65,2,0)," ")</f>
        <v>PM/0131/0108/45990160207</v>
      </c>
      <c r="AB117" s="53" t="s">
        <v>120</v>
      </c>
      <c r="AC117" s="188" t="s">
        <v>204</v>
      </c>
    </row>
    <row r="118" spans="2:29" s="28" customFormat="1" ht="56" x14ac:dyDescent="0.35">
      <c r="B118" s="77">
        <v>20250069</v>
      </c>
      <c r="C118" s="50" t="s">
        <v>208</v>
      </c>
      <c r="D118" s="184" t="s">
        <v>45</v>
      </c>
      <c r="E118" s="51" t="s">
        <v>355</v>
      </c>
      <c r="F118" s="184" t="s">
        <v>356</v>
      </c>
      <c r="G118" s="184" t="s">
        <v>155</v>
      </c>
      <c r="H118" s="93">
        <v>80111600</v>
      </c>
      <c r="I118" s="185">
        <v>2</v>
      </c>
      <c r="J118" s="185">
        <v>11</v>
      </c>
      <c r="K118" s="52">
        <v>0</v>
      </c>
      <c r="L118" s="53">
        <v>82500000</v>
      </c>
      <c r="M118" s="184" t="s">
        <v>464</v>
      </c>
      <c r="N118" s="53" t="s">
        <v>113</v>
      </c>
      <c r="O118" s="51" t="s">
        <v>219</v>
      </c>
      <c r="P118" s="186" t="str">
        <f>IFERROR(VLOOKUP(C118,TD!$B$33:$F$37,2,0)," ")</f>
        <v>O230117</v>
      </c>
      <c r="Q118" s="186" t="str">
        <f>IFERROR(VLOOKUP(C118,TD!$B$33:$F$37,3,0)," ")</f>
        <v>4599</v>
      </c>
      <c r="R118" s="186">
        <f>IFERROR(VLOOKUP(C118,TD!$B$33:$F$37,4,0)," ")</f>
        <v>20240207</v>
      </c>
      <c r="S118" s="51" t="s">
        <v>185</v>
      </c>
      <c r="T118" s="186" t="str">
        <f>IFERROR(VLOOKUP(S118,TD!$J$34:$K$44,2,0)," ")</f>
        <v>Infraestructura física, mantenimiento y dotación (Sedes construidas, mantenidas reforzadas)</v>
      </c>
      <c r="U118" s="187" t="str">
        <f>CONCATENATE(S118,"-",T118)</f>
        <v>08-Infraestructura física, mantenimiento y dotación (Sedes construidas, mantenidas reforzadas)</v>
      </c>
      <c r="V118" s="51" t="s">
        <v>238</v>
      </c>
      <c r="W118" s="186" t="str">
        <f>IFERROR(VLOOKUP(V118,TD!$N$34:$O$46,2,0)," ")</f>
        <v>Sedes mantenidas</v>
      </c>
      <c r="X118" s="187" t="str">
        <f>CONCATENATE(V118,"_",W118)</f>
        <v>016_Sedes mantenidas</v>
      </c>
      <c r="Y118" s="187" t="str">
        <f>CONCATENATE(U118," ",X118)</f>
        <v>08-Infraestructura física, mantenimiento y dotación (Sedes construidas, mantenidas reforzadas) 016_Sedes mantenidas</v>
      </c>
      <c r="Z118" s="186" t="str">
        <f>CONCATENATE(P118,Q118,R118,S118,V118)</f>
        <v>O23011745992024020708016</v>
      </c>
      <c r="AA118" s="186" t="str">
        <f>IFERROR(VLOOKUP(Y118,TD!$K$47:$L$65,2,0)," ")</f>
        <v>PM/0131/0108/45990160207</v>
      </c>
      <c r="AB118" s="53" t="s">
        <v>138</v>
      </c>
      <c r="AC118" s="188" t="s">
        <v>204</v>
      </c>
    </row>
    <row r="119" spans="2:29" s="28" customFormat="1" ht="56" x14ac:dyDescent="0.35">
      <c r="B119" s="77">
        <v>20250070</v>
      </c>
      <c r="C119" s="50" t="s">
        <v>208</v>
      </c>
      <c r="D119" s="184" t="s">
        <v>45</v>
      </c>
      <c r="E119" s="51" t="s">
        <v>355</v>
      </c>
      <c r="F119" s="184" t="s">
        <v>481</v>
      </c>
      <c r="G119" s="184" t="s">
        <v>155</v>
      </c>
      <c r="H119" s="93">
        <v>80111600</v>
      </c>
      <c r="I119" s="185">
        <v>2</v>
      </c>
      <c r="J119" s="185">
        <v>11</v>
      </c>
      <c r="K119" s="52">
        <v>0</v>
      </c>
      <c r="L119" s="53">
        <v>107800000</v>
      </c>
      <c r="M119" s="184" t="s">
        <v>464</v>
      </c>
      <c r="N119" s="53" t="s">
        <v>113</v>
      </c>
      <c r="O119" s="51" t="s">
        <v>219</v>
      </c>
      <c r="P119" s="186" t="str">
        <f>IFERROR(VLOOKUP(C119,TD!$B$33:$F$37,2,0)," ")</f>
        <v>O230117</v>
      </c>
      <c r="Q119" s="186" t="str">
        <f>IFERROR(VLOOKUP(C119,TD!$B$33:$F$37,3,0)," ")</f>
        <v>4599</v>
      </c>
      <c r="R119" s="186">
        <f>IFERROR(VLOOKUP(C119,TD!$B$33:$F$37,4,0)," ")</f>
        <v>20240207</v>
      </c>
      <c r="S119" s="51" t="s">
        <v>185</v>
      </c>
      <c r="T119" s="186" t="str">
        <f>IFERROR(VLOOKUP(S119,TD!$J$34:$K$44,2,0)," ")</f>
        <v>Infraestructura física, mantenimiento y dotación (Sedes construidas, mantenidas reforzadas)</v>
      </c>
      <c r="U119" s="187" t="str">
        <f>CONCATENATE(S119,"-",T119)</f>
        <v>08-Infraestructura física, mantenimiento y dotación (Sedes construidas, mantenidas reforzadas)</v>
      </c>
      <c r="V119" s="51" t="s">
        <v>238</v>
      </c>
      <c r="W119" s="186" t="str">
        <f>IFERROR(VLOOKUP(V119,TD!$N$34:$O$46,2,0)," ")</f>
        <v>Sedes mantenidas</v>
      </c>
      <c r="X119" s="187" t="str">
        <f>CONCATENATE(V119,"_",W119)</f>
        <v>016_Sedes mantenidas</v>
      </c>
      <c r="Y119" s="187" t="str">
        <f>CONCATENATE(U119," ",X119)</f>
        <v>08-Infraestructura física, mantenimiento y dotación (Sedes construidas, mantenidas reforzadas) 016_Sedes mantenidas</v>
      </c>
      <c r="Z119" s="186" t="str">
        <f>CONCATENATE(P119,Q119,R119,S119,V119)</f>
        <v>O23011745992024020708016</v>
      </c>
      <c r="AA119" s="186" t="str">
        <f>IFERROR(VLOOKUP(Y119,TD!$K$47:$L$65,2,0)," ")</f>
        <v>PM/0131/0108/45990160207</v>
      </c>
      <c r="AB119" s="53" t="s">
        <v>138</v>
      </c>
      <c r="AC119" s="188" t="s">
        <v>204</v>
      </c>
    </row>
    <row r="120" spans="2:29" s="28" customFormat="1" ht="70" x14ac:dyDescent="0.35">
      <c r="B120" s="77">
        <v>20250071</v>
      </c>
      <c r="C120" s="50" t="s">
        <v>208</v>
      </c>
      <c r="D120" s="184" t="s">
        <v>45</v>
      </c>
      <c r="E120" s="51" t="s">
        <v>355</v>
      </c>
      <c r="F120" s="184" t="s">
        <v>482</v>
      </c>
      <c r="G120" s="184" t="s">
        <v>155</v>
      </c>
      <c r="H120" s="93">
        <v>80111600</v>
      </c>
      <c r="I120" s="185">
        <v>2</v>
      </c>
      <c r="J120" s="185">
        <v>11</v>
      </c>
      <c r="K120" s="52">
        <v>0</v>
      </c>
      <c r="L120" s="53">
        <v>110000000</v>
      </c>
      <c r="M120" s="184" t="s">
        <v>464</v>
      </c>
      <c r="N120" s="53" t="s">
        <v>113</v>
      </c>
      <c r="O120" s="51" t="s">
        <v>219</v>
      </c>
      <c r="P120" s="186" t="str">
        <f>IFERROR(VLOOKUP(C120,TD!$B$33:$F$37,2,0)," ")</f>
        <v>O230117</v>
      </c>
      <c r="Q120" s="186" t="str">
        <f>IFERROR(VLOOKUP(C120,TD!$B$33:$F$37,3,0)," ")</f>
        <v>4599</v>
      </c>
      <c r="R120" s="186">
        <f>IFERROR(VLOOKUP(C120,TD!$B$33:$F$37,4,0)," ")</f>
        <v>20240207</v>
      </c>
      <c r="S120" s="51" t="s">
        <v>185</v>
      </c>
      <c r="T120" s="186" t="str">
        <f>IFERROR(VLOOKUP(S120,TD!$J$34:$K$44,2,0)," ")</f>
        <v>Infraestructura física, mantenimiento y dotación (Sedes construidas, mantenidas reforzadas)</v>
      </c>
      <c r="U120" s="187" t="str">
        <f>CONCATENATE(S120,"-",T120)</f>
        <v>08-Infraestructura física, mantenimiento y dotación (Sedes construidas, mantenidas reforzadas)</v>
      </c>
      <c r="V120" s="51" t="s">
        <v>238</v>
      </c>
      <c r="W120" s="186" t="str">
        <f>IFERROR(VLOOKUP(V120,TD!$N$34:$O$46,2,0)," ")</f>
        <v>Sedes mantenidas</v>
      </c>
      <c r="X120" s="187" t="str">
        <f>CONCATENATE(V120,"_",W120)</f>
        <v>016_Sedes mantenidas</v>
      </c>
      <c r="Y120" s="187" t="str">
        <f>CONCATENATE(U120," ",X120)</f>
        <v>08-Infraestructura física, mantenimiento y dotación (Sedes construidas, mantenidas reforzadas) 016_Sedes mantenidas</v>
      </c>
      <c r="Z120" s="186" t="str">
        <f>CONCATENATE(P120,Q120,R120,S120,V120)</f>
        <v>O23011745992024020708016</v>
      </c>
      <c r="AA120" s="186" t="str">
        <f>IFERROR(VLOOKUP(Y120,TD!$K$47:$L$65,2,0)," ")</f>
        <v>PM/0131/0108/45990160207</v>
      </c>
      <c r="AB120" s="53" t="s">
        <v>120</v>
      </c>
      <c r="AC120" s="188" t="s">
        <v>204</v>
      </c>
    </row>
    <row r="121" spans="2:29" s="28" customFormat="1" ht="56" x14ac:dyDescent="0.35">
      <c r="B121" s="77">
        <v>20250072</v>
      </c>
      <c r="C121" s="50" t="s">
        <v>208</v>
      </c>
      <c r="D121" s="184" t="s">
        <v>45</v>
      </c>
      <c r="E121" s="51" t="s">
        <v>355</v>
      </c>
      <c r="F121" s="184" t="s">
        <v>358</v>
      </c>
      <c r="G121" s="184" t="s">
        <v>155</v>
      </c>
      <c r="H121" s="93">
        <v>80111600</v>
      </c>
      <c r="I121" s="185">
        <v>2</v>
      </c>
      <c r="J121" s="185">
        <v>11</v>
      </c>
      <c r="K121" s="52">
        <v>0</v>
      </c>
      <c r="L121" s="53">
        <v>57200000</v>
      </c>
      <c r="M121" s="184" t="s">
        <v>464</v>
      </c>
      <c r="N121" s="53" t="s">
        <v>113</v>
      </c>
      <c r="O121" s="51" t="s">
        <v>219</v>
      </c>
      <c r="P121" s="186" t="str">
        <f>IFERROR(VLOOKUP(C121,TD!$B$33:$F$37,2,0)," ")</f>
        <v>O230117</v>
      </c>
      <c r="Q121" s="186" t="str">
        <f>IFERROR(VLOOKUP(C121,TD!$B$33:$F$37,3,0)," ")</f>
        <v>4599</v>
      </c>
      <c r="R121" s="186">
        <f>IFERROR(VLOOKUP(C121,TD!$B$33:$F$37,4,0)," ")</f>
        <v>20240207</v>
      </c>
      <c r="S121" s="51" t="s">
        <v>185</v>
      </c>
      <c r="T121" s="186" t="str">
        <f>IFERROR(VLOOKUP(S121,TD!$J$34:$K$44,2,0)," ")</f>
        <v>Infraestructura física, mantenimiento y dotación (Sedes construidas, mantenidas reforzadas)</v>
      </c>
      <c r="U121" s="187" t="str">
        <f>CONCATENATE(S121,"-",T121)</f>
        <v>08-Infraestructura física, mantenimiento y dotación (Sedes construidas, mantenidas reforzadas)</v>
      </c>
      <c r="V121" s="51" t="s">
        <v>238</v>
      </c>
      <c r="W121" s="186" t="str">
        <f>IFERROR(VLOOKUP(V121,TD!$N$34:$O$46,2,0)," ")</f>
        <v>Sedes mantenidas</v>
      </c>
      <c r="X121" s="187" t="str">
        <f>CONCATENATE(V121,"_",W121)</f>
        <v>016_Sedes mantenidas</v>
      </c>
      <c r="Y121" s="187" t="str">
        <f>CONCATENATE(U121," ",X121)</f>
        <v>08-Infraestructura física, mantenimiento y dotación (Sedes construidas, mantenidas reforzadas) 016_Sedes mantenidas</v>
      </c>
      <c r="Z121" s="186" t="str">
        <f>CONCATENATE(P121,Q121,R121,S121,V121)</f>
        <v>O23011745992024020708016</v>
      </c>
      <c r="AA121" s="186" t="str">
        <f>IFERROR(VLOOKUP(Y121,TD!$K$47:$L$65,2,0)," ")</f>
        <v>PM/0131/0108/45990160207</v>
      </c>
      <c r="AB121" s="53" t="s">
        <v>138</v>
      </c>
      <c r="AC121" s="188" t="s">
        <v>204</v>
      </c>
    </row>
    <row r="122" spans="2:29" s="28" customFormat="1" ht="56" x14ac:dyDescent="0.35">
      <c r="B122" s="77">
        <v>20250073</v>
      </c>
      <c r="C122" s="50" t="s">
        <v>208</v>
      </c>
      <c r="D122" s="184" t="s">
        <v>45</v>
      </c>
      <c r="E122" s="51" t="s">
        <v>355</v>
      </c>
      <c r="F122" s="184" t="s">
        <v>359</v>
      </c>
      <c r="G122" s="184" t="s">
        <v>156</v>
      </c>
      <c r="H122" s="93">
        <v>80111600</v>
      </c>
      <c r="I122" s="185">
        <v>2</v>
      </c>
      <c r="J122" s="185">
        <v>11</v>
      </c>
      <c r="K122" s="52">
        <v>0</v>
      </c>
      <c r="L122" s="53">
        <v>48400000</v>
      </c>
      <c r="M122" s="184" t="s">
        <v>464</v>
      </c>
      <c r="N122" s="53" t="s">
        <v>113</v>
      </c>
      <c r="O122" s="51" t="s">
        <v>219</v>
      </c>
      <c r="P122" s="186" t="str">
        <f>IFERROR(VLOOKUP(C122,TD!$B$33:$F$37,2,0)," ")</f>
        <v>O230117</v>
      </c>
      <c r="Q122" s="186" t="str">
        <f>IFERROR(VLOOKUP(C122,TD!$B$33:$F$37,3,0)," ")</f>
        <v>4599</v>
      </c>
      <c r="R122" s="186">
        <f>IFERROR(VLOOKUP(C122,TD!$B$33:$F$37,4,0)," ")</f>
        <v>20240207</v>
      </c>
      <c r="S122" s="51" t="s">
        <v>185</v>
      </c>
      <c r="T122" s="186" t="str">
        <f>IFERROR(VLOOKUP(S122,TD!$J$34:$K$44,2,0)," ")</f>
        <v>Infraestructura física, mantenimiento y dotación (Sedes construidas, mantenidas reforzadas)</v>
      </c>
      <c r="U122" s="187" t="str">
        <f>CONCATENATE(S122,"-",T122)</f>
        <v>08-Infraestructura física, mantenimiento y dotación (Sedes construidas, mantenidas reforzadas)</v>
      </c>
      <c r="V122" s="51" t="s">
        <v>238</v>
      </c>
      <c r="W122" s="186" t="str">
        <f>IFERROR(VLOOKUP(V122,TD!$N$34:$O$46,2,0)," ")</f>
        <v>Sedes mantenidas</v>
      </c>
      <c r="X122" s="187" t="str">
        <f>CONCATENATE(V122,"_",W122)</f>
        <v>016_Sedes mantenidas</v>
      </c>
      <c r="Y122" s="187" t="str">
        <f>CONCATENATE(U122," ",X122)</f>
        <v>08-Infraestructura física, mantenimiento y dotación (Sedes construidas, mantenidas reforzadas) 016_Sedes mantenidas</v>
      </c>
      <c r="Z122" s="186" t="str">
        <f>CONCATENATE(P122,Q122,R122,S122,V122)</f>
        <v>O23011745992024020708016</v>
      </c>
      <c r="AA122" s="186" t="str">
        <f>IFERROR(VLOOKUP(Y122,TD!$K$47:$L$65,2,0)," ")</f>
        <v>PM/0131/0108/45990160207</v>
      </c>
      <c r="AB122" s="53" t="s">
        <v>138</v>
      </c>
      <c r="AC122" s="188" t="s">
        <v>204</v>
      </c>
    </row>
    <row r="123" spans="2:29" s="28" customFormat="1" ht="56" x14ac:dyDescent="0.35">
      <c r="B123" s="77">
        <v>20250074</v>
      </c>
      <c r="C123" s="50" t="s">
        <v>208</v>
      </c>
      <c r="D123" s="184" t="s">
        <v>45</v>
      </c>
      <c r="E123" s="51" t="s">
        <v>355</v>
      </c>
      <c r="F123" s="184" t="s">
        <v>483</v>
      </c>
      <c r="G123" s="184" t="s">
        <v>155</v>
      </c>
      <c r="H123" s="93">
        <v>80111600</v>
      </c>
      <c r="I123" s="185">
        <v>2</v>
      </c>
      <c r="J123" s="185">
        <v>6</v>
      </c>
      <c r="K123" s="52">
        <v>0</v>
      </c>
      <c r="L123" s="53">
        <f>98000000-39200000</f>
        <v>58800000</v>
      </c>
      <c r="M123" s="184" t="s">
        <v>464</v>
      </c>
      <c r="N123" s="53" t="s">
        <v>113</v>
      </c>
      <c r="O123" s="51" t="s">
        <v>219</v>
      </c>
      <c r="P123" s="186" t="str">
        <f>IFERROR(VLOOKUP(C123,TD!$B$33:$F$37,2,0)," ")</f>
        <v>O230117</v>
      </c>
      <c r="Q123" s="186" t="str">
        <f>IFERROR(VLOOKUP(C123,TD!$B$33:$F$37,3,0)," ")</f>
        <v>4599</v>
      </c>
      <c r="R123" s="186">
        <f>IFERROR(VLOOKUP(C123,TD!$B$33:$F$37,4,0)," ")</f>
        <v>20240207</v>
      </c>
      <c r="S123" s="51" t="s">
        <v>185</v>
      </c>
      <c r="T123" s="186" t="str">
        <f>IFERROR(VLOOKUP(S123,TD!$J$34:$K$44,2,0)," ")</f>
        <v>Infraestructura física, mantenimiento y dotación (Sedes construidas, mantenidas reforzadas)</v>
      </c>
      <c r="U123" s="187" t="str">
        <f>CONCATENATE(S123,"-",T123)</f>
        <v>08-Infraestructura física, mantenimiento y dotación (Sedes construidas, mantenidas reforzadas)</v>
      </c>
      <c r="V123" s="51" t="s">
        <v>238</v>
      </c>
      <c r="W123" s="186" t="str">
        <f>IFERROR(VLOOKUP(V123,TD!$N$34:$O$46,2,0)," ")</f>
        <v>Sedes mantenidas</v>
      </c>
      <c r="X123" s="187" t="str">
        <f>CONCATENATE(V123,"_",W123)</f>
        <v>016_Sedes mantenidas</v>
      </c>
      <c r="Y123" s="187" t="str">
        <f>CONCATENATE(U123," ",X123)</f>
        <v>08-Infraestructura física, mantenimiento y dotación (Sedes construidas, mantenidas reforzadas) 016_Sedes mantenidas</v>
      </c>
      <c r="Z123" s="186" t="str">
        <f>CONCATENATE(P123,Q123,R123,S123,V123)</f>
        <v>O23011745992024020708016</v>
      </c>
      <c r="AA123" s="186" t="str">
        <f>IFERROR(VLOOKUP(Y123,TD!$K$47:$L$65,2,0)," ")</f>
        <v>PM/0131/0108/45990160207</v>
      </c>
      <c r="AB123" s="53" t="s">
        <v>138</v>
      </c>
      <c r="AC123" s="188" t="s">
        <v>204</v>
      </c>
    </row>
    <row r="124" spans="2:29" s="28" customFormat="1" ht="56" x14ac:dyDescent="0.35">
      <c r="B124" s="77">
        <v>20250075</v>
      </c>
      <c r="C124" s="50" t="s">
        <v>208</v>
      </c>
      <c r="D124" s="184" t="s">
        <v>45</v>
      </c>
      <c r="E124" s="51" t="s">
        <v>355</v>
      </c>
      <c r="F124" s="184" t="s">
        <v>430</v>
      </c>
      <c r="G124" s="184" t="s">
        <v>155</v>
      </c>
      <c r="H124" s="93">
        <v>80111600</v>
      </c>
      <c r="I124" s="185">
        <v>2</v>
      </c>
      <c r="J124" s="185">
        <v>6</v>
      </c>
      <c r="K124" s="52">
        <v>0</v>
      </c>
      <c r="L124" s="53">
        <f>98000000-39200000</f>
        <v>58800000</v>
      </c>
      <c r="M124" s="184" t="s">
        <v>464</v>
      </c>
      <c r="N124" s="53" t="s">
        <v>113</v>
      </c>
      <c r="O124" s="51" t="s">
        <v>219</v>
      </c>
      <c r="P124" s="186" t="str">
        <f>IFERROR(VLOOKUP(C124,TD!$B$33:$F$37,2,0)," ")</f>
        <v>O230117</v>
      </c>
      <c r="Q124" s="186" t="str">
        <f>IFERROR(VLOOKUP(C124,TD!$B$33:$F$37,3,0)," ")</f>
        <v>4599</v>
      </c>
      <c r="R124" s="186">
        <f>IFERROR(VLOOKUP(C124,TD!$B$33:$F$37,4,0)," ")</f>
        <v>20240207</v>
      </c>
      <c r="S124" s="51" t="s">
        <v>185</v>
      </c>
      <c r="T124" s="186" t="str">
        <f>IFERROR(VLOOKUP(S124,TD!$J$34:$K$44,2,0)," ")</f>
        <v>Infraestructura física, mantenimiento y dotación (Sedes construidas, mantenidas reforzadas)</v>
      </c>
      <c r="U124" s="187" t="str">
        <f>CONCATENATE(S124,"-",T124)</f>
        <v>08-Infraestructura física, mantenimiento y dotación (Sedes construidas, mantenidas reforzadas)</v>
      </c>
      <c r="V124" s="51" t="s">
        <v>238</v>
      </c>
      <c r="W124" s="186" t="str">
        <f>IFERROR(VLOOKUP(V124,TD!$N$34:$O$46,2,0)," ")</f>
        <v>Sedes mantenidas</v>
      </c>
      <c r="X124" s="187" t="str">
        <f>CONCATENATE(V124,"_",W124)</f>
        <v>016_Sedes mantenidas</v>
      </c>
      <c r="Y124" s="187" t="str">
        <f>CONCATENATE(U124," ",X124)</f>
        <v>08-Infraestructura física, mantenimiento y dotación (Sedes construidas, mantenidas reforzadas) 016_Sedes mantenidas</v>
      </c>
      <c r="Z124" s="186" t="str">
        <f>CONCATENATE(P124,Q124,R124,S124,V124)</f>
        <v>O23011745992024020708016</v>
      </c>
      <c r="AA124" s="186" t="str">
        <f>IFERROR(VLOOKUP(Y124,TD!$K$47:$L$65,2,0)," ")</f>
        <v>PM/0131/0108/45990160207</v>
      </c>
      <c r="AB124" s="53" t="s">
        <v>138</v>
      </c>
      <c r="AC124" s="188" t="s">
        <v>204</v>
      </c>
    </row>
    <row r="125" spans="2:29" s="28" customFormat="1" ht="56" x14ac:dyDescent="0.35">
      <c r="B125" s="77">
        <v>20250076</v>
      </c>
      <c r="C125" s="50" t="s">
        <v>208</v>
      </c>
      <c r="D125" s="184" t="s">
        <v>161</v>
      </c>
      <c r="E125" s="51" t="s">
        <v>355</v>
      </c>
      <c r="F125" s="184" t="s">
        <v>360</v>
      </c>
      <c r="G125" s="184" t="s">
        <v>155</v>
      </c>
      <c r="H125" s="93">
        <v>80111600</v>
      </c>
      <c r="I125" s="185">
        <v>2</v>
      </c>
      <c r="J125" s="185">
        <v>11</v>
      </c>
      <c r="K125" s="52">
        <v>0</v>
      </c>
      <c r="L125" s="53">
        <v>115500000</v>
      </c>
      <c r="M125" s="184" t="s">
        <v>464</v>
      </c>
      <c r="N125" s="53" t="s">
        <v>113</v>
      </c>
      <c r="O125" s="51" t="s">
        <v>220</v>
      </c>
      <c r="P125" s="186" t="str">
        <f>IFERROR(VLOOKUP(C125,TD!$B$33:$F$37,2,0)," ")</f>
        <v>O230117</v>
      </c>
      <c r="Q125" s="186" t="str">
        <f>IFERROR(VLOOKUP(C125,TD!$B$33:$F$37,3,0)," ")</f>
        <v>4599</v>
      </c>
      <c r="R125" s="186">
        <f>IFERROR(VLOOKUP(C125,TD!$B$33:$F$37,4,0)," ")</f>
        <v>20240207</v>
      </c>
      <c r="S125" s="51" t="s">
        <v>193</v>
      </c>
      <c r="T125" s="186" t="str">
        <f>IFERROR(VLOOKUP(S125,TD!$J$34:$K$44,2,0)," ")</f>
        <v>Servicios para la planeación y sistemas de gestión y comunicación estratégica</v>
      </c>
      <c r="U125" s="187" t="str">
        <f>CONCATENATE(S125,"-",T125)</f>
        <v>13-Servicios para la planeación y sistemas de gestión y comunicación estratégica</v>
      </c>
      <c r="V125" s="51" t="s">
        <v>242</v>
      </c>
      <c r="W125" s="186" t="str">
        <f>IFERROR(VLOOKUP(V125,TD!$N$34:$O$46,2,0)," ")</f>
        <v>Documentos de planeación</v>
      </c>
      <c r="X125" s="187" t="str">
        <f>CONCATENATE(V125,"_",W125)</f>
        <v>019_Documentos de planeación</v>
      </c>
      <c r="Y125" s="187" t="str">
        <f>CONCATENATE(U125," ",X125)</f>
        <v>13-Servicios para la planeación y sistemas de gestión y comunicación estratégica 019_Documentos de planeación</v>
      </c>
      <c r="Z125" s="186" t="str">
        <f>CONCATENATE(P125,Q125,R125,S125,V125)</f>
        <v>O23011745992024020713019</v>
      </c>
      <c r="AA125" s="186" t="str">
        <f>IFERROR(VLOOKUP(Y125,TD!$K$47:$L$65,2,0)," ")</f>
        <v>PM/0131/0113/45990190207</v>
      </c>
      <c r="AB125" s="53" t="s">
        <v>138</v>
      </c>
      <c r="AC125" s="188" t="s">
        <v>204</v>
      </c>
    </row>
    <row r="126" spans="2:29" s="28" customFormat="1" ht="56" x14ac:dyDescent="0.35">
      <c r="B126" s="77">
        <v>20250077</v>
      </c>
      <c r="C126" s="50" t="s">
        <v>208</v>
      </c>
      <c r="D126" s="184" t="s">
        <v>161</v>
      </c>
      <c r="E126" s="51" t="s">
        <v>355</v>
      </c>
      <c r="F126" s="184" t="s">
        <v>364</v>
      </c>
      <c r="G126" s="184" t="s">
        <v>155</v>
      </c>
      <c r="H126" s="93">
        <v>80111600</v>
      </c>
      <c r="I126" s="185">
        <v>2</v>
      </c>
      <c r="J126" s="185">
        <v>11</v>
      </c>
      <c r="K126" s="52">
        <v>0</v>
      </c>
      <c r="L126" s="53">
        <v>66000000</v>
      </c>
      <c r="M126" s="184" t="s">
        <v>464</v>
      </c>
      <c r="N126" s="53" t="s">
        <v>113</v>
      </c>
      <c r="O126" s="51" t="s">
        <v>220</v>
      </c>
      <c r="P126" s="186" t="str">
        <f>IFERROR(VLOOKUP(C126,TD!$B$33:$F$37,2,0)," ")</f>
        <v>O230117</v>
      </c>
      <c r="Q126" s="186" t="str">
        <f>IFERROR(VLOOKUP(C126,TD!$B$33:$F$37,3,0)," ")</f>
        <v>4599</v>
      </c>
      <c r="R126" s="186">
        <f>IFERROR(VLOOKUP(C126,TD!$B$33:$F$37,4,0)," ")</f>
        <v>20240207</v>
      </c>
      <c r="S126" s="51" t="s">
        <v>193</v>
      </c>
      <c r="T126" s="186" t="str">
        <f>IFERROR(VLOOKUP(S126,TD!$J$34:$K$44,2,0)," ")</f>
        <v>Servicios para la planeación y sistemas de gestión y comunicación estratégica</v>
      </c>
      <c r="U126" s="187" t="str">
        <f>CONCATENATE(S126,"-",T126)</f>
        <v>13-Servicios para la planeación y sistemas de gestión y comunicación estratégica</v>
      </c>
      <c r="V126" s="51" t="s">
        <v>242</v>
      </c>
      <c r="W126" s="186" t="str">
        <f>IFERROR(VLOOKUP(V126,TD!$N$34:$O$46,2,0)," ")</f>
        <v>Documentos de planeación</v>
      </c>
      <c r="X126" s="187" t="str">
        <f>CONCATENATE(V126,"_",W126)</f>
        <v>019_Documentos de planeación</v>
      </c>
      <c r="Y126" s="187" t="str">
        <f>CONCATENATE(U126," ",X126)</f>
        <v>13-Servicios para la planeación y sistemas de gestión y comunicación estratégica 019_Documentos de planeación</v>
      </c>
      <c r="Z126" s="186" t="str">
        <f>CONCATENATE(P126,Q126,R126,S126,V126)</f>
        <v>O23011745992024020713019</v>
      </c>
      <c r="AA126" s="186" t="str">
        <f>IFERROR(VLOOKUP(Y126,TD!$K$47:$L$65,2,0)," ")</f>
        <v>PM/0131/0113/45990190207</v>
      </c>
      <c r="AB126" s="53" t="s">
        <v>138</v>
      </c>
      <c r="AC126" s="188" t="s">
        <v>204</v>
      </c>
    </row>
    <row r="127" spans="2:29" s="28" customFormat="1" ht="56" x14ac:dyDescent="0.35">
      <c r="B127" s="77">
        <v>20250078</v>
      </c>
      <c r="C127" s="50" t="s">
        <v>208</v>
      </c>
      <c r="D127" s="184" t="s">
        <v>161</v>
      </c>
      <c r="E127" s="51" t="s">
        <v>355</v>
      </c>
      <c r="F127" s="184" t="s">
        <v>366</v>
      </c>
      <c r="G127" s="184" t="s">
        <v>156</v>
      </c>
      <c r="H127" s="93">
        <v>80111600</v>
      </c>
      <c r="I127" s="185">
        <v>2</v>
      </c>
      <c r="J127" s="185">
        <v>11</v>
      </c>
      <c r="K127" s="52">
        <v>0</v>
      </c>
      <c r="L127" s="53">
        <f>44000000+4400000</f>
        <v>48400000</v>
      </c>
      <c r="M127" s="184" t="s">
        <v>464</v>
      </c>
      <c r="N127" s="53" t="s">
        <v>113</v>
      </c>
      <c r="O127" s="51" t="s">
        <v>220</v>
      </c>
      <c r="P127" s="186" t="str">
        <f>IFERROR(VLOOKUP(C127,TD!$B$33:$F$37,2,0)," ")</f>
        <v>O230117</v>
      </c>
      <c r="Q127" s="186" t="str">
        <f>IFERROR(VLOOKUP(C127,TD!$B$33:$F$37,3,0)," ")</f>
        <v>4599</v>
      </c>
      <c r="R127" s="186">
        <f>IFERROR(VLOOKUP(C127,TD!$B$33:$F$37,4,0)," ")</f>
        <v>20240207</v>
      </c>
      <c r="S127" s="51" t="s">
        <v>193</v>
      </c>
      <c r="T127" s="186" t="str">
        <f>IFERROR(VLOOKUP(S127,TD!$J$34:$K$44,2,0)," ")</f>
        <v>Servicios para la planeación y sistemas de gestión y comunicación estratégica</v>
      </c>
      <c r="U127" s="187" t="str">
        <f>CONCATENATE(S127,"-",T127)</f>
        <v>13-Servicios para la planeación y sistemas de gestión y comunicación estratégica</v>
      </c>
      <c r="V127" s="51" t="s">
        <v>242</v>
      </c>
      <c r="W127" s="186" t="str">
        <f>IFERROR(VLOOKUP(V127,TD!$N$34:$O$46,2,0)," ")</f>
        <v>Documentos de planeación</v>
      </c>
      <c r="X127" s="187" t="str">
        <f>CONCATENATE(V127,"_",W127)</f>
        <v>019_Documentos de planeación</v>
      </c>
      <c r="Y127" s="187" t="str">
        <f>CONCATENATE(U127," ",X127)</f>
        <v>13-Servicios para la planeación y sistemas de gestión y comunicación estratégica 019_Documentos de planeación</v>
      </c>
      <c r="Z127" s="186" t="str">
        <f>CONCATENATE(P127,Q127,R127,S127,V127)</f>
        <v>O23011745992024020713019</v>
      </c>
      <c r="AA127" s="186" t="str">
        <f>IFERROR(VLOOKUP(Y127,TD!$K$47:$L$65,2,0)," ")</f>
        <v>PM/0131/0113/45990190207</v>
      </c>
      <c r="AB127" s="53" t="s">
        <v>138</v>
      </c>
      <c r="AC127" s="188" t="s">
        <v>204</v>
      </c>
    </row>
    <row r="128" spans="2:29" s="28" customFormat="1" ht="70" x14ac:dyDescent="0.35">
      <c r="B128" s="77">
        <v>20250079</v>
      </c>
      <c r="C128" s="50" t="s">
        <v>208</v>
      </c>
      <c r="D128" s="184" t="s">
        <v>161</v>
      </c>
      <c r="E128" s="51" t="s">
        <v>355</v>
      </c>
      <c r="F128" s="184" t="s">
        <v>363</v>
      </c>
      <c r="G128" s="184" t="s">
        <v>155</v>
      </c>
      <c r="H128" s="93">
        <v>80111600</v>
      </c>
      <c r="I128" s="185">
        <v>2</v>
      </c>
      <c r="J128" s="185">
        <v>11</v>
      </c>
      <c r="K128" s="52">
        <v>0</v>
      </c>
      <c r="L128" s="53">
        <v>66000000</v>
      </c>
      <c r="M128" s="184" t="s">
        <v>464</v>
      </c>
      <c r="N128" s="53" t="s">
        <v>113</v>
      </c>
      <c r="O128" s="51" t="s">
        <v>220</v>
      </c>
      <c r="P128" s="186" t="str">
        <f>IFERROR(VLOOKUP(C128,TD!$B$33:$F$37,2,0)," ")</f>
        <v>O230117</v>
      </c>
      <c r="Q128" s="186" t="str">
        <f>IFERROR(VLOOKUP(C128,TD!$B$33:$F$37,3,0)," ")</f>
        <v>4599</v>
      </c>
      <c r="R128" s="186">
        <f>IFERROR(VLOOKUP(C128,TD!$B$33:$F$37,4,0)," ")</f>
        <v>20240207</v>
      </c>
      <c r="S128" s="51" t="s">
        <v>193</v>
      </c>
      <c r="T128" s="186" t="str">
        <f>IFERROR(VLOOKUP(S128,TD!$J$34:$K$44,2,0)," ")</f>
        <v>Servicios para la planeación y sistemas de gestión y comunicación estratégica</v>
      </c>
      <c r="U128" s="187" t="str">
        <f>CONCATENATE(S128,"-",T128)</f>
        <v>13-Servicios para la planeación y sistemas de gestión y comunicación estratégica</v>
      </c>
      <c r="V128" s="51" t="s">
        <v>242</v>
      </c>
      <c r="W128" s="186" t="str">
        <f>IFERROR(VLOOKUP(V128,TD!$N$34:$O$46,2,0)," ")</f>
        <v>Documentos de planeación</v>
      </c>
      <c r="X128" s="187" t="str">
        <f>CONCATENATE(V128,"_",W128)</f>
        <v>019_Documentos de planeación</v>
      </c>
      <c r="Y128" s="187" t="str">
        <f>CONCATENATE(U128," ",X128)</f>
        <v>13-Servicios para la planeación y sistemas de gestión y comunicación estratégica 019_Documentos de planeación</v>
      </c>
      <c r="Z128" s="186" t="str">
        <f>CONCATENATE(P128,Q128,R128,S128,V128)</f>
        <v>O23011745992024020713019</v>
      </c>
      <c r="AA128" s="186" t="str">
        <f>IFERROR(VLOOKUP(Y128,TD!$K$47:$L$65,2,0)," ")</f>
        <v>PM/0131/0113/45990190207</v>
      </c>
      <c r="AB128" s="53" t="s">
        <v>138</v>
      </c>
      <c r="AC128" s="188" t="s">
        <v>204</v>
      </c>
    </row>
    <row r="129" spans="2:29" s="28" customFormat="1" ht="70" x14ac:dyDescent="0.35">
      <c r="B129" s="77">
        <v>20250080</v>
      </c>
      <c r="C129" s="50" t="s">
        <v>208</v>
      </c>
      <c r="D129" s="184" t="s">
        <v>161</v>
      </c>
      <c r="E129" s="51" t="s">
        <v>355</v>
      </c>
      <c r="F129" s="184" t="s">
        <v>362</v>
      </c>
      <c r="G129" s="184" t="s">
        <v>155</v>
      </c>
      <c r="H129" s="93">
        <v>80111600</v>
      </c>
      <c r="I129" s="185">
        <v>2</v>
      </c>
      <c r="J129" s="185">
        <v>11</v>
      </c>
      <c r="K129" s="52">
        <v>0</v>
      </c>
      <c r="L129" s="53">
        <v>88000000</v>
      </c>
      <c r="M129" s="184" t="s">
        <v>464</v>
      </c>
      <c r="N129" s="53" t="s">
        <v>113</v>
      </c>
      <c r="O129" s="51" t="s">
        <v>220</v>
      </c>
      <c r="P129" s="186" t="str">
        <f>IFERROR(VLOOKUP(C129,TD!$B$33:$F$37,2,0)," ")</f>
        <v>O230117</v>
      </c>
      <c r="Q129" s="186" t="str">
        <f>IFERROR(VLOOKUP(C129,TD!$B$33:$F$37,3,0)," ")</f>
        <v>4599</v>
      </c>
      <c r="R129" s="186">
        <f>IFERROR(VLOOKUP(C129,TD!$B$33:$F$37,4,0)," ")</f>
        <v>20240207</v>
      </c>
      <c r="S129" s="51" t="s">
        <v>193</v>
      </c>
      <c r="T129" s="186" t="str">
        <f>IFERROR(VLOOKUP(S129,TD!$J$34:$K$44,2,0)," ")</f>
        <v>Servicios para la planeación y sistemas de gestión y comunicación estratégica</v>
      </c>
      <c r="U129" s="187" t="str">
        <f>CONCATENATE(S129,"-",T129)</f>
        <v>13-Servicios para la planeación y sistemas de gestión y comunicación estratégica</v>
      </c>
      <c r="V129" s="51" t="s">
        <v>242</v>
      </c>
      <c r="W129" s="186" t="str">
        <f>IFERROR(VLOOKUP(V129,TD!$N$34:$O$46,2,0)," ")</f>
        <v>Documentos de planeación</v>
      </c>
      <c r="X129" s="187" t="str">
        <f>CONCATENATE(V129,"_",W129)</f>
        <v>019_Documentos de planeación</v>
      </c>
      <c r="Y129" s="187" t="str">
        <f>CONCATENATE(U129," ",X129)</f>
        <v>13-Servicios para la planeación y sistemas de gestión y comunicación estratégica 019_Documentos de planeación</v>
      </c>
      <c r="Z129" s="186" t="str">
        <f>CONCATENATE(P129,Q129,R129,S129,V129)</f>
        <v>O23011745992024020713019</v>
      </c>
      <c r="AA129" s="186" t="str">
        <f>IFERROR(VLOOKUP(Y129,TD!$K$47:$L$65,2,0)," ")</f>
        <v>PM/0131/0113/45990190207</v>
      </c>
      <c r="AB129" s="53" t="s">
        <v>138</v>
      </c>
      <c r="AC129" s="188" t="s">
        <v>204</v>
      </c>
    </row>
    <row r="130" spans="2:29" s="28" customFormat="1" ht="84" x14ac:dyDescent="0.35">
      <c r="B130" s="77">
        <v>20250081</v>
      </c>
      <c r="C130" s="50" t="s">
        <v>208</v>
      </c>
      <c r="D130" s="184" t="s">
        <v>161</v>
      </c>
      <c r="E130" s="51" t="s">
        <v>355</v>
      </c>
      <c r="F130" s="184" t="s">
        <v>365</v>
      </c>
      <c r="G130" s="184" t="s">
        <v>155</v>
      </c>
      <c r="H130" s="93">
        <v>80111600</v>
      </c>
      <c r="I130" s="185">
        <v>2</v>
      </c>
      <c r="J130" s="185">
        <v>11</v>
      </c>
      <c r="K130" s="52">
        <v>0</v>
      </c>
      <c r="L130" s="53">
        <v>66000000</v>
      </c>
      <c r="M130" s="184" t="s">
        <v>464</v>
      </c>
      <c r="N130" s="53" t="s">
        <v>113</v>
      </c>
      <c r="O130" s="51" t="s">
        <v>220</v>
      </c>
      <c r="P130" s="186" t="str">
        <f>IFERROR(VLOOKUP(C130,TD!$B$33:$F$37,2,0)," ")</f>
        <v>O230117</v>
      </c>
      <c r="Q130" s="186" t="str">
        <f>IFERROR(VLOOKUP(C130,TD!$B$33:$F$37,3,0)," ")</f>
        <v>4599</v>
      </c>
      <c r="R130" s="186">
        <f>IFERROR(VLOOKUP(C130,TD!$B$33:$F$37,4,0)," ")</f>
        <v>20240207</v>
      </c>
      <c r="S130" s="51" t="s">
        <v>193</v>
      </c>
      <c r="T130" s="186" t="str">
        <f>IFERROR(VLOOKUP(S130,TD!$J$34:$K$44,2,0)," ")</f>
        <v>Servicios para la planeación y sistemas de gestión y comunicación estratégica</v>
      </c>
      <c r="U130" s="187" t="str">
        <f>CONCATENATE(S130,"-",T130)</f>
        <v>13-Servicios para la planeación y sistemas de gestión y comunicación estratégica</v>
      </c>
      <c r="V130" s="51" t="s">
        <v>242</v>
      </c>
      <c r="W130" s="186" t="str">
        <f>IFERROR(VLOOKUP(V130,TD!$N$34:$O$46,2,0)," ")</f>
        <v>Documentos de planeación</v>
      </c>
      <c r="X130" s="187" t="str">
        <f>CONCATENATE(V130,"_",W130)</f>
        <v>019_Documentos de planeación</v>
      </c>
      <c r="Y130" s="187" t="str">
        <f>CONCATENATE(U130," ",X130)</f>
        <v>13-Servicios para la planeación y sistemas de gestión y comunicación estratégica 019_Documentos de planeación</v>
      </c>
      <c r="Z130" s="186" t="str">
        <f>CONCATENATE(P130,Q130,R130,S130,V130)</f>
        <v>O23011745992024020713019</v>
      </c>
      <c r="AA130" s="186" t="str">
        <f>IFERROR(VLOOKUP(Y130,TD!$K$47:$L$65,2,0)," ")</f>
        <v>PM/0131/0113/45990190207</v>
      </c>
      <c r="AB130" s="53" t="s">
        <v>138</v>
      </c>
      <c r="AC130" s="188" t="s">
        <v>204</v>
      </c>
    </row>
    <row r="131" spans="2:29" s="28" customFormat="1" ht="84" x14ac:dyDescent="0.35">
      <c r="B131" s="77">
        <v>20250082</v>
      </c>
      <c r="C131" s="50" t="s">
        <v>208</v>
      </c>
      <c r="D131" s="184" t="s">
        <v>45</v>
      </c>
      <c r="E131" s="51" t="s">
        <v>355</v>
      </c>
      <c r="F131" s="184" t="s">
        <v>716</v>
      </c>
      <c r="G131" s="184" t="s">
        <v>155</v>
      </c>
      <c r="H131" s="93">
        <v>80111600</v>
      </c>
      <c r="I131" s="185">
        <v>2</v>
      </c>
      <c r="J131" s="185">
        <v>8</v>
      </c>
      <c r="K131" s="52">
        <v>0</v>
      </c>
      <c r="L131" s="53">
        <f>61723493-13723493+12000000</f>
        <v>60000000</v>
      </c>
      <c r="M131" s="184" t="s">
        <v>464</v>
      </c>
      <c r="N131" s="53" t="s">
        <v>113</v>
      </c>
      <c r="O131" s="51" t="s">
        <v>219</v>
      </c>
      <c r="P131" s="186" t="str">
        <f>IFERROR(VLOOKUP(C131,TD!$B$33:$F$37,2,0)," ")</f>
        <v>O230117</v>
      </c>
      <c r="Q131" s="186" t="str">
        <f>IFERROR(VLOOKUP(C131,TD!$B$33:$F$37,3,0)," ")</f>
        <v>4599</v>
      </c>
      <c r="R131" s="186">
        <f>IFERROR(VLOOKUP(C131,TD!$B$33:$F$37,4,0)," ")</f>
        <v>20240207</v>
      </c>
      <c r="S131" s="51" t="s">
        <v>185</v>
      </c>
      <c r="T131" s="186" t="str">
        <f>IFERROR(VLOOKUP(S131,TD!$J$34:$K$44,2,0)," ")</f>
        <v>Infraestructura física, mantenimiento y dotación (Sedes construidas, mantenidas reforzadas)</v>
      </c>
      <c r="U131" s="187" t="str">
        <f>CONCATENATE(S131,"-",T131)</f>
        <v>08-Infraestructura física, mantenimiento y dotación (Sedes construidas, mantenidas reforzadas)</v>
      </c>
      <c r="V131" s="51" t="s">
        <v>238</v>
      </c>
      <c r="W131" s="186" t="str">
        <f>IFERROR(VLOOKUP(V131,TD!$N$34:$O$46,2,0)," ")</f>
        <v>Sedes mantenidas</v>
      </c>
      <c r="X131" s="187" t="str">
        <f>CONCATENATE(V131,"_",W131)</f>
        <v>016_Sedes mantenidas</v>
      </c>
      <c r="Y131" s="187" t="str">
        <f>CONCATENATE(U131," ",X131)</f>
        <v>08-Infraestructura física, mantenimiento y dotación (Sedes construidas, mantenidas reforzadas) 016_Sedes mantenidas</v>
      </c>
      <c r="Z131" s="186" t="str">
        <f>CONCATENATE(P131,Q131,R131,S131,V131)</f>
        <v>O23011745992024020708016</v>
      </c>
      <c r="AA131" s="186" t="str">
        <f>IFERROR(VLOOKUP(Y131,TD!$K$47:$L$65,2,0)," ")</f>
        <v>PM/0131/0108/45990160207</v>
      </c>
      <c r="AB131" s="53" t="s">
        <v>138</v>
      </c>
      <c r="AC131" s="188" t="s">
        <v>204</v>
      </c>
    </row>
    <row r="132" spans="2:29" s="28" customFormat="1" ht="84" x14ac:dyDescent="0.35">
      <c r="B132" s="77">
        <v>20250083</v>
      </c>
      <c r="C132" s="50" t="s">
        <v>208</v>
      </c>
      <c r="D132" s="184" t="s">
        <v>161</v>
      </c>
      <c r="E132" s="51" t="s">
        <v>355</v>
      </c>
      <c r="F132" s="184" t="s">
        <v>811</v>
      </c>
      <c r="G132" s="184" t="s">
        <v>155</v>
      </c>
      <c r="H132" s="93">
        <v>80111600</v>
      </c>
      <c r="I132" s="185">
        <v>2</v>
      </c>
      <c r="J132" s="185">
        <v>10</v>
      </c>
      <c r="K132" s="52">
        <v>0</v>
      </c>
      <c r="L132" s="53">
        <v>52000000</v>
      </c>
      <c r="M132" s="184" t="s">
        <v>464</v>
      </c>
      <c r="N132" s="53" t="s">
        <v>113</v>
      </c>
      <c r="O132" s="51" t="s">
        <v>220</v>
      </c>
      <c r="P132" s="186" t="str">
        <f>IFERROR(VLOOKUP(C132,TD!$B$33:$F$37,2,0)," ")</f>
        <v>O230117</v>
      </c>
      <c r="Q132" s="186" t="str">
        <f>IFERROR(VLOOKUP(C132,TD!$B$33:$F$37,3,0)," ")</f>
        <v>4599</v>
      </c>
      <c r="R132" s="186">
        <f>IFERROR(VLOOKUP(C132,TD!$B$33:$F$37,4,0)," ")</f>
        <v>20240207</v>
      </c>
      <c r="S132" s="51" t="s">
        <v>193</v>
      </c>
      <c r="T132" s="186" t="str">
        <f>IFERROR(VLOOKUP(S132,TD!$J$34:$K$44,2,0)," ")</f>
        <v>Servicios para la planeación y sistemas de gestión y comunicación estratégica</v>
      </c>
      <c r="U132" s="187" t="str">
        <f>CONCATENATE(S132,"-",T132)</f>
        <v>13-Servicios para la planeación y sistemas de gestión y comunicación estratégica</v>
      </c>
      <c r="V132" s="51" t="s">
        <v>242</v>
      </c>
      <c r="W132" s="186" t="str">
        <f>IFERROR(VLOOKUP(V132,TD!$N$34:$O$46,2,0)," ")</f>
        <v>Documentos de planeación</v>
      </c>
      <c r="X132" s="187" t="str">
        <f>CONCATENATE(V132,"_",W132)</f>
        <v>019_Documentos de planeación</v>
      </c>
      <c r="Y132" s="187" t="str">
        <f>CONCATENATE(U132," ",X132)</f>
        <v>13-Servicios para la planeación y sistemas de gestión y comunicación estratégica 019_Documentos de planeación</v>
      </c>
      <c r="Z132" s="186" t="str">
        <f>CONCATENATE(P132,Q132,R132,S132,V132)</f>
        <v>O23011745992024020713019</v>
      </c>
      <c r="AA132" s="186" t="str">
        <f>IFERROR(VLOOKUP(Y132,TD!$K$47:$L$65,2,0)," ")</f>
        <v>PM/0131/0113/45990190207</v>
      </c>
      <c r="AB132" s="53" t="s">
        <v>138</v>
      </c>
      <c r="AC132" s="188" t="s">
        <v>204</v>
      </c>
    </row>
    <row r="133" spans="2:29" s="28" customFormat="1" ht="70" x14ac:dyDescent="0.35">
      <c r="B133" s="77">
        <v>20250084</v>
      </c>
      <c r="C133" s="50" t="s">
        <v>208</v>
      </c>
      <c r="D133" s="184" t="s">
        <v>161</v>
      </c>
      <c r="E133" s="51" t="s">
        <v>355</v>
      </c>
      <c r="F133" s="184" t="s">
        <v>361</v>
      </c>
      <c r="G133" s="184" t="s">
        <v>155</v>
      </c>
      <c r="H133" s="93">
        <v>80111600</v>
      </c>
      <c r="I133" s="185">
        <v>2</v>
      </c>
      <c r="J133" s="185">
        <v>11</v>
      </c>
      <c r="K133" s="52">
        <v>0</v>
      </c>
      <c r="L133" s="53">
        <v>66000000</v>
      </c>
      <c r="M133" s="184" t="s">
        <v>464</v>
      </c>
      <c r="N133" s="53" t="s">
        <v>113</v>
      </c>
      <c r="O133" s="51" t="s">
        <v>220</v>
      </c>
      <c r="P133" s="186" t="str">
        <f>IFERROR(VLOOKUP(C133,TD!$B$33:$F$37,2,0)," ")</f>
        <v>O230117</v>
      </c>
      <c r="Q133" s="186" t="str">
        <f>IFERROR(VLOOKUP(C133,TD!$B$33:$F$37,3,0)," ")</f>
        <v>4599</v>
      </c>
      <c r="R133" s="186">
        <f>IFERROR(VLOOKUP(C133,TD!$B$33:$F$37,4,0)," ")</f>
        <v>20240207</v>
      </c>
      <c r="S133" s="51" t="s">
        <v>193</v>
      </c>
      <c r="T133" s="186" t="str">
        <f>IFERROR(VLOOKUP(S133,TD!$J$34:$K$44,2,0)," ")</f>
        <v>Servicios para la planeación y sistemas de gestión y comunicación estratégica</v>
      </c>
      <c r="U133" s="187" t="str">
        <f>CONCATENATE(S133,"-",T133)</f>
        <v>13-Servicios para la planeación y sistemas de gestión y comunicación estratégica</v>
      </c>
      <c r="V133" s="51" t="s">
        <v>242</v>
      </c>
      <c r="W133" s="186" t="str">
        <f>IFERROR(VLOOKUP(V133,TD!$N$34:$O$46,2,0)," ")</f>
        <v>Documentos de planeación</v>
      </c>
      <c r="X133" s="187" t="str">
        <f>CONCATENATE(V133,"_",W133)</f>
        <v>019_Documentos de planeación</v>
      </c>
      <c r="Y133" s="187" t="str">
        <f>CONCATENATE(U133," ",X133)</f>
        <v>13-Servicios para la planeación y sistemas de gestión y comunicación estratégica 019_Documentos de planeación</v>
      </c>
      <c r="Z133" s="186" t="str">
        <f>CONCATENATE(P133,Q133,R133,S133,V133)</f>
        <v>O23011745992024020713019</v>
      </c>
      <c r="AA133" s="186" t="str">
        <f>IFERROR(VLOOKUP(Y133,TD!$K$47:$L$65,2,0)," ")</f>
        <v>PM/0131/0113/45990190207</v>
      </c>
      <c r="AB133" s="53" t="s">
        <v>138</v>
      </c>
      <c r="AC133" s="188" t="s">
        <v>204</v>
      </c>
    </row>
    <row r="134" spans="2:29" s="28" customFormat="1" ht="56" x14ac:dyDescent="0.35">
      <c r="B134" s="77">
        <v>20250085</v>
      </c>
      <c r="C134" s="50" t="s">
        <v>208</v>
      </c>
      <c r="D134" s="184" t="s">
        <v>161</v>
      </c>
      <c r="E134" s="51" t="s">
        <v>355</v>
      </c>
      <c r="F134" s="184" t="s">
        <v>367</v>
      </c>
      <c r="G134" s="184" t="s">
        <v>156</v>
      </c>
      <c r="H134" s="93">
        <v>80111600</v>
      </c>
      <c r="I134" s="185">
        <v>3</v>
      </c>
      <c r="J134" s="185">
        <v>10</v>
      </c>
      <c r="K134" s="52">
        <v>0</v>
      </c>
      <c r="L134" s="53">
        <f>44000000+4400000-4400000</f>
        <v>44000000</v>
      </c>
      <c r="M134" s="184" t="s">
        <v>464</v>
      </c>
      <c r="N134" s="53" t="s">
        <v>113</v>
      </c>
      <c r="O134" s="51" t="s">
        <v>220</v>
      </c>
      <c r="P134" s="186" t="str">
        <f>IFERROR(VLOOKUP(C134,TD!$B$33:$F$37,2,0)," ")</f>
        <v>O230117</v>
      </c>
      <c r="Q134" s="186" t="str">
        <f>IFERROR(VLOOKUP(C134,TD!$B$33:$F$37,3,0)," ")</f>
        <v>4599</v>
      </c>
      <c r="R134" s="186">
        <f>IFERROR(VLOOKUP(C134,TD!$B$33:$F$37,4,0)," ")</f>
        <v>20240207</v>
      </c>
      <c r="S134" s="51" t="s">
        <v>193</v>
      </c>
      <c r="T134" s="186" t="str">
        <f>IFERROR(VLOOKUP(S134,TD!$J$34:$K$44,2,0)," ")</f>
        <v>Servicios para la planeación y sistemas de gestión y comunicación estratégica</v>
      </c>
      <c r="U134" s="187" t="str">
        <f>CONCATENATE(S134,"-",T134)</f>
        <v>13-Servicios para la planeación y sistemas de gestión y comunicación estratégica</v>
      </c>
      <c r="V134" s="51" t="s">
        <v>242</v>
      </c>
      <c r="W134" s="186" t="str">
        <f>IFERROR(VLOOKUP(V134,TD!$N$34:$O$46,2,0)," ")</f>
        <v>Documentos de planeación</v>
      </c>
      <c r="X134" s="187" t="str">
        <f>CONCATENATE(V134,"_",W134)</f>
        <v>019_Documentos de planeación</v>
      </c>
      <c r="Y134" s="187" t="str">
        <f>CONCATENATE(U134," ",X134)</f>
        <v>13-Servicios para la planeación y sistemas de gestión y comunicación estratégica 019_Documentos de planeación</v>
      </c>
      <c r="Z134" s="186" t="str">
        <f>CONCATENATE(P134,Q134,R134,S134,V134)</f>
        <v>O23011745992024020713019</v>
      </c>
      <c r="AA134" s="186" t="str">
        <f>IFERROR(VLOOKUP(Y134,TD!$K$47:$L$65,2,0)," ")</f>
        <v>PM/0131/0113/45990190207</v>
      </c>
      <c r="AB134" s="53" t="s">
        <v>138</v>
      </c>
      <c r="AC134" s="188" t="s">
        <v>204</v>
      </c>
    </row>
    <row r="135" spans="2:29" s="28" customFormat="1" ht="56" x14ac:dyDescent="0.35">
      <c r="B135" s="77">
        <v>20250086</v>
      </c>
      <c r="C135" s="50" t="s">
        <v>208</v>
      </c>
      <c r="D135" s="184" t="s">
        <v>161</v>
      </c>
      <c r="E135" s="51" t="s">
        <v>355</v>
      </c>
      <c r="F135" s="184" t="s">
        <v>431</v>
      </c>
      <c r="G135" s="184" t="s">
        <v>155</v>
      </c>
      <c r="H135" s="93">
        <v>80111600</v>
      </c>
      <c r="I135" s="185">
        <v>2</v>
      </c>
      <c r="J135" s="185">
        <v>11</v>
      </c>
      <c r="K135" s="52">
        <v>0</v>
      </c>
      <c r="L135" s="53">
        <v>107800000</v>
      </c>
      <c r="M135" s="184" t="s">
        <v>464</v>
      </c>
      <c r="N135" s="53" t="s">
        <v>113</v>
      </c>
      <c r="O135" s="51" t="s">
        <v>220</v>
      </c>
      <c r="P135" s="186" t="str">
        <f>IFERROR(VLOOKUP(C135,TD!$B$33:$F$37,2,0)," ")</f>
        <v>O230117</v>
      </c>
      <c r="Q135" s="186" t="str">
        <f>IFERROR(VLOOKUP(C135,TD!$B$33:$F$37,3,0)," ")</f>
        <v>4599</v>
      </c>
      <c r="R135" s="186">
        <f>IFERROR(VLOOKUP(C135,TD!$B$33:$F$37,4,0)," ")</f>
        <v>20240207</v>
      </c>
      <c r="S135" s="51" t="s">
        <v>193</v>
      </c>
      <c r="T135" s="186" t="str">
        <f>IFERROR(VLOOKUP(S135,TD!$J$34:$K$44,2,0)," ")</f>
        <v>Servicios para la planeación y sistemas de gestión y comunicación estratégica</v>
      </c>
      <c r="U135" s="187" t="str">
        <f>CONCATENATE(S135,"-",T135)</f>
        <v>13-Servicios para la planeación y sistemas de gestión y comunicación estratégica</v>
      </c>
      <c r="V135" s="51" t="s">
        <v>242</v>
      </c>
      <c r="W135" s="186" t="str">
        <f>IFERROR(VLOOKUP(V135,TD!$N$34:$O$46,2,0)," ")</f>
        <v>Documentos de planeación</v>
      </c>
      <c r="X135" s="187" t="str">
        <f>CONCATENATE(V135,"_",W135)</f>
        <v>019_Documentos de planeación</v>
      </c>
      <c r="Y135" s="187" t="str">
        <f>CONCATENATE(U135," ",X135)</f>
        <v>13-Servicios para la planeación y sistemas de gestión y comunicación estratégica 019_Documentos de planeación</v>
      </c>
      <c r="Z135" s="186" t="str">
        <f>CONCATENATE(P135,Q135,R135,S135,V135)</f>
        <v>O23011745992024020713019</v>
      </c>
      <c r="AA135" s="186" t="str">
        <f>IFERROR(VLOOKUP(Y135,TD!$K$47:$L$65,2,0)," ")</f>
        <v>PM/0131/0113/45990190207</v>
      </c>
      <c r="AB135" s="53" t="s">
        <v>138</v>
      </c>
      <c r="AC135" s="188" t="s">
        <v>204</v>
      </c>
    </row>
    <row r="136" spans="2:29" s="28" customFormat="1" ht="70" x14ac:dyDescent="0.35">
      <c r="B136" s="77">
        <v>20250087</v>
      </c>
      <c r="C136" s="50" t="s">
        <v>208</v>
      </c>
      <c r="D136" s="184" t="s">
        <v>161</v>
      </c>
      <c r="E136" s="51" t="s">
        <v>355</v>
      </c>
      <c r="F136" s="184" t="s">
        <v>435</v>
      </c>
      <c r="G136" s="184" t="s">
        <v>155</v>
      </c>
      <c r="H136" s="93">
        <v>80111600</v>
      </c>
      <c r="I136" s="185">
        <v>2</v>
      </c>
      <c r="J136" s="185">
        <v>6</v>
      </c>
      <c r="K136" s="52">
        <v>0</v>
      </c>
      <c r="L136" s="53">
        <f>57200000-26000000</f>
        <v>31200000</v>
      </c>
      <c r="M136" s="184" t="s">
        <v>464</v>
      </c>
      <c r="N136" s="53" t="s">
        <v>113</v>
      </c>
      <c r="O136" s="51" t="s">
        <v>220</v>
      </c>
      <c r="P136" s="186" t="str">
        <f>IFERROR(VLOOKUP(C136,TD!$B$33:$F$37,2,0)," ")</f>
        <v>O230117</v>
      </c>
      <c r="Q136" s="186" t="str">
        <f>IFERROR(VLOOKUP(C136,TD!$B$33:$F$37,3,0)," ")</f>
        <v>4599</v>
      </c>
      <c r="R136" s="186">
        <f>IFERROR(VLOOKUP(C136,TD!$B$33:$F$37,4,0)," ")</f>
        <v>20240207</v>
      </c>
      <c r="S136" s="51" t="s">
        <v>193</v>
      </c>
      <c r="T136" s="186" t="str">
        <f>IFERROR(VLOOKUP(S136,TD!$J$34:$K$44,2,0)," ")</f>
        <v>Servicios para la planeación y sistemas de gestión y comunicación estratégica</v>
      </c>
      <c r="U136" s="187" t="str">
        <f>CONCATENATE(S136,"-",T136)</f>
        <v>13-Servicios para la planeación y sistemas de gestión y comunicación estratégica</v>
      </c>
      <c r="V136" s="51" t="s">
        <v>242</v>
      </c>
      <c r="W136" s="186" t="str">
        <f>IFERROR(VLOOKUP(V136,TD!$N$34:$O$46,2,0)," ")</f>
        <v>Documentos de planeación</v>
      </c>
      <c r="X136" s="187" t="str">
        <f>CONCATENATE(V136,"_",W136)</f>
        <v>019_Documentos de planeación</v>
      </c>
      <c r="Y136" s="187" t="str">
        <f>CONCATENATE(U136," ",X136)</f>
        <v>13-Servicios para la planeación y sistemas de gestión y comunicación estratégica 019_Documentos de planeación</v>
      </c>
      <c r="Z136" s="186" t="str">
        <f>CONCATENATE(P136,Q136,R136,S136,V136)</f>
        <v>O23011745992024020713019</v>
      </c>
      <c r="AA136" s="186" t="str">
        <f>IFERROR(VLOOKUP(Y136,TD!$K$47:$L$65,2,0)," ")</f>
        <v>PM/0131/0113/45990190207</v>
      </c>
      <c r="AB136" s="53" t="s">
        <v>138</v>
      </c>
      <c r="AC136" s="188" t="s">
        <v>204</v>
      </c>
    </row>
    <row r="137" spans="2:29" s="28" customFormat="1" ht="56" x14ac:dyDescent="0.35">
      <c r="B137" s="77">
        <v>20250088</v>
      </c>
      <c r="C137" s="50" t="s">
        <v>208</v>
      </c>
      <c r="D137" s="184" t="s">
        <v>161</v>
      </c>
      <c r="E137" s="51" t="s">
        <v>355</v>
      </c>
      <c r="F137" s="184" t="s">
        <v>437</v>
      </c>
      <c r="G137" s="184" t="s">
        <v>155</v>
      </c>
      <c r="H137" s="93">
        <v>80111600</v>
      </c>
      <c r="I137" s="185">
        <v>3</v>
      </c>
      <c r="J137" s="185">
        <v>10</v>
      </c>
      <c r="K137" s="52">
        <v>0</v>
      </c>
      <c r="L137" s="53">
        <f>57200000-5200000</f>
        <v>52000000</v>
      </c>
      <c r="M137" s="184" t="s">
        <v>464</v>
      </c>
      <c r="N137" s="53" t="s">
        <v>113</v>
      </c>
      <c r="O137" s="51" t="s">
        <v>220</v>
      </c>
      <c r="P137" s="186" t="str">
        <f>IFERROR(VLOOKUP(C137,TD!$B$33:$F$37,2,0)," ")</f>
        <v>O230117</v>
      </c>
      <c r="Q137" s="186" t="str">
        <f>IFERROR(VLOOKUP(C137,TD!$B$33:$F$37,3,0)," ")</f>
        <v>4599</v>
      </c>
      <c r="R137" s="186">
        <f>IFERROR(VLOOKUP(C137,TD!$B$33:$F$37,4,0)," ")</f>
        <v>20240207</v>
      </c>
      <c r="S137" s="51" t="s">
        <v>193</v>
      </c>
      <c r="T137" s="186" t="str">
        <f>IFERROR(VLOOKUP(S137,TD!$J$34:$K$44,2,0)," ")</f>
        <v>Servicios para la planeación y sistemas de gestión y comunicación estratégica</v>
      </c>
      <c r="U137" s="187" t="str">
        <f>CONCATENATE(S137,"-",T137)</f>
        <v>13-Servicios para la planeación y sistemas de gestión y comunicación estratégica</v>
      </c>
      <c r="V137" s="51" t="s">
        <v>242</v>
      </c>
      <c r="W137" s="186" t="str">
        <f>IFERROR(VLOOKUP(V137,TD!$N$34:$O$46,2,0)," ")</f>
        <v>Documentos de planeación</v>
      </c>
      <c r="X137" s="187" t="str">
        <f>CONCATENATE(V137,"_",W137)</f>
        <v>019_Documentos de planeación</v>
      </c>
      <c r="Y137" s="187" t="str">
        <f>CONCATENATE(U137," ",X137)</f>
        <v>13-Servicios para la planeación y sistemas de gestión y comunicación estratégica 019_Documentos de planeación</v>
      </c>
      <c r="Z137" s="186" t="str">
        <f>CONCATENATE(P137,Q137,R137,S137,V137)</f>
        <v>O23011745992024020713019</v>
      </c>
      <c r="AA137" s="186" t="str">
        <f>IFERROR(VLOOKUP(Y137,TD!$K$47:$L$65,2,0)," ")</f>
        <v>PM/0131/0113/45990190207</v>
      </c>
      <c r="AB137" s="53" t="s">
        <v>138</v>
      </c>
      <c r="AC137" s="188" t="s">
        <v>204</v>
      </c>
    </row>
    <row r="138" spans="2:29" s="28" customFormat="1" ht="70" x14ac:dyDescent="0.35">
      <c r="B138" s="77">
        <v>20250089</v>
      </c>
      <c r="C138" s="50" t="s">
        <v>208</v>
      </c>
      <c r="D138" s="184" t="s">
        <v>161</v>
      </c>
      <c r="E138" s="51" t="s">
        <v>355</v>
      </c>
      <c r="F138" s="184" t="s">
        <v>702</v>
      </c>
      <c r="G138" s="184" t="s">
        <v>155</v>
      </c>
      <c r="H138" s="93">
        <v>80111600</v>
      </c>
      <c r="I138" s="185">
        <v>3</v>
      </c>
      <c r="J138" s="185">
        <v>6</v>
      </c>
      <c r="K138" s="52">
        <v>0</v>
      </c>
      <c r="L138" s="53">
        <f>24000000+24000000-7200000</f>
        <v>40800000</v>
      </c>
      <c r="M138" s="184" t="s">
        <v>464</v>
      </c>
      <c r="N138" s="53" t="s">
        <v>113</v>
      </c>
      <c r="O138" s="51" t="s">
        <v>220</v>
      </c>
      <c r="P138" s="186" t="str">
        <f>IFERROR(VLOOKUP(C138,TD!$B$33:$F$37,2,0)," ")</f>
        <v>O230117</v>
      </c>
      <c r="Q138" s="186" t="str">
        <f>IFERROR(VLOOKUP(C138,TD!$B$33:$F$37,3,0)," ")</f>
        <v>4599</v>
      </c>
      <c r="R138" s="186">
        <f>IFERROR(VLOOKUP(C138,TD!$B$33:$F$37,4,0)," ")</f>
        <v>20240207</v>
      </c>
      <c r="S138" s="51" t="s">
        <v>193</v>
      </c>
      <c r="T138" s="186" t="str">
        <f>IFERROR(VLOOKUP(S138,TD!$J$34:$K$44,2,0)," ")</f>
        <v>Servicios para la planeación y sistemas de gestión y comunicación estratégica</v>
      </c>
      <c r="U138" s="187" t="str">
        <f>CONCATENATE(S138,"-",T138)</f>
        <v>13-Servicios para la planeación y sistemas de gestión y comunicación estratégica</v>
      </c>
      <c r="V138" s="51" t="s">
        <v>242</v>
      </c>
      <c r="W138" s="186" t="str">
        <f>IFERROR(VLOOKUP(V138,TD!$N$34:$O$46,2,0)," ")</f>
        <v>Documentos de planeación</v>
      </c>
      <c r="X138" s="187" t="str">
        <f>CONCATENATE(V138,"_",W138)</f>
        <v>019_Documentos de planeación</v>
      </c>
      <c r="Y138" s="187" t="str">
        <f>CONCATENATE(U138," ",X138)</f>
        <v>13-Servicios para la planeación y sistemas de gestión y comunicación estratégica 019_Documentos de planeación</v>
      </c>
      <c r="Z138" s="186" t="str">
        <f>CONCATENATE(P138,Q138,R138,S138,V138)</f>
        <v>O23011745992024020713019</v>
      </c>
      <c r="AA138" s="186" t="str">
        <f>IFERROR(VLOOKUP(Y138,TD!$K$47:$L$65,2,0)," ")</f>
        <v>PM/0131/0113/45990190207</v>
      </c>
      <c r="AB138" s="53" t="s">
        <v>138</v>
      </c>
      <c r="AC138" s="188" t="s">
        <v>204</v>
      </c>
    </row>
    <row r="139" spans="2:29" s="28" customFormat="1" ht="56" x14ac:dyDescent="0.35">
      <c r="B139" s="77">
        <v>20250090</v>
      </c>
      <c r="C139" s="50" t="s">
        <v>208</v>
      </c>
      <c r="D139" s="184" t="s">
        <v>161</v>
      </c>
      <c r="E139" s="51" t="s">
        <v>355</v>
      </c>
      <c r="F139" s="184" t="s">
        <v>438</v>
      </c>
      <c r="G139" s="184" t="s">
        <v>156</v>
      </c>
      <c r="H139" s="93">
        <v>80111600</v>
      </c>
      <c r="I139" s="185">
        <v>2</v>
      </c>
      <c r="J139" s="185">
        <v>11</v>
      </c>
      <c r="K139" s="52">
        <v>0</v>
      </c>
      <c r="L139" s="53">
        <v>38500000</v>
      </c>
      <c r="M139" s="184" t="s">
        <v>464</v>
      </c>
      <c r="N139" s="53" t="s">
        <v>113</v>
      </c>
      <c r="O139" s="51" t="s">
        <v>220</v>
      </c>
      <c r="P139" s="186" t="str">
        <f>IFERROR(VLOOKUP(C139,TD!$B$33:$F$37,2,0)," ")</f>
        <v>O230117</v>
      </c>
      <c r="Q139" s="186" t="str">
        <f>IFERROR(VLOOKUP(C139,TD!$B$33:$F$37,3,0)," ")</f>
        <v>4599</v>
      </c>
      <c r="R139" s="186">
        <f>IFERROR(VLOOKUP(C139,TD!$B$33:$F$37,4,0)," ")</f>
        <v>20240207</v>
      </c>
      <c r="S139" s="51" t="s">
        <v>193</v>
      </c>
      <c r="T139" s="186" t="str">
        <f>IFERROR(VLOOKUP(S139,TD!$J$34:$K$44,2,0)," ")</f>
        <v>Servicios para la planeación y sistemas de gestión y comunicación estratégica</v>
      </c>
      <c r="U139" s="187" t="str">
        <f>CONCATENATE(S139,"-",T139)</f>
        <v>13-Servicios para la planeación y sistemas de gestión y comunicación estratégica</v>
      </c>
      <c r="V139" s="51" t="s">
        <v>242</v>
      </c>
      <c r="W139" s="186" t="str">
        <f>IFERROR(VLOOKUP(V139,TD!$N$34:$O$46,2,0)," ")</f>
        <v>Documentos de planeación</v>
      </c>
      <c r="X139" s="187" t="str">
        <f>CONCATENATE(V139,"_",W139)</f>
        <v>019_Documentos de planeación</v>
      </c>
      <c r="Y139" s="187" t="str">
        <f>CONCATENATE(U139," ",X139)</f>
        <v>13-Servicios para la planeación y sistemas de gestión y comunicación estratégica 019_Documentos de planeación</v>
      </c>
      <c r="Z139" s="186" t="str">
        <f>CONCATENATE(P139,Q139,R139,S139,V139)</f>
        <v>O23011745992024020713019</v>
      </c>
      <c r="AA139" s="186" t="str">
        <f>IFERROR(VLOOKUP(Y139,TD!$K$47:$L$65,2,0)," ")</f>
        <v>PM/0131/0113/45990190207</v>
      </c>
      <c r="AB139" s="53" t="s">
        <v>138</v>
      </c>
      <c r="AC139" s="188" t="s">
        <v>204</v>
      </c>
    </row>
    <row r="140" spans="2:29" s="28" customFormat="1" ht="112" x14ac:dyDescent="0.35">
      <c r="B140" s="77">
        <v>20250091</v>
      </c>
      <c r="C140" s="50" t="s">
        <v>208</v>
      </c>
      <c r="D140" s="184" t="s">
        <v>161</v>
      </c>
      <c r="E140" s="51" t="s">
        <v>355</v>
      </c>
      <c r="F140" s="184" t="s">
        <v>436</v>
      </c>
      <c r="G140" s="184" t="s">
        <v>155</v>
      </c>
      <c r="H140" s="93">
        <v>80111600</v>
      </c>
      <c r="I140" s="185">
        <v>2</v>
      </c>
      <c r="J140" s="185">
        <v>6</v>
      </c>
      <c r="K140" s="52">
        <v>0</v>
      </c>
      <c r="L140" s="53">
        <f>57200000-26000000</f>
        <v>31200000</v>
      </c>
      <c r="M140" s="184" t="s">
        <v>464</v>
      </c>
      <c r="N140" s="53" t="s">
        <v>113</v>
      </c>
      <c r="O140" s="51" t="s">
        <v>220</v>
      </c>
      <c r="P140" s="186" t="str">
        <f>IFERROR(VLOOKUP(C140,TD!$B$33:$F$37,2,0)," ")</f>
        <v>O230117</v>
      </c>
      <c r="Q140" s="186" t="str">
        <f>IFERROR(VLOOKUP(C140,TD!$B$33:$F$37,3,0)," ")</f>
        <v>4599</v>
      </c>
      <c r="R140" s="186">
        <f>IFERROR(VLOOKUP(C140,TD!$B$33:$F$37,4,0)," ")</f>
        <v>20240207</v>
      </c>
      <c r="S140" s="51" t="s">
        <v>193</v>
      </c>
      <c r="T140" s="186" t="str">
        <f>IFERROR(VLOOKUP(S140,TD!$J$34:$K$44,2,0)," ")</f>
        <v>Servicios para la planeación y sistemas de gestión y comunicación estratégica</v>
      </c>
      <c r="U140" s="187" t="str">
        <f>CONCATENATE(S140,"-",T140)</f>
        <v>13-Servicios para la planeación y sistemas de gestión y comunicación estratégica</v>
      </c>
      <c r="V140" s="51" t="s">
        <v>242</v>
      </c>
      <c r="W140" s="186" t="str">
        <f>IFERROR(VLOOKUP(V140,TD!$N$34:$O$46,2,0)," ")</f>
        <v>Documentos de planeación</v>
      </c>
      <c r="X140" s="187" t="str">
        <f>CONCATENATE(V140,"_",W140)</f>
        <v>019_Documentos de planeación</v>
      </c>
      <c r="Y140" s="187" t="str">
        <f>CONCATENATE(U140," ",X140)</f>
        <v>13-Servicios para la planeación y sistemas de gestión y comunicación estratégica 019_Documentos de planeación</v>
      </c>
      <c r="Z140" s="186" t="str">
        <f>CONCATENATE(P140,Q140,R140,S140,V140)</f>
        <v>O23011745992024020713019</v>
      </c>
      <c r="AA140" s="186" t="str">
        <f>IFERROR(VLOOKUP(Y140,TD!$K$47:$L$65,2,0)," ")</f>
        <v>PM/0131/0113/45990190207</v>
      </c>
      <c r="AB140" s="53" t="s">
        <v>138</v>
      </c>
      <c r="AC140" s="188" t="s">
        <v>204</v>
      </c>
    </row>
    <row r="141" spans="2:29" s="28" customFormat="1" ht="70" x14ac:dyDescent="0.35">
      <c r="B141" s="77">
        <v>20250092</v>
      </c>
      <c r="C141" s="50" t="s">
        <v>208</v>
      </c>
      <c r="D141" s="184" t="s">
        <v>161</v>
      </c>
      <c r="E141" s="51" t="s">
        <v>355</v>
      </c>
      <c r="F141" s="184" t="s">
        <v>439</v>
      </c>
      <c r="G141" s="184" t="s">
        <v>155</v>
      </c>
      <c r="H141" s="93">
        <v>80111600</v>
      </c>
      <c r="I141" s="185">
        <v>3</v>
      </c>
      <c r="J141" s="185">
        <v>6</v>
      </c>
      <c r="K141" s="52">
        <v>0</v>
      </c>
      <c r="L141" s="53">
        <v>55200000</v>
      </c>
      <c r="M141" s="184" t="s">
        <v>464</v>
      </c>
      <c r="N141" s="53" t="s">
        <v>113</v>
      </c>
      <c r="O141" s="51" t="s">
        <v>220</v>
      </c>
      <c r="P141" s="186" t="str">
        <f>IFERROR(VLOOKUP(C141,TD!$B$33:$F$37,2,0)," ")</f>
        <v>O230117</v>
      </c>
      <c r="Q141" s="186" t="str">
        <f>IFERROR(VLOOKUP(C141,TD!$B$33:$F$37,3,0)," ")</f>
        <v>4599</v>
      </c>
      <c r="R141" s="186">
        <f>IFERROR(VLOOKUP(C141,TD!$B$33:$F$37,4,0)," ")</f>
        <v>20240207</v>
      </c>
      <c r="S141" s="51" t="s">
        <v>193</v>
      </c>
      <c r="T141" s="186" t="str">
        <f>IFERROR(VLOOKUP(S141,TD!$J$34:$K$44,2,0)," ")</f>
        <v>Servicios para la planeación y sistemas de gestión y comunicación estratégica</v>
      </c>
      <c r="U141" s="187" t="str">
        <f>CONCATENATE(S141,"-",T141)</f>
        <v>13-Servicios para la planeación y sistemas de gestión y comunicación estratégica</v>
      </c>
      <c r="V141" s="51" t="s">
        <v>242</v>
      </c>
      <c r="W141" s="186" t="str">
        <f>IFERROR(VLOOKUP(V141,TD!$N$34:$O$46,2,0)," ")</f>
        <v>Documentos de planeación</v>
      </c>
      <c r="X141" s="187" t="str">
        <f>CONCATENATE(V141,"_",W141)</f>
        <v>019_Documentos de planeación</v>
      </c>
      <c r="Y141" s="187" t="str">
        <f>CONCATENATE(U141," ",X141)</f>
        <v>13-Servicios para la planeación y sistemas de gestión y comunicación estratégica 019_Documentos de planeación</v>
      </c>
      <c r="Z141" s="186" t="str">
        <f>CONCATENATE(P141,Q141,R141,S141,V141)</f>
        <v>O23011745992024020713019</v>
      </c>
      <c r="AA141" s="186" t="str">
        <f>IFERROR(VLOOKUP(Y141,TD!$K$47:$L$65,2,0)," ")</f>
        <v>PM/0131/0113/45990190207</v>
      </c>
      <c r="AB141" s="53" t="s">
        <v>138</v>
      </c>
      <c r="AC141" s="188" t="s">
        <v>204</v>
      </c>
    </row>
    <row r="142" spans="2:29" s="28" customFormat="1" ht="140" x14ac:dyDescent="0.35">
      <c r="B142" s="77">
        <v>20250093</v>
      </c>
      <c r="C142" s="50" t="s">
        <v>208</v>
      </c>
      <c r="D142" s="184" t="s">
        <v>45</v>
      </c>
      <c r="E142" s="51" t="s">
        <v>355</v>
      </c>
      <c r="F142" s="184" t="s">
        <v>938</v>
      </c>
      <c r="G142" s="184" t="s">
        <v>156</v>
      </c>
      <c r="H142" s="93">
        <v>80111600</v>
      </c>
      <c r="I142" s="185">
        <v>5</v>
      </c>
      <c r="J142" s="185">
        <v>7</v>
      </c>
      <c r="K142" s="52">
        <v>0</v>
      </c>
      <c r="L142" s="53">
        <v>24500000</v>
      </c>
      <c r="M142" s="184" t="s">
        <v>464</v>
      </c>
      <c r="N142" s="53" t="s">
        <v>113</v>
      </c>
      <c r="O142" s="51" t="s">
        <v>219</v>
      </c>
      <c r="P142" s="186" t="str">
        <f>IFERROR(VLOOKUP(C142,TD!$B$33:$F$37,2,0)," ")</f>
        <v>O230117</v>
      </c>
      <c r="Q142" s="186" t="str">
        <f>IFERROR(VLOOKUP(C142,TD!$B$33:$F$37,3,0)," ")</f>
        <v>4599</v>
      </c>
      <c r="R142" s="186">
        <f>IFERROR(VLOOKUP(C142,TD!$B$33:$F$37,4,0)," ")</f>
        <v>20240207</v>
      </c>
      <c r="S142" s="51" t="s">
        <v>185</v>
      </c>
      <c r="T142" s="186" t="str">
        <f>IFERROR(VLOOKUP(S142,TD!$J$34:$K$44,2,0)," ")</f>
        <v>Infraestructura física, mantenimiento y dotación (Sedes construidas, mantenidas reforzadas)</v>
      </c>
      <c r="U142" s="187" t="str">
        <f>CONCATENATE(S142,"-",T142)</f>
        <v>08-Infraestructura física, mantenimiento y dotación (Sedes construidas, mantenidas reforzadas)</v>
      </c>
      <c r="V142" s="51" t="s">
        <v>238</v>
      </c>
      <c r="W142" s="186" t="str">
        <f>IFERROR(VLOOKUP(V142,TD!$N$34:$O$46,2,0)," ")</f>
        <v>Sedes mantenidas</v>
      </c>
      <c r="X142" s="187" t="str">
        <f>CONCATENATE(V142,"_",W142)</f>
        <v>016_Sedes mantenidas</v>
      </c>
      <c r="Y142" s="187" t="str">
        <f>CONCATENATE(U142," ",X142)</f>
        <v>08-Infraestructura física, mantenimiento y dotación (Sedes construidas, mantenidas reforzadas) 016_Sedes mantenidas</v>
      </c>
      <c r="Z142" s="186" t="str">
        <f>CONCATENATE(P142,Q142,R142,S142,V142)</f>
        <v>O23011745992024020708016</v>
      </c>
      <c r="AA142" s="186" t="str">
        <f>IFERROR(VLOOKUP(Y142,TD!$K$47:$L$65,2,0)," ")</f>
        <v>PM/0131/0108/45990160207</v>
      </c>
      <c r="AB142" s="53" t="s">
        <v>138</v>
      </c>
      <c r="AC142" s="188" t="s">
        <v>204</v>
      </c>
    </row>
    <row r="143" spans="2:29" s="28" customFormat="1" ht="56" x14ac:dyDescent="0.35">
      <c r="B143" s="77">
        <v>20250094</v>
      </c>
      <c r="C143" s="50" t="s">
        <v>208</v>
      </c>
      <c r="D143" s="184" t="s">
        <v>161</v>
      </c>
      <c r="E143" s="51" t="s">
        <v>355</v>
      </c>
      <c r="F143" s="184" t="s">
        <v>677</v>
      </c>
      <c r="G143" s="184" t="s">
        <v>155</v>
      </c>
      <c r="H143" s="93">
        <v>80111600</v>
      </c>
      <c r="I143" s="185">
        <v>2</v>
      </c>
      <c r="J143" s="185">
        <v>6</v>
      </c>
      <c r="K143" s="52">
        <v>0</v>
      </c>
      <c r="L143" s="53">
        <f>29700000+300000</f>
        <v>30000000</v>
      </c>
      <c r="M143" s="184" t="s">
        <v>464</v>
      </c>
      <c r="N143" s="53" t="s">
        <v>113</v>
      </c>
      <c r="O143" s="51" t="s">
        <v>220</v>
      </c>
      <c r="P143" s="186" t="str">
        <f>IFERROR(VLOOKUP(C143,TD!$B$33:$F$37,2,0)," ")</f>
        <v>O230117</v>
      </c>
      <c r="Q143" s="186" t="str">
        <f>IFERROR(VLOOKUP(C143,TD!$B$33:$F$37,3,0)," ")</f>
        <v>4599</v>
      </c>
      <c r="R143" s="186">
        <f>IFERROR(VLOOKUP(C143,TD!$B$33:$F$37,4,0)," ")</f>
        <v>20240207</v>
      </c>
      <c r="S143" s="51" t="s">
        <v>193</v>
      </c>
      <c r="T143" s="186" t="str">
        <f>IFERROR(VLOOKUP(S143,TD!$J$34:$K$44,2,0)," ")</f>
        <v>Servicios para la planeación y sistemas de gestión y comunicación estratégica</v>
      </c>
      <c r="U143" s="187" t="str">
        <f>CONCATENATE(S143,"-",T143)</f>
        <v>13-Servicios para la planeación y sistemas de gestión y comunicación estratégica</v>
      </c>
      <c r="V143" s="51" t="s">
        <v>242</v>
      </c>
      <c r="W143" s="186" t="str">
        <f>IFERROR(VLOOKUP(V143,TD!$N$34:$O$46,2,0)," ")</f>
        <v>Documentos de planeación</v>
      </c>
      <c r="X143" s="187" t="str">
        <f>CONCATENATE(V143,"_",W143)</f>
        <v>019_Documentos de planeación</v>
      </c>
      <c r="Y143" s="187" t="str">
        <f>CONCATENATE(U143," ",X143)</f>
        <v>13-Servicios para la planeación y sistemas de gestión y comunicación estratégica 019_Documentos de planeación</v>
      </c>
      <c r="Z143" s="186" t="str">
        <f>CONCATENATE(P143,Q143,R143,S143,V143)</f>
        <v>O23011745992024020713019</v>
      </c>
      <c r="AA143" s="186" t="str">
        <f>IFERROR(VLOOKUP(Y143,TD!$K$47:$L$65,2,0)," ")</f>
        <v>PM/0131/0113/45990190207</v>
      </c>
      <c r="AB143" s="53" t="s">
        <v>138</v>
      </c>
      <c r="AC143" s="188" t="s">
        <v>204</v>
      </c>
    </row>
    <row r="144" spans="2:29" s="28" customFormat="1" ht="70" x14ac:dyDescent="0.35">
      <c r="B144" s="77">
        <v>20250095</v>
      </c>
      <c r="C144" s="50" t="s">
        <v>208</v>
      </c>
      <c r="D144" s="184" t="s">
        <v>45</v>
      </c>
      <c r="E144" s="51" t="s">
        <v>355</v>
      </c>
      <c r="F144" s="184" t="s">
        <v>704</v>
      </c>
      <c r="G144" s="184" t="s">
        <v>155</v>
      </c>
      <c r="H144" s="93">
        <v>80111600</v>
      </c>
      <c r="I144" s="185">
        <v>2</v>
      </c>
      <c r="J144" s="185">
        <v>9</v>
      </c>
      <c r="K144" s="52">
        <v>0</v>
      </c>
      <c r="L144" s="53">
        <f>197876507-107876507</f>
        <v>90000000</v>
      </c>
      <c r="M144" s="184" t="s">
        <v>464</v>
      </c>
      <c r="N144" s="53" t="s">
        <v>113</v>
      </c>
      <c r="O144" s="51" t="s">
        <v>219</v>
      </c>
      <c r="P144" s="186" t="str">
        <f>IFERROR(VLOOKUP(C144,TD!$B$33:$F$37,2,0)," ")</f>
        <v>O230117</v>
      </c>
      <c r="Q144" s="186" t="str">
        <f>IFERROR(VLOOKUP(C144,TD!$B$33:$F$37,3,0)," ")</f>
        <v>4599</v>
      </c>
      <c r="R144" s="186">
        <f>IFERROR(VLOOKUP(C144,TD!$B$33:$F$37,4,0)," ")</f>
        <v>20240207</v>
      </c>
      <c r="S144" s="51" t="s">
        <v>185</v>
      </c>
      <c r="T144" s="186" t="str">
        <f>IFERROR(VLOOKUP(S144,TD!$J$34:$K$44,2,0)," ")</f>
        <v>Infraestructura física, mantenimiento y dotación (Sedes construidas, mantenidas reforzadas)</v>
      </c>
      <c r="U144" s="187" t="str">
        <f>CONCATENATE(S144,"-",T144)</f>
        <v>08-Infraestructura física, mantenimiento y dotación (Sedes construidas, mantenidas reforzadas)</v>
      </c>
      <c r="V144" s="51" t="s">
        <v>238</v>
      </c>
      <c r="W144" s="186" t="str">
        <f>IFERROR(VLOOKUP(V144,TD!$N$34:$O$46,2,0)," ")</f>
        <v>Sedes mantenidas</v>
      </c>
      <c r="X144" s="187" t="str">
        <f>CONCATENATE(V144,"_",W144)</f>
        <v>016_Sedes mantenidas</v>
      </c>
      <c r="Y144" s="187" t="str">
        <f>CONCATENATE(U144," ",X144)</f>
        <v>08-Infraestructura física, mantenimiento y dotación (Sedes construidas, mantenidas reforzadas) 016_Sedes mantenidas</v>
      </c>
      <c r="Z144" s="186" t="str">
        <f>CONCATENATE(P144,Q144,R144,S144,V144)</f>
        <v>O23011745992024020708016</v>
      </c>
      <c r="AA144" s="186" t="str">
        <f>IFERROR(VLOOKUP(Y144,TD!$K$47:$L$65,2,0)," ")</f>
        <v>PM/0131/0108/45990160207</v>
      </c>
      <c r="AB144" s="53" t="s">
        <v>138</v>
      </c>
      <c r="AC144" s="188" t="s">
        <v>204</v>
      </c>
    </row>
    <row r="145" spans="2:29" s="28" customFormat="1" ht="70" x14ac:dyDescent="0.35">
      <c r="B145" s="77">
        <v>20250096</v>
      </c>
      <c r="C145" s="50" t="s">
        <v>208</v>
      </c>
      <c r="D145" s="184" t="s">
        <v>45</v>
      </c>
      <c r="E145" s="51" t="s">
        <v>355</v>
      </c>
      <c r="F145" s="184" t="s">
        <v>857</v>
      </c>
      <c r="G145" s="184" t="s">
        <v>155</v>
      </c>
      <c r="H145" s="93">
        <v>80111600</v>
      </c>
      <c r="I145" s="185">
        <v>2</v>
      </c>
      <c r="J145" s="185">
        <v>6</v>
      </c>
      <c r="K145" s="52">
        <v>0</v>
      </c>
      <c r="L145" s="53">
        <f>167500000-112300000</f>
        <v>55200000</v>
      </c>
      <c r="M145" s="184" t="s">
        <v>464</v>
      </c>
      <c r="N145" s="53" t="s">
        <v>113</v>
      </c>
      <c r="O145" s="51" t="s">
        <v>219</v>
      </c>
      <c r="P145" s="186" t="str">
        <f>IFERROR(VLOOKUP(C145,TD!$B$33:$F$37,2,0)," ")</f>
        <v>O230117</v>
      </c>
      <c r="Q145" s="186" t="str">
        <f>IFERROR(VLOOKUP(C145,TD!$B$33:$F$37,3,0)," ")</f>
        <v>4599</v>
      </c>
      <c r="R145" s="186">
        <f>IFERROR(VLOOKUP(C145,TD!$B$33:$F$37,4,0)," ")</f>
        <v>20240207</v>
      </c>
      <c r="S145" s="51" t="s">
        <v>185</v>
      </c>
      <c r="T145" s="186" t="str">
        <f>IFERROR(VLOOKUP(S145,TD!$J$34:$K$44,2,0)," ")</f>
        <v>Infraestructura física, mantenimiento y dotación (Sedes construidas, mantenidas reforzadas)</v>
      </c>
      <c r="U145" s="187" t="str">
        <f>CONCATENATE(S145,"-",T145)</f>
        <v>08-Infraestructura física, mantenimiento y dotación (Sedes construidas, mantenidas reforzadas)</v>
      </c>
      <c r="V145" s="51" t="s">
        <v>238</v>
      </c>
      <c r="W145" s="186" t="str">
        <f>IFERROR(VLOOKUP(V145,TD!$N$34:$O$46,2,0)," ")</f>
        <v>Sedes mantenidas</v>
      </c>
      <c r="X145" s="187" t="str">
        <f>CONCATENATE(V145,"_",W145)</f>
        <v>016_Sedes mantenidas</v>
      </c>
      <c r="Y145" s="187" t="str">
        <f>CONCATENATE(U145," ",X145)</f>
        <v>08-Infraestructura física, mantenimiento y dotación (Sedes construidas, mantenidas reforzadas) 016_Sedes mantenidas</v>
      </c>
      <c r="Z145" s="186" t="str">
        <f>CONCATENATE(P145,Q145,R145,S145,V145)</f>
        <v>O23011745992024020708016</v>
      </c>
      <c r="AA145" s="186" t="str">
        <f>IFERROR(VLOOKUP(Y145,TD!$K$47:$L$65,2,0)," ")</f>
        <v>PM/0131/0108/45990160207</v>
      </c>
      <c r="AB145" s="53" t="s">
        <v>120</v>
      </c>
      <c r="AC145" s="188" t="s">
        <v>204</v>
      </c>
    </row>
    <row r="146" spans="2:29" s="28" customFormat="1" ht="84" x14ac:dyDescent="0.35">
      <c r="B146" s="77">
        <v>20250097</v>
      </c>
      <c r="C146" s="50" t="s">
        <v>209</v>
      </c>
      <c r="D146" s="184" t="s">
        <v>165</v>
      </c>
      <c r="E146" s="51" t="s">
        <v>484</v>
      </c>
      <c r="F146" s="184" t="s">
        <v>712</v>
      </c>
      <c r="G146" s="184" t="s">
        <v>155</v>
      </c>
      <c r="H146" s="93">
        <v>80111600</v>
      </c>
      <c r="I146" s="185">
        <v>1</v>
      </c>
      <c r="J146" s="185">
        <v>11</v>
      </c>
      <c r="K146" s="52">
        <v>0</v>
      </c>
      <c r="L146" s="53">
        <f>87004500-20067000-212500</f>
        <v>66725000</v>
      </c>
      <c r="M146" s="184" t="s">
        <v>464</v>
      </c>
      <c r="N146" s="53" t="s">
        <v>113</v>
      </c>
      <c r="O146" s="51" t="s">
        <v>229</v>
      </c>
      <c r="P146" s="186" t="str">
        <f>IFERROR(VLOOKUP(C146,TD!$B$33:$F$37,2,0)," ")</f>
        <v>O230117</v>
      </c>
      <c r="Q146" s="186" t="str">
        <f>IFERROR(VLOOKUP(C146,TD!$B$33:$F$37,3,0)," ")</f>
        <v>4503</v>
      </c>
      <c r="R146" s="186">
        <f>IFERROR(VLOOKUP(C146,TD!$B$33:$F$37,4,0)," ")</f>
        <v>20240255</v>
      </c>
      <c r="S146" s="51" t="s">
        <v>183</v>
      </c>
      <c r="T146" s="186" t="str">
        <f>IFERROR(VLOOKUP(S146,TD!$J$34:$K$44,2,0)," ")</f>
        <v>Servicio de formación en gestión del riesgo de incendios para el personal UAECOB</v>
      </c>
      <c r="U146" s="187" t="str">
        <f>CONCATENATE(S146,"-",T146)</f>
        <v>07-Servicio de formación en gestión del riesgo de incendios para el personal UAECOB</v>
      </c>
      <c r="V146" s="51" t="s">
        <v>233</v>
      </c>
      <c r="W146" s="186" t="str">
        <f>IFERROR(VLOOKUP(V146,TD!$N$34:$O$46,2,0)," ")</f>
        <v>Servicio de educación informal</v>
      </c>
      <c r="X146" s="187" t="str">
        <f>CONCATENATE(V146,"_",W146)</f>
        <v>002_Servicio de educación informal</v>
      </c>
      <c r="Y146" s="187" t="str">
        <f>CONCATENATE(U146," ",X146)</f>
        <v>07-Servicio de formación en gestión del riesgo de incendios para el personal UAECOB 002_Servicio de educación informal</v>
      </c>
      <c r="Z146" s="186" t="str">
        <f>CONCATENATE(P146,Q146,R146,S146,V146)</f>
        <v>O23011745032024025507002</v>
      </c>
      <c r="AA146" s="186" t="str">
        <f>IFERROR(VLOOKUP(Y146,TD!$K$47:$L$65,2,0)," ")</f>
        <v>PM/0131/0107/45030020255</v>
      </c>
      <c r="AB146" s="53" t="s">
        <v>138</v>
      </c>
      <c r="AC146" s="188" t="s">
        <v>204</v>
      </c>
    </row>
    <row r="147" spans="2:29" s="28" customFormat="1" ht="98" x14ac:dyDescent="0.35">
      <c r="B147" s="77">
        <v>20250098</v>
      </c>
      <c r="C147" s="50" t="s">
        <v>209</v>
      </c>
      <c r="D147" s="184" t="s">
        <v>165</v>
      </c>
      <c r="E147" s="51" t="s">
        <v>484</v>
      </c>
      <c r="F147" s="184" t="s">
        <v>697</v>
      </c>
      <c r="G147" s="184" t="s">
        <v>155</v>
      </c>
      <c r="H147" s="93">
        <v>80111600</v>
      </c>
      <c r="I147" s="185">
        <v>1</v>
      </c>
      <c r="J147" s="185">
        <v>11</v>
      </c>
      <c r="K147" s="52">
        <v>0</v>
      </c>
      <c r="L147" s="53">
        <f>87004500-20067000-212500</f>
        <v>66725000</v>
      </c>
      <c r="M147" s="184" t="s">
        <v>464</v>
      </c>
      <c r="N147" s="53" t="s">
        <v>113</v>
      </c>
      <c r="O147" s="51" t="s">
        <v>229</v>
      </c>
      <c r="P147" s="186" t="str">
        <f>IFERROR(VLOOKUP(C147,TD!$B$33:$F$37,2,0)," ")</f>
        <v>O230117</v>
      </c>
      <c r="Q147" s="186" t="str">
        <f>IFERROR(VLOOKUP(C147,TD!$B$33:$F$37,3,0)," ")</f>
        <v>4503</v>
      </c>
      <c r="R147" s="186">
        <f>IFERROR(VLOOKUP(C147,TD!$B$33:$F$37,4,0)," ")</f>
        <v>20240255</v>
      </c>
      <c r="S147" s="51" t="s">
        <v>183</v>
      </c>
      <c r="T147" s="186" t="str">
        <f>IFERROR(VLOOKUP(S147,TD!$J$34:$K$44,2,0)," ")</f>
        <v>Servicio de formación en gestión del riesgo de incendios para el personal UAECOB</v>
      </c>
      <c r="U147" s="187" t="str">
        <f>CONCATENATE(S147,"-",T147)</f>
        <v>07-Servicio de formación en gestión del riesgo de incendios para el personal UAECOB</v>
      </c>
      <c r="V147" s="51" t="s">
        <v>233</v>
      </c>
      <c r="W147" s="186" t="str">
        <f>IFERROR(VLOOKUP(V147,TD!$N$34:$O$46,2,0)," ")</f>
        <v>Servicio de educación informal</v>
      </c>
      <c r="X147" s="187" t="str">
        <f>CONCATENATE(V147,"_",W147)</f>
        <v>002_Servicio de educación informal</v>
      </c>
      <c r="Y147" s="187" t="str">
        <f>CONCATENATE(U147," ",X147)</f>
        <v>07-Servicio de formación en gestión del riesgo de incendios para el personal UAECOB 002_Servicio de educación informal</v>
      </c>
      <c r="Z147" s="186" t="str">
        <f>CONCATENATE(P147,Q147,R147,S147,V147)</f>
        <v>O23011745032024025507002</v>
      </c>
      <c r="AA147" s="186" t="str">
        <f>IFERROR(VLOOKUP(Y147,TD!$K$47:$L$65,2,0)," ")</f>
        <v>PM/0131/0107/45030020255</v>
      </c>
      <c r="AB147" s="125" t="s">
        <v>120</v>
      </c>
      <c r="AC147" s="188" t="s">
        <v>204</v>
      </c>
    </row>
    <row r="148" spans="2:29" s="28" customFormat="1" ht="70" x14ac:dyDescent="0.35">
      <c r="B148" s="77">
        <v>20250099</v>
      </c>
      <c r="C148" s="50" t="s">
        <v>209</v>
      </c>
      <c r="D148" s="184" t="s">
        <v>165</v>
      </c>
      <c r="E148" s="51" t="s">
        <v>484</v>
      </c>
      <c r="F148" s="184" t="s">
        <v>698</v>
      </c>
      <c r="G148" s="184" t="s">
        <v>155</v>
      </c>
      <c r="H148" s="93">
        <v>80111600</v>
      </c>
      <c r="I148" s="185">
        <v>2</v>
      </c>
      <c r="J148" s="185">
        <v>10</v>
      </c>
      <c r="K148" s="52">
        <v>0</v>
      </c>
      <c r="L148" s="53">
        <f>69603600-11138000-8065600</f>
        <v>50400000</v>
      </c>
      <c r="M148" s="184" t="s">
        <v>464</v>
      </c>
      <c r="N148" s="53" t="s">
        <v>113</v>
      </c>
      <c r="O148" s="51" t="s">
        <v>229</v>
      </c>
      <c r="P148" s="186" t="str">
        <f>IFERROR(VLOOKUP(C148,TD!$B$33:$F$37,2,0)," ")</f>
        <v>O230117</v>
      </c>
      <c r="Q148" s="186" t="str">
        <f>IFERROR(VLOOKUP(C148,TD!$B$33:$F$37,3,0)," ")</f>
        <v>4503</v>
      </c>
      <c r="R148" s="186">
        <f>IFERROR(VLOOKUP(C148,TD!$B$33:$F$37,4,0)," ")</f>
        <v>20240255</v>
      </c>
      <c r="S148" s="51" t="s">
        <v>183</v>
      </c>
      <c r="T148" s="186" t="str">
        <f>IFERROR(VLOOKUP(S148,TD!$J$34:$K$44,2,0)," ")</f>
        <v>Servicio de formación en gestión del riesgo de incendios para el personal UAECOB</v>
      </c>
      <c r="U148" s="187" t="str">
        <f>CONCATENATE(S148,"-",T148)</f>
        <v>07-Servicio de formación en gestión del riesgo de incendios para el personal UAECOB</v>
      </c>
      <c r="V148" s="51" t="s">
        <v>233</v>
      </c>
      <c r="W148" s="186" t="str">
        <f>IFERROR(VLOOKUP(V148,TD!$N$34:$O$46,2,0)," ")</f>
        <v>Servicio de educación informal</v>
      </c>
      <c r="X148" s="187" t="str">
        <f>CONCATENATE(V148,"_",W148)</f>
        <v>002_Servicio de educación informal</v>
      </c>
      <c r="Y148" s="187" t="str">
        <f>CONCATENATE(U148," ",X148)</f>
        <v>07-Servicio de formación en gestión del riesgo de incendios para el personal UAECOB 002_Servicio de educación informal</v>
      </c>
      <c r="Z148" s="186" t="str">
        <f>CONCATENATE(P148,Q148,R148,S148,V148)</f>
        <v>O23011745032024025507002</v>
      </c>
      <c r="AA148" s="186" t="str">
        <f>IFERROR(VLOOKUP(Y148,TD!$K$47:$L$65,2,0)," ")</f>
        <v>PM/0131/0107/45030020255</v>
      </c>
      <c r="AB148" s="125" t="s">
        <v>120</v>
      </c>
      <c r="AC148" s="188" t="s">
        <v>204</v>
      </c>
    </row>
    <row r="149" spans="2:29" s="28" customFormat="1" ht="98" x14ac:dyDescent="0.35">
      <c r="B149" s="77">
        <v>20250100</v>
      </c>
      <c r="C149" s="50" t="s">
        <v>209</v>
      </c>
      <c r="D149" s="184" t="s">
        <v>165</v>
      </c>
      <c r="E149" s="51" t="s">
        <v>484</v>
      </c>
      <c r="F149" s="184" t="s">
        <v>699</v>
      </c>
      <c r="G149" s="184" t="s">
        <v>155</v>
      </c>
      <c r="H149" s="93">
        <v>80111600</v>
      </c>
      <c r="I149" s="185">
        <v>2</v>
      </c>
      <c r="J149" s="185">
        <v>11</v>
      </c>
      <c r="K149" s="52">
        <v>0</v>
      </c>
      <c r="L149" s="53">
        <f>63466883-13066883</f>
        <v>50400000</v>
      </c>
      <c r="M149" s="184" t="s">
        <v>464</v>
      </c>
      <c r="N149" s="53" t="s">
        <v>113</v>
      </c>
      <c r="O149" s="51" t="s">
        <v>229</v>
      </c>
      <c r="P149" s="186" t="str">
        <f>IFERROR(VLOOKUP(C149,TD!$B$33:$F$37,2,0)," ")</f>
        <v>O230117</v>
      </c>
      <c r="Q149" s="186" t="str">
        <f>IFERROR(VLOOKUP(C149,TD!$B$33:$F$37,3,0)," ")</f>
        <v>4503</v>
      </c>
      <c r="R149" s="186">
        <f>IFERROR(VLOOKUP(C149,TD!$B$33:$F$37,4,0)," ")</f>
        <v>20240255</v>
      </c>
      <c r="S149" s="51" t="s">
        <v>183</v>
      </c>
      <c r="T149" s="186" t="str">
        <f>IFERROR(VLOOKUP(S149,TD!$J$34:$K$44,2,0)," ")</f>
        <v>Servicio de formación en gestión del riesgo de incendios para el personal UAECOB</v>
      </c>
      <c r="U149" s="187" t="str">
        <f>CONCATENATE(S149,"-",T149)</f>
        <v>07-Servicio de formación en gestión del riesgo de incendios para el personal UAECOB</v>
      </c>
      <c r="V149" s="51" t="s">
        <v>233</v>
      </c>
      <c r="W149" s="186" t="str">
        <f>IFERROR(VLOOKUP(V149,TD!$N$34:$O$46,2,0)," ")</f>
        <v>Servicio de educación informal</v>
      </c>
      <c r="X149" s="187" t="str">
        <f>CONCATENATE(V149,"_",W149)</f>
        <v>002_Servicio de educación informal</v>
      </c>
      <c r="Y149" s="187" t="str">
        <f>CONCATENATE(U149," ",X149)</f>
        <v>07-Servicio de formación en gestión del riesgo de incendios para el personal UAECOB 002_Servicio de educación informal</v>
      </c>
      <c r="Z149" s="186" t="str">
        <f>CONCATENATE(P149,Q149,R149,S149,V149)</f>
        <v>O23011745032024025507002</v>
      </c>
      <c r="AA149" s="186" t="str">
        <f>IFERROR(VLOOKUP(Y149,TD!$K$47:$L$65,2,0)," ")</f>
        <v>PM/0131/0107/45030020255</v>
      </c>
      <c r="AB149" s="125" t="s">
        <v>120</v>
      </c>
      <c r="AC149" s="188" t="s">
        <v>204</v>
      </c>
    </row>
    <row r="150" spans="2:29" s="28" customFormat="1" ht="112" x14ac:dyDescent="0.35">
      <c r="B150" s="77">
        <v>20250101</v>
      </c>
      <c r="C150" s="50" t="s">
        <v>209</v>
      </c>
      <c r="D150" s="184" t="s">
        <v>165</v>
      </c>
      <c r="E150" s="51" t="s">
        <v>484</v>
      </c>
      <c r="F150" s="184" t="s">
        <v>700</v>
      </c>
      <c r="G150" s="184" t="s">
        <v>155</v>
      </c>
      <c r="H150" s="93">
        <v>80111600</v>
      </c>
      <c r="I150" s="185">
        <v>2</v>
      </c>
      <c r="J150" s="185">
        <v>11</v>
      </c>
      <c r="K150" s="52">
        <v>0</v>
      </c>
      <c r="L150" s="53">
        <f>53316357-986463-11310595-2619299</f>
        <v>38400000</v>
      </c>
      <c r="M150" s="184" t="s">
        <v>464</v>
      </c>
      <c r="N150" s="53" t="s">
        <v>113</v>
      </c>
      <c r="O150" s="51" t="s">
        <v>229</v>
      </c>
      <c r="P150" s="186" t="str">
        <f>IFERROR(VLOOKUP(C150,TD!$B$33:$F$37,2,0)," ")</f>
        <v>O230117</v>
      </c>
      <c r="Q150" s="186" t="str">
        <f>IFERROR(VLOOKUP(C150,TD!$B$33:$F$37,3,0)," ")</f>
        <v>4503</v>
      </c>
      <c r="R150" s="186">
        <f>IFERROR(VLOOKUP(C150,TD!$B$33:$F$37,4,0)," ")</f>
        <v>20240255</v>
      </c>
      <c r="S150" s="51" t="s">
        <v>183</v>
      </c>
      <c r="T150" s="186" t="str">
        <f>IFERROR(VLOOKUP(S150,TD!$J$34:$K$44,2,0)," ")</f>
        <v>Servicio de formación en gestión del riesgo de incendios para el personal UAECOB</v>
      </c>
      <c r="U150" s="187" t="str">
        <f>CONCATENATE(S150,"-",T150)</f>
        <v>07-Servicio de formación en gestión del riesgo de incendios para el personal UAECOB</v>
      </c>
      <c r="V150" s="51" t="s">
        <v>233</v>
      </c>
      <c r="W150" s="186" t="str">
        <f>IFERROR(VLOOKUP(V150,TD!$N$34:$O$46,2,0)," ")</f>
        <v>Servicio de educación informal</v>
      </c>
      <c r="X150" s="187" t="str">
        <f>CONCATENATE(V150,"_",W150)</f>
        <v>002_Servicio de educación informal</v>
      </c>
      <c r="Y150" s="187" t="str">
        <f>CONCATENATE(U150," ",X150)</f>
        <v>07-Servicio de formación en gestión del riesgo de incendios para el personal UAECOB 002_Servicio de educación informal</v>
      </c>
      <c r="Z150" s="186" t="str">
        <f>CONCATENATE(P150,Q150,R150,S150,V150)</f>
        <v>O23011745032024025507002</v>
      </c>
      <c r="AA150" s="186" t="str">
        <f>IFERROR(VLOOKUP(Y150,TD!$K$47:$L$65,2,0)," ")</f>
        <v>PM/0131/0107/45030020255</v>
      </c>
      <c r="AB150" s="53" t="s">
        <v>138</v>
      </c>
      <c r="AC150" s="188" t="s">
        <v>204</v>
      </c>
    </row>
    <row r="151" spans="2:29" s="28" customFormat="1" ht="56" x14ac:dyDescent="0.35">
      <c r="B151" s="77">
        <v>20250102</v>
      </c>
      <c r="C151" s="50" t="s">
        <v>209</v>
      </c>
      <c r="D151" s="184" t="s">
        <v>165</v>
      </c>
      <c r="E151" s="51" t="s">
        <v>484</v>
      </c>
      <c r="F151" s="184" t="s">
        <v>393</v>
      </c>
      <c r="G151" s="184" t="s">
        <v>155</v>
      </c>
      <c r="H151" s="93">
        <v>80111600</v>
      </c>
      <c r="I151" s="185">
        <v>3</v>
      </c>
      <c r="J151" s="185">
        <v>10</v>
      </c>
      <c r="K151" s="52">
        <v>0</v>
      </c>
      <c r="L151" s="53">
        <f>57697166-8868491-2828675</f>
        <v>46000000</v>
      </c>
      <c r="M151" s="184" t="s">
        <v>464</v>
      </c>
      <c r="N151" s="53" t="s">
        <v>113</v>
      </c>
      <c r="O151" s="51" t="s">
        <v>229</v>
      </c>
      <c r="P151" s="186" t="str">
        <f>IFERROR(VLOOKUP(C151,TD!$B$33:$F$37,2,0)," ")</f>
        <v>O230117</v>
      </c>
      <c r="Q151" s="186" t="str">
        <f>IFERROR(VLOOKUP(C151,TD!$B$33:$F$37,3,0)," ")</f>
        <v>4503</v>
      </c>
      <c r="R151" s="186">
        <f>IFERROR(VLOOKUP(C151,TD!$B$33:$F$37,4,0)," ")</f>
        <v>20240255</v>
      </c>
      <c r="S151" s="51" t="s">
        <v>183</v>
      </c>
      <c r="T151" s="186" t="str">
        <f>IFERROR(VLOOKUP(S151,TD!$J$34:$K$44,2,0)," ")</f>
        <v>Servicio de formación en gestión del riesgo de incendios para el personal UAECOB</v>
      </c>
      <c r="U151" s="187" t="str">
        <f>CONCATENATE(S151,"-",T151)</f>
        <v>07-Servicio de formación en gestión del riesgo de incendios para el personal UAECOB</v>
      </c>
      <c r="V151" s="51" t="s">
        <v>233</v>
      </c>
      <c r="W151" s="186" t="str">
        <f>IFERROR(VLOOKUP(V151,TD!$N$34:$O$46,2,0)," ")</f>
        <v>Servicio de educación informal</v>
      </c>
      <c r="X151" s="187" t="str">
        <f>CONCATENATE(V151,"_",W151)</f>
        <v>002_Servicio de educación informal</v>
      </c>
      <c r="Y151" s="187" t="str">
        <f>CONCATENATE(U151," ",X151)</f>
        <v>07-Servicio de formación en gestión del riesgo de incendios para el personal UAECOB 002_Servicio de educación informal</v>
      </c>
      <c r="Z151" s="186" t="str">
        <f>CONCATENATE(P151,Q151,R151,S151,V151)</f>
        <v>O23011745032024025507002</v>
      </c>
      <c r="AA151" s="186" t="str">
        <f>IFERROR(VLOOKUP(Y151,TD!$K$47:$L$65,2,0)," ")</f>
        <v>PM/0131/0107/45030020255</v>
      </c>
      <c r="AB151" s="53" t="s">
        <v>138</v>
      </c>
      <c r="AC151" s="188" t="s">
        <v>204</v>
      </c>
    </row>
    <row r="152" spans="2:29" s="28" customFormat="1" ht="56" x14ac:dyDescent="0.35">
      <c r="B152" s="77">
        <v>20250103</v>
      </c>
      <c r="C152" s="50" t="s">
        <v>209</v>
      </c>
      <c r="D152" s="184" t="s">
        <v>165</v>
      </c>
      <c r="E152" s="51" t="s">
        <v>484</v>
      </c>
      <c r="F152" s="184" t="s">
        <v>394</v>
      </c>
      <c r="G152" s="184" t="s">
        <v>155</v>
      </c>
      <c r="H152" s="93">
        <v>80111600</v>
      </c>
      <c r="I152" s="185">
        <v>2</v>
      </c>
      <c r="J152" s="185">
        <v>8</v>
      </c>
      <c r="K152" s="52">
        <v>0</v>
      </c>
      <c r="L152" s="53">
        <v>31500000</v>
      </c>
      <c r="M152" s="184" t="s">
        <v>464</v>
      </c>
      <c r="N152" s="53" t="s">
        <v>113</v>
      </c>
      <c r="O152" s="51" t="s">
        <v>229</v>
      </c>
      <c r="P152" s="186" t="str">
        <f>IFERROR(VLOOKUP(C152,TD!$B$33:$F$37,2,0)," ")</f>
        <v>O230117</v>
      </c>
      <c r="Q152" s="186" t="str">
        <f>IFERROR(VLOOKUP(C152,TD!$B$33:$F$37,3,0)," ")</f>
        <v>4503</v>
      </c>
      <c r="R152" s="186">
        <f>IFERROR(VLOOKUP(C152,TD!$B$33:$F$37,4,0)," ")</f>
        <v>20240255</v>
      </c>
      <c r="S152" s="51" t="s">
        <v>183</v>
      </c>
      <c r="T152" s="186" t="str">
        <f>IFERROR(VLOOKUP(S152,TD!$J$34:$K$44,2,0)," ")</f>
        <v>Servicio de formación en gestión del riesgo de incendios para el personal UAECOB</v>
      </c>
      <c r="U152" s="187" t="str">
        <f>CONCATENATE(S152,"-",T152)</f>
        <v>07-Servicio de formación en gestión del riesgo de incendios para el personal UAECOB</v>
      </c>
      <c r="V152" s="51" t="s">
        <v>233</v>
      </c>
      <c r="W152" s="186" t="str">
        <f>IFERROR(VLOOKUP(V152,TD!$N$34:$O$46,2,0)," ")</f>
        <v>Servicio de educación informal</v>
      </c>
      <c r="X152" s="187" t="str">
        <f>CONCATENATE(V152,"_",W152)</f>
        <v>002_Servicio de educación informal</v>
      </c>
      <c r="Y152" s="187" t="str">
        <f>CONCATENATE(U152," ",X152)</f>
        <v>07-Servicio de formación en gestión del riesgo de incendios para el personal UAECOB 002_Servicio de educación informal</v>
      </c>
      <c r="Z152" s="186" t="str">
        <f>CONCATENATE(P152,Q152,R152,S152,V152)</f>
        <v>O23011745032024025507002</v>
      </c>
      <c r="AA152" s="186" t="str">
        <f>IFERROR(VLOOKUP(Y152,TD!$K$47:$L$65,2,0)," ")</f>
        <v>PM/0131/0107/45030020255</v>
      </c>
      <c r="AB152" s="53" t="s">
        <v>138</v>
      </c>
      <c r="AC152" s="188" t="s">
        <v>204</v>
      </c>
    </row>
    <row r="153" spans="2:29" s="28" customFormat="1" ht="70" x14ac:dyDescent="0.35">
      <c r="B153" s="77">
        <v>20250104</v>
      </c>
      <c r="C153" s="50" t="s">
        <v>209</v>
      </c>
      <c r="D153" s="184" t="s">
        <v>165</v>
      </c>
      <c r="E153" s="51" t="s">
        <v>484</v>
      </c>
      <c r="F153" s="184" t="s">
        <v>395</v>
      </c>
      <c r="G153" s="184" t="s">
        <v>156</v>
      </c>
      <c r="H153" s="93">
        <v>80111600</v>
      </c>
      <c r="I153" s="185">
        <v>2</v>
      </c>
      <c r="J153" s="185">
        <v>8</v>
      </c>
      <c r="K153" s="52">
        <v>0</v>
      </c>
      <c r="L153" s="53">
        <f>32481207-481207</f>
        <v>32000000</v>
      </c>
      <c r="M153" s="184" t="s">
        <v>464</v>
      </c>
      <c r="N153" s="53" t="s">
        <v>113</v>
      </c>
      <c r="O153" s="51" t="s">
        <v>229</v>
      </c>
      <c r="P153" s="186" t="str">
        <f>IFERROR(VLOOKUP(C153,TD!$B$33:$F$37,2,0)," ")</f>
        <v>O230117</v>
      </c>
      <c r="Q153" s="186" t="str">
        <f>IFERROR(VLOOKUP(C153,TD!$B$33:$F$37,3,0)," ")</f>
        <v>4503</v>
      </c>
      <c r="R153" s="186">
        <f>IFERROR(VLOOKUP(C153,TD!$B$33:$F$37,4,0)," ")</f>
        <v>20240255</v>
      </c>
      <c r="S153" s="51" t="s">
        <v>183</v>
      </c>
      <c r="T153" s="186" t="str">
        <f>IFERROR(VLOOKUP(S153,TD!$J$34:$K$44,2,0)," ")</f>
        <v>Servicio de formación en gestión del riesgo de incendios para el personal UAECOB</v>
      </c>
      <c r="U153" s="187" t="str">
        <f>CONCATENATE(S153,"-",T153)</f>
        <v>07-Servicio de formación en gestión del riesgo de incendios para el personal UAECOB</v>
      </c>
      <c r="V153" s="51" t="s">
        <v>233</v>
      </c>
      <c r="W153" s="186" t="str">
        <f>IFERROR(VLOOKUP(V153,TD!$N$34:$O$46,2,0)," ")</f>
        <v>Servicio de educación informal</v>
      </c>
      <c r="X153" s="187" t="str">
        <f>CONCATENATE(V153,"_",W153)</f>
        <v>002_Servicio de educación informal</v>
      </c>
      <c r="Y153" s="187" t="str">
        <f>CONCATENATE(U153," ",X153)</f>
        <v>07-Servicio de formación en gestión del riesgo de incendios para el personal UAECOB 002_Servicio de educación informal</v>
      </c>
      <c r="Z153" s="186" t="str">
        <f>CONCATENATE(P153,Q153,R153,S153,V153)</f>
        <v>O23011745032024025507002</v>
      </c>
      <c r="AA153" s="186" t="str">
        <f>IFERROR(VLOOKUP(Y153,TD!$K$47:$L$65,2,0)," ")</f>
        <v>PM/0131/0107/45030020255</v>
      </c>
      <c r="AB153" s="53" t="s">
        <v>138</v>
      </c>
      <c r="AC153" s="188" t="s">
        <v>204</v>
      </c>
    </row>
    <row r="154" spans="2:29" s="28" customFormat="1" ht="56" x14ac:dyDescent="0.35">
      <c r="B154" s="77">
        <v>20250105</v>
      </c>
      <c r="C154" s="50" t="s">
        <v>209</v>
      </c>
      <c r="D154" s="184" t="s">
        <v>165</v>
      </c>
      <c r="E154" s="51" t="s">
        <v>484</v>
      </c>
      <c r="F154" s="184" t="s">
        <v>396</v>
      </c>
      <c r="G154" s="184" t="s">
        <v>155</v>
      </c>
      <c r="H154" s="93">
        <v>80111600</v>
      </c>
      <c r="I154" s="185">
        <v>2</v>
      </c>
      <c r="J154" s="185">
        <v>11</v>
      </c>
      <c r="K154" s="52">
        <v>0</v>
      </c>
      <c r="L154" s="53">
        <f>69603600-12903600</f>
        <v>56700000</v>
      </c>
      <c r="M154" s="184" t="s">
        <v>464</v>
      </c>
      <c r="N154" s="53" t="s">
        <v>113</v>
      </c>
      <c r="O154" s="51" t="s">
        <v>229</v>
      </c>
      <c r="P154" s="186" t="str">
        <f>IFERROR(VLOOKUP(C154,TD!$B$33:$F$37,2,0)," ")</f>
        <v>O230117</v>
      </c>
      <c r="Q154" s="186" t="str">
        <f>IFERROR(VLOOKUP(C154,TD!$B$33:$F$37,3,0)," ")</f>
        <v>4503</v>
      </c>
      <c r="R154" s="186">
        <f>IFERROR(VLOOKUP(C154,TD!$B$33:$F$37,4,0)," ")</f>
        <v>20240255</v>
      </c>
      <c r="S154" s="51" t="s">
        <v>183</v>
      </c>
      <c r="T154" s="186" t="str">
        <f>IFERROR(VLOOKUP(S154,TD!$J$34:$K$44,2,0)," ")</f>
        <v>Servicio de formación en gestión del riesgo de incendios para el personal UAECOB</v>
      </c>
      <c r="U154" s="187" t="str">
        <f>CONCATENATE(S154,"-",T154)</f>
        <v>07-Servicio de formación en gestión del riesgo de incendios para el personal UAECOB</v>
      </c>
      <c r="V154" s="51" t="s">
        <v>233</v>
      </c>
      <c r="W154" s="186" t="str">
        <f>IFERROR(VLOOKUP(V154,TD!$N$34:$O$46,2,0)," ")</f>
        <v>Servicio de educación informal</v>
      </c>
      <c r="X154" s="187" t="str">
        <f>CONCATENATE(V154,"_",W154)</f>
        <v>002_Servicio de educación informal</v>
      </c>
      <c r="Y154" s="187" t="str">
        <f>CONCATENATE(U154," ",X154)</f>
        <v>07-Servicio de formación en gestión del riesgo de incendios para el personal UAECOB 002_Servicio de educación informal</v>
      </c>
      <c r="Z154" s="186" t="str">
        <f>CONCATENATE(P154,Q154,R154,S154,V154)</f>
        <v>O23011745032024025507002</v>
      </c>
      <c r="AA154" s="186" t="str">
        <f>IFERROR(VLOOKUP(Y154,TD!$K$47:$L$65,2,0)," ")</f>
        <v>PM/0131/0107/45030020255</v>
      </c>
      <c r="AB154" s="53" t="s">
        <v>138</v>
      </c>
      <c r="AC154" s="188" t="s">
        <v>204</v>
      </c>
    </row>
    <row r="155" spans="2:29" s="28" customFormat="1" ht="42" x14ac:dyDescent="0.35">
      <c r="B155" s="77">
        <v>20250106</v>
      </c>
      <c r="C155" s="50" t="s">
        <v>209</v>
      </c>
      <c r="D155" s="184" t="s">
        <v>165</v>
      </c>
      <c r="E155" s="51" t="s">
        <v>484</v>
      </c>
      <c r="F155" s="184" t="s">
        <v>397</v>
      </c>
      <c r="G155" s="184" t="s">
        <v>155</v>
      </c>
      <c r="H155" s="93">
        <v>80111600</v>
      </c>
      <c r="I155" s="185">
        <v>2</v>
      </c>
      <c r="J155" s="185">
        <v>11</v>
      </c>
      <c r="K155" s="52">
        <v>0</v>
      </c>
      <c r="L155" s="53">
        <f>50520613-1175643-10476595-75042</f>
        <v>38793333</v>
      </c>
      <c r="M155" s="184" t="s">
        <v>464</v>
      </c>
      <c r="N155" s="53" t="s">
        <v>113</v>
      </c>
      <c r="O155" s="51" t="s">
        <v>229</v>
      </c>
      <c r="P155" s="186" t="str">
        <f>IFERROR(VLOOKUP(C155,TD!$B$33:$F$37,2,0)," ")</f>
        <v>O230117</v>
      </c>
      <c r="Q155" s="186" t="str">
        <f>IFERROR(VLOOKUP(C155,TD!$B$33:$F$37,3,0)," ")</f>
        <v>4503</v>
      </c>
      <c r="R155" s="186">
        <f>IFERROR(VLOOKUP(C155,TD!$B$33:$F$37,4,0)," ")</f>
        <v>20240255</v>
      </c>
      <c r="S155" s="51" t="s">
        <v>183</v>
      </c>
      <c r="T155" s="186" t="str">
        <f>IFERROR(VLOOKUP(S155,TD!$J$34:$K$44,2,0)," ")</f>
        <v>Servicio de formación en gestión del riesgo de incendios para el personal UAECOB</v>
      </c>
      <c r="U155" s="187" t="str">
        <f>CONCATENATE(S155,"-",T155)</f>
        <v>07-Servicio de formación en gestión del riesgo de incendios para el personal UAECOB</v>
      </c>
      <c r="V155" s="51" t="s">
        <v>233</v>
      </c>
      <c r="W155" s="186" t="str">
        <f>IFERROR(VLOOKUP(V155,TD!$N$34:$O$46,2,0)," ")</f>
        <v>Servicio de educación informal</v>
      </c>
      <c r="X155" s="187" t="str">
        <f>CONCATENATE(V155,"_",W155)</f>
        <v>002_Servicio de educación informal</v>
      </c>
      <c r="Y155" s="187" t="str">
        <f>CONCATENATE(U155," ",X155)</f>
        <v>07-Servicio de formación en gestión del riesgo de incendios para el personal UAECOB 002_Servicio de educación informal</v>
      </c>
      <c r="Z155" s="186" t="str">
        <f>CONCATENATE(P155,Q155,R155,S155,V155)</f>
        <v>O23011745032024025507002</v>
      </c>
      <c r="AA155" s="186" t="str">
        <f>IFERROR(VLOOKUP(Y155,TD!$K$47:$L$65,2,0)," ")</f>
        <v>PM/0131/0107/45030020255</v>
      </c>
      <c r="AB155" s="53" t="s">
        <v>138</v>
      </c>
      <c r="AC155" s="188" t="s">
        <v>204</v>
      </c>
    </row>
    <row r="156" spans="2:29" s="28" customFormat="1" ht="70" x14ac:dyDescent="0.35">
      <c r="B156" s="77">
        <v>20250107</v>
      </c>
      <c r="C156" s="50" t="s">
        <v>209</v>
      </c>
      <c r="D156" s="184" t="s">
        <v>165</v>
      </c>
      <c r="E156" s="51" t="s">
        <v>484</v>
      </c>
      <c r="F156" s="184" t="s">
        <v>714</v>
      </c>
      <c r="G156" s="184" t="s">
        <v>155</v>
      </c>
      <c r="H156" s="93">
        <v>80111600</v>
      </c>
      <c r="I156" s="185">
        <v>2</v>
      </c>
      <c r="J156" s="185">
        <v>11</v>
      </c>
      <c r="K156" s="52">
        <v>0</v>
      </c>
      <c r="L156" s="53">
        <f>69603600-16053600-2450000</f>
        <v>51100000</v>
      </c>
      <c r="M156" s="184" t="s">
        <v>464</v>
      </c>
      <c r="N156" s="53" t="s">
        <v>113</v>
      </c>
      <c r="O156" s="51" t="s">
        <v>229</v>
      </c>
      <c r="P156" s="186" t="str">
        <f>IFERROR(VLOOKUP(C156,TD!$B$33:$F$37,2,0)," ")</f>
        <v>O230117</v>
      </c>
      <c r="Q156" s="186" t="str">
        <f>IFERROR(VLOOKUP(C156,TD!$B$33:$F$37,3,0)," ")</f>
        <v>4503</v>
      </c>
      <c r="R156" s="186">
        <f>IFERROR(VLOOKUP(C156,TD!$B$33:$F$37,4,0)," ")</f>
        <v>20240255</v>
      </c>
      <c r="S156" s="51" t="s">
        <v>183</v>
      </c>
      <c r="T156" s="186" t="str">
        <f>IFERROR(VLOOKUP(S156,TD!$J$34:$K$44,2,0)," ")</f>
        <v>Servicio de formación en gestión del riesgo de incendios para el personal UAECOB</v>
      </c>
      <c r="U156" s="187" t="str">
        <f>CONCATENATE(S156,"-",T156)</f>
        <v>07-Servicio de formación en gestión del riesgo de incendios para el personal UAECOB</v>
      </c>
      <c r="V156" s="51" t="s">
        <v>233</v>
      </c>
      <c r="W156" s="186" t="str">
        <f>IFERROR(VLOOKUP(V156,TD!$N$34:$O$46,2,0)," ")</f>
        <v>Servicio de educación informal</v>
      </c>
      <c r="X156" s="187" t="str">
        <f>CONCATENATE(V156,"_",W156)</f>
        <v>002_Servicio de educación informal</v>
      </c>
      <c r="Y156" s="187" t="str">
        <f>CONCATENATE(U156," ",X156)</f>
        <v>07-Servicio de formación en gestión del riesgo de incendios para el personal UAECOB 002_Servicio de educación informal</v>
      </c>
      <c r="Z156" s="186" t="str">
        <f>CONCATENATE(P156,Q156,R156,S156,V156)</f>
        <v>O23011745032024025507002</v>
      </c>
      <c r="AA156" s="186" t="str">
        <f>IFERROR(VLOOKUP(Y156,TD!$K$47:$L$65,2,0)," ")</f>
        <v>PM/0131/0107/45030020255</v>
      </c>
      <c r="AB156" s="53" t="s">
        <v>138</v>
      </c>
      <c r="AC156" s="188" t="s">
        <v>204</v>
      </c>
    </row>
    <row r="157" spans="2:29" s="28" customFormat="1" ht="84" x14ac:dyDescent="0.35">
      <c r="B157" s="77">
        <v>20250108</v>
      </c>
      <c r="C157" s="50" t="s">
        <v>209</v>
      </c>
      <c r="D157" s="184" t="s">
        <v>165</v>
      </c>
      <c r="E157" s="51" t="s">
        <v>484</v>
      </c>
      <c r="F157" s="184" t="s">
        <v>398</v>
      </c>
      <c r="G157" s="184" t="s">
        <v>155</v>
      </c>
      <c r="H157" s="93">
        <v>80111600</v>
      </c>
      <c r="I157" s="185">
        <v>2</v>
      </c>
      <c r="J157" s="185">
        <v>11</v>
      </c>
      <c r="K157" s="52">
        <v>0</v>
      </c>
      <c r="L157" s="53">
        <f>48873328-8302138-71190</f>
        <v>40500000</v>
      </c>
      <c r="M157" s="184" t="s">
        <v>464</v>
      </c>
      <c r="N157" s="53" t="s">
        <v>113</v>
      </c>
      <c r="O157" s="51" t="s">
        <v>229</v>
      </c>
      <c r="P157" s="186" t="str">
        <f>IFERROR(VLOOKUP(C157,TD!$B$33:$F$37,2,0)," ")</f>
        <v>O230117</v>
      </c>
      <c r="Q157" s="186" t="str">
        <f>IFERROR(VLOOKUP(C157,TD!$B$33:$F$37,3,0)," ")</f>
        <v>4503</v>
      </c>
      <c r="R157" s="186">
        <f>IFERROR(VLOOKUP(C157,TD!$B$33:$F$37,4,0)," ")</f>
        <v>20240255</v>
      </c>
      <c r="S157" s="51" t="s">
        <v>183</v>
      </c>
      <c r="T157" s="186" t="str">
        <f>IFERROR(VLOOKUP(S157,TD!$J$34:$K$44,2,0)," ")</f>
        <v>Servicio de formación en gestión del riesgo de incendios para el personal UAECOB</v>
      </c>
      <c r="U157" s="187" t="str">
        <f>CONCATENATE(S157,"-",T157)</f>
        <v>07-Servicio de formación en gestión del riesgo de incendios para el personal UAECOB</v>
      </c>
      <c r="V157" s="51" t="s">
        <v>233</v>
      </c>
      <c r="W157" s="186" t="str">
        <f>IFERROR(VLOOKUP(V157,TD!$N$34:$O$46,2,0)," ")</f>
        <v>Servicio de educación informal</v>
      </c>
      <c r="X157" s="187" t="str">
        <f>CONCATENATE(V157,"_",W157)</f>
        <v>002_Servicio de educación informal</v>
      </c>
      <c r="Y157" s="187" t="str">
        <f>CONCATENATE(U157," ",X157)</f>
        <v>07-Servicio de formación en gestión del riesgo de incendios para el personal UAECOB 002_Servicio de educación informal</v>
      </c>
      <c r="Z157" s="186" t="str">
        <f>CONCATENATE(P157,Q157,R157,S157,V157)</f>
        <v>O23011745032024025507002</v>
      </c>
      <c r="AA157" s="186" t="str">
        <f>IFERROR(VLOOKUP(Y157,TD!$K$47:$L$65,2,0)," ")</f>
        <v>PM/0131/0107/45030020255</v>
      </c>
      <c r="AB157" s="53" t="s">
        <v>138</v>
      </c>
      <c r="AC157" s="188" t="s">
        <v>204</v>
      </c>
    </row>
    <row r="158" spans="2:29" s="28" customFormat="1" ht="84" x14ac:dyDescent="0.35">
      <c r="B158" s="77">
        <v>20250109</v>
      </c>
      <c r="C158" s="50" t="s">
        <v>209</v>
      </c>
      <c r="D158" s="184" t="s">
        <v>165</v>
      </c>
      <c r="E158" s="51" t="s">
        <v>484</v>
      </c>
      <c r="F158" s="184" t="s">
        <v>392</v>
      </c>
      <c r="G158" s="184" t="s">
        <v>155</v>
      </c>
      <c r="H158" s="93">
        <v>80111600</v>
      </c>
      <c r="I158" s="185">
        <v>3</v>
      </c>
      <c r="J158" s="185">
        <v>10</v>
      </c>
      <c r="K158" s="52">
        <v>0</v>
      </c>
      <c r="L158" s="53">
        <f>57697166-11740766-8581400</f>
        <v>37375000</v>
      </c>
      <c r="M158" s="184" t="s">
        <v>464</v>
      </c>
      <c r="N158" s="53" t="s">
        <v>113</v>
      </c>
      <c r="O158" s="51" t="s">
        <v>229</v>
      </c>
      <c r="P158" s="186" t="str">
        <f>IFERROR(VLOOKUP(C158,TD!$B$33:$F$37,2,0)," ")</f>
        <v>O230117</v>
      </c>
      <c r="Q158" s="186" t="str">
        <f>IFERROR(VLOOKUP(C158,TD!$B$33:$F$37,3,0)," ")</f>
        <v>4503</v>
      </c>
      <c r="R158" s="186">
        <f>IFERROR(VLOOKUP(C158,TD!$B$33:$F$37,4,0)," ")</f>
        <v>20240255</v>
      </c>
      <c r="S158" s="51" t="s">
        <v>183</v>
      </c>
      <c r="T158" s="186" t="str">
        <f>IFERROR(VLOOKUP(S158,TD!$J$34:$K$44,2,0)," ")</f>
        <v>Servicio de formación en gestión del riesgo de incendios para el personal UAECOB</v>
      </c>
      <c r="U158" s="187" t="str">
        <f>CONCATENATE(S158,"-",T158)</f>
        <v>07-Servicio de formación en gestión del riesgo de incendios para el personal UAECOB</v>
      </c>
      <c r="V158" s="51" t="s">
        <v>233</v>
      </c>
      <c r="W158" s="186" t="str">
        <f>IFERROR(VLOOKUP(V158,TD!$N$34:$O$46,2,0)," ")</f>
        <v>Servicio de educación informal</v>
      </c>
      <c r="X158" s="187" t="str">
        <f>CONCATENATE(V158,"_",W158)</f>
        <v>002_Servicio de educación informal</v>
      </c>
      <c r="Y158" s="187" t="str">
        <f>CONCATENATE(U158," ",X158)</f>
        <v>07-Servicio de formación en gestión del riesgo de incendios para el personal UAECOB 002_Servicio de educación informal</v>
      </c>
      <c r="Z158" s="186" t="str">
        <f>CONCATENATE(P158,Q158,R158,S158,V158)</f>
        <v>O23011745032024025507002</v>
      </c>
      <c r="AA158" s="186" t="str">
        <f>IFERROR(VLOOKUP(Y158,TD!$K$47:$L$65,2,0)," ")</f>
        <v>PM/0131/0107/45030020255</v>
      </c>
      <c r="AB158" s="53" t="s">
        <v>138</v>
      </c>
      <c r="AC158" s="188" t="s">
        <v>204</v>
      </c>
    </row>
    <row r="159" spans="2:29" s="28" customFormat="1" ht="98" x14ac:dyDescent="0.35">
      <c r="B159" s="77">
        <v>20250110</v>
      </c>
      <c r="C159" s="50" t="s">
        <v>209</v>
      </c>
      <c r="D159" s="184" t="s">
        <v>165</v>
      </c>
      <c r="E159" s="51" t="s">
        <v>484</v>
      </c>
      <c r="F159" s="184" t="s">
        <v>399</v>
      </c>
      <c r="G159" s="184" t="s">
        <v>155</v>
      </c>
      <c r="H159" s="93">
        <v>80111600</v>
      </c>
      <c r="I159" s="185">
        <v>2</v>
      </c>
      <c r="J159" s="185">
        <v>11</v>
      </c>
      <c r="K159" s="52">
        <v>0</v>
      </c>
      <c r="L159" s="53">
        <f>52202700-2255576-9784624-1762500</f>
        <v>38400000</v>
      </c>
      <c r="M159" s="184" t="s">
        <v>464</v>
      </c>
      <c r="N159" s="53" t="s">
        <v>113</v>
      </c>
      <c r="O159" s="51" t="s">
        <v>229</v>
      </c>
      <c r="P159" s="186" t="str">
        <f>IFERROR(VLOOKUP(C159,TD!$B$33:$F$37,2,0)," ")</f>
        <v>O230117</v>
      </c>
      <c r="Q159" s="186" t="str">
        <f>IFERROR(VLOOKUP(C159,TD!$B$33:$F$37,3,0)," ")</f>
        <v>4503</v>
      </c>
      <c r="R159" s="186">
        <f>IFERROR(VLOOKUP(C159,TD!$B$33:$F$37,4,0)," ")</f>
        <v>20240255</v>
      </c>
      <c r="S159" s="51" t="s">
        <v>183</v>
      </c>
      <c r="T159" s="186" t="str">
        <f>IFERROR(VLOOKUP(S159,TD!$J$34:$K$44,2,0)," ")</f>
        <v>Servicio de formación en gestión del riesgo de incendios para el personal UAECOB</v>
      </c>
      <c r="U159" s="187" t="str">
        <f>CONCATENATE(S159,"-",T159)</f>
        <v>07-Servicio de formación en gestión del riesgo de incendios para el personal UAECOB</v>
      </c>
      <c r="V159" s="51" t="s">
        <v>233</v>
      </c>
      <c r="W159" s="186" t="str">
        <f>IFERROR(VLOOKUP(V159,TD!$N$34:$O$46,2,0)," ")</f>
        <v>Servicio de educación informal</v>
      </c>
      <c r="X159" s="187" t="str">
        <f>CONCATENATE(V159,"_",W159)</f>
        <v>002_Servicio de educación informal</v>
      </c>
      <c r="Y159" s="187" t="str">
        <f>CONCATENATE(U159," ",X159)</f>
        <v>07-Servicio de formación en gestión del riesgo de incendios para el personal UAECOB 002_Servicio de educación informal</v>
      </c>
      <c r="Z159" s="186" t="str">
        <f>CONCATENATE(P159,Q159,R159,S159,V159)</f>
        <v>O23011745032024025507002</v>
      </c>
      <c r="AA159" s="186" t="str">
        <f>IFERROR(VLOOKUP(Y159,TD!$K$47:$L$65,2,0)," ")</f>
        <v>PM/0131/0107/45030020255</v>
      </c>
      <c r="AB159" s="53" t="s">
        <v>138</v>
      </c>
      <c r="AC159" s="188" t="s">
        <v>204</v>
      </c>
    </row>
    <row r="160" spans="2:29" s="28" customFormat="1" ht="112" x14ac:dyDescent="0.35">
      <c r="B160" s="77">
        <v>20250111</v>
      </c>
      <c r="C160" s="50" t="s">
        <v>209</v>
      </c>
      <c r="D160" s="184" t="s">
        <v>165</v>
      </c>
      <c r="E160" s="51" t="s">
        <v>484</v>
      </c>
      <c r="F160" s="184" t="s">
        <v>400</v>
      </c>
      <c r="G160" s="184" t="s">
        <v>156</v>
      </c>
      <c r="H160" s="93">
        <v>80111600</v>
      </c>
      <c r="I160" s="185">
        <v>2</v>
      </c>
      <c r="J160" s="185">
        <v>11</v>
      </c>
      <c r="K160" s="52">
        <v>0</v>
      </c>
      <c r="L160" s="53">
        <f>38073169-7058269-499900</f>
        <v>30515000</v>
      </c>
      <c r="M160" s="184" t="s">
        <v>464</v>
      </c>
      <c r="N160" s="53" t="s">
        <v>113</v>
      </c>
      <c r="O160" s="51" t="s">
        <v>229</v>
      </c>
      <c r="P160" s="186" t="str">
        <f>IFERROR(VLOOKUP(C160,TD!$B$33:$F$37,2,0)," ")</f>
        <v>O230117</v>
      </c>
      <c r="Q160" s="186" t="str">
        <f>IFERROR(VLOOKUP(C160,TD!$B$33:$F$37,3,0)," ")</f>
        <v>4503</v>
      </c>
      <c r="R160" s="186">
        <f>IFERROR(VLOOKUP(C160,TD!$B$33:$F$37,4,0)," ")</f>
        <v>20240255</v>
      </c>
      <c r="S160" s="51" t="s">
        <v>183</v>
      </c>
      <c r="T160" s="186" t="str">
        <f>IFERROR(VLOOKUP(S160,TD!$J$34:$K$44,2,0)," ")</f>
        <v>Servicio de formación en gestión del riesgo de incendios para el personal UAECOB</v>
      </c>
      <c r="U160" s="187" t="str">
        <f>CONCATENATE(S160,"-",T160)</f>
        <v>07-Servicio de formación en gestión del riesgo de incendios para el personal UAECOB</v>
      </c>
      <c r="V160" s="51" t="s">
        <v>233</v>
      </c>
      <c r="W160" s="186" t="str">
        <f>IFERROR(VLOOKUP(V160,TD!$N$34:$O$46,2,0)," ")</f>
        <v>Servicio de educación informal</v>
      </c>
      <c r="X160" s="187" t="str">
        <f>CONCATENATE(V160,"_",W160)</f>
        <v>002_Servicio de educación informal</v>
      </c>
      <c r="Y160" s="187" t="str">
        <f>CONCATENATE(U160," ",X160)</f>
        <v>07-Servicio de formación en gestión del riesgo de incendios para el personal UAECOB 002_Servicio de educación informal</v>
      </c>
      <c r="Z160" s="186" t="str">
        <f>CONCATENATE(P160,Q160,R160,S160,V160)</f>
        <v>O23011745032024025507002</v>
      </c>
      <c r="AA160" s="186" t="str">
        <f>IFERROR(VLOOKUP(Y160,TD!$K$47:$L$65,2,0)," ")</f>
        <v>PM/0131/0107/45030020255</v>
      </c>
      <c r="AB160" s="53" t="s">
        <v>138</v>
      </c>
      <c r="AC160" s="188" t="s">
        <v>204</v>
      </c>
    </row>
    <row r="161" spans="2:29" s="28" customFormat="1" ht="56" x14ac:dyDescent="0.35">
      <c r="B161" s="77">
        <v>20250112</v>
      </c>
      <c r="C161" s="50" t="s">
        <v>209</v>
      </c>
      <c r="D161" s="184" t="s">
        <v>165</v>
      </c>
      <c r="E161" s="51" t="s">
        <v>484</v>
      </c>
      <c r="F161" s="184" t="s">
        <v>401</v>
      </c>
      <c r="G161" s="184" t="s">
        <v>156</v>
      </c>
      <c r="H161" s="93">
        <v>80111600</v>
      </c>
      <c r="I161" s="185">
        <v>3</v>
      </c>
      <c r="J161" s="185">
        <v>10</v>
      </c>
      <c r="K161" s="52">
        <v>0</v>
      </c>
      <c r="L161" s="53">
        <f>31638000-9588000</f>
        <v>22050000</v>
      </c>
      <c r="M161" s="184" t="s">
        <v>464</v>
      </c>
      <c r="N161" s="53" t="s">
        <v>113</v>
      </c>
      <c r="O161" s="51" t="s">
        <v>229</v>
      </c>
      <c r="P161" s="186" t="str">
        <f>IFERROR(VLOOKUP(C161,TD!$B$33:$F$37,2,0)," ")</f>
        <v>O230117</v>
      </c>
      <c r="Q161" s="186" t="str">
        <f>IFERROR(VLOOKUP(C161,TD!$B$33:$F$37,3,0)," ")</f>
        <v>4503</v>
      </c>
      <c r="R161" s="186">
        <f>IFERROR(VLOOKUP(C161,TD!$B$33:$F$37,4,0)," ")</f>
        <v>20240255</v>
      </c>
      <c r="S161" s="51" t="s">
        <v>183</v>
      </c>
      <c r="T161" s="186" t="str">
        <f>IFERROR(VLOOKUP(S161,TD!$J$34:$K$44,2,0)," ")</f>
        <v>Servicio de formación en gestión del riesgo de incendios para el personal UAECOB</v>
      </c>
      <c r="U161" s="187" t="str">
        <f>CONCATENATE(S161,"-",T161)</f>
        <v>07-Servicio de formación en gestión del riesgo de incendios para el personal UAECOB</v>
      </c>
      <c r="V161" s="51" t="s">
        <v>233</v>
      </c>
      <c r="W161" s="186" t="str">
        <f>IFERROR(VLOOKUP(V161,TD!$N$34:$O$46,2,0)," ")</f>
        <v>Servicio de educación informal</v>
      </c>
      <c r="X161" s="187" t="str">
        <f>CONCATENATE(V161,"_",W161)</f>
        <v>002_Servicio de educación informal</v>
      </c>
      <c r="Y161" s="187" t="str">
        <f>CONCATENATE(U161," ",X161)</f>
        <v>07-Servicio de formación en gestión del riesgo de incendios para el personal UAECOB 002_Servicio de educación informal</v>
      </c>
      <c r="Z161" s="186" t="str">
        <f>CONCATENATE(P161,Q161,R161,S161,V161)</f>
        <v>O23011745032024025507002</v>
      </c>
      <c r="AA161" s="186" t="str">
        <f>IFERROR(VLOOKUP(Y161,TD!$K$47:$L$65,2,0)," ")</f>
        <v>PM/0131/0107/45030020255</v>
      </c>
      <c r="AB161" s="53" t="s">
        <v>138</v>
      </c>
      <c r="AC161" s="188" t="s">
        <v>204</v>
      </c>
    </row>
    <row r="162" spans="2:29" s="28" customFormat="1" ht="42" x14ac:dyDescent="0.35">
      <c r="B162" s="77">
        <v>20250113</v>
      </c>
      <c r="C162" s="50" t="s">
        <v>209</v>
      </c>
      <c r="D162" s="184" t="s">
        <v>165</v>
      </c>
      <c r="E162" s="51" t="s">
        <v>484</v>
      </c>
      <c r="F162" s="184" t="s">
        <v>402</v>
      </c>
      <c r="G162" s="184" t="s">
        <v>155</v>
      </c>
      <c r="H162" s="93">
        <v>80111600</v>
      </c>
      <c r="I162" s="185">
        <v>2</v>
      </c>
      <c r="J162" s="185">
        <v>11</v>
      </c>
      <c r="K162" s="52">
        <v>0</v>
      </c>
      <c r="L162" s="53">
        <f>62550435-11596035-34400</f>
        <v>50920000</v>
      </c>
      <c r="M162" s="184" t="s">
        <v>464</v>
      </c>
      <c r="N162" s="53" t="s">
        <v>113</v>
      </c>
      <c r="O162" s="51" t="s">
        <v>229</v>
      </c>
      <c r="P162" s="186" t="str">
        <f>IFERROR(VLOOKUP(C162,TD!$B$33:$F$37,2,0)," ")</f>
        <v>O230117</v>
      </c>
      <c r="Q162" s="186" t="str">
        <f>IFERROR(VLOOKUP(C162,TD!$B$33:$F$37,3,0)," ")</f>
        <v>4503</v>
      </c>
      <c r="R162" s="186">
        <f>IFERROR(VLOOKUP(C162,TD!$B$33:$F$37,4,0)," ")</f>
        <v>20240255</v>
      </c>
      <c r="S162" s="51" t="s">
        <v>183</v>
      </c>
      <c r="T162" s="186" t="str">
        <f>IFERROR(VLOOKUP(S162,TD!$J$34:$K$44,2,0)," ")</f>
        <v>Servicio de formación en gestión del riesgo de incendios para el personal UAECOB</v>
      </c>
      <c r="U162" s="187" t="str">
        <f>CONCATENATE(S162,"-",T162)</f>
        <v>07-Servicio de formación en gestión del riesgo de incendios para el personal UAECOB</v>
      </c>
      <c r="V162" s="51" t="s">
        <v>233</v>
      </c>
      <c r="W162" s="186" t="str">
        <f>IFERROR(VLOOKUP(V162,TD!$N$34:$O$46,2,0)," ")</f>
        <v>Servicio de educación informal</v>
      </c>
      <c r="X162" s="187" t="str">
        <f>CONCATENATE(V162,"_",W162)</f>
        <v>002_Servicio de educación informal</v>
      </c>
      <c r="Y162" s="187" t="str">
        <f>CONCATENATE(U162," ",X162)</f>
        <v>07-Servicio de formación en gestión del riesgo de incendios para el personal UAECOB 002_Servicio de educación informal</v>
      </c>
      <c r="Z162" s="186" t="str">
        <f>CONCATENATE(P162,Q162,R162,S162,V162)</f>
        <v>O23011745032024025507002</v>
      </c>
      <c r="AA162" s="186" t="str">
        <f>IFERROR(VLOOKUP(Y162,TD!$K$47:$L$65,2,0)," ")</f>
        <v>PM/0131/0107/45030020255</v>
      </c>
      <c r="AB162" s="53" t="s">
        <v>138</v>
      </c>
      <c r="AC162" s="188" t="s">
        <v>204</v>
      </c>
    </row>
    <row r="163" spans="2:29" s="28" customFormat="1" ht="210" x14ac:dyDescent="0.35">
      <c r="B163" s="77">
        <v>20250115</v>
      </c>
      <c r="C163" s="50" t="s">
        <v>209</v>
      </c>
      <c r="D163" s="184" t="s">
        <v>165</v>
      </c>
      <c r="E163" s="51" t="s">
        <v>484</v>
      </c>
      <c r="F163" s="184" t="s">
        <v>398</v>
      </c>
      <c r="G163" s="184" t="s">
        <v>155</v>
      </c>
      <c r="H163" s="93">
        <v>80111600</v>
      </c>
      <c r="I163" s="185">
        <v>2</v>
      </c>
      <c r="J163" s="185">
        <v>11</v>
      </c>
      <c r="K163" s="52">
        <v>0</v>
      </c>
      <c r="L163" s="53">
        <f>46599610-8282375-67235</f>
        <v>38250000</v>
      </c>
      <c r="M163" s="184" t="s">
        <v>464</v>
      </c>
      <c r="N163" s="53" t="s">
        <v>113</v>
      </c>
      <c r="O163" s="51" t="s">
        <v>229</v>
      </c>
      <c r="P163" s="186" t="str">
        <f>IFERROR(VLOOKUP(C163,TD!$B$33:$F$37,2,0)," ")</f>
        <v>O230117</v>
      </c>
      <c r="Q163" s="186" t="str">
        <f>IFERROR(VLOOKUP(C163,TD!$B$33:$F$37,3,0)," ")</f>
        <v>4503</v>
      </c>
      <c r="R163" s="186">
        <f>IFERROR(VLOOKUP(C163,TD!$B$33:$F$37,4,0)," ")</f>
        <v>20240255</v>
      </c>
      <c r="S163" s="51" t="s">
        <v>183</v>
      </c>
      <c r="T163" s="186" t="str">
        <f>IFERROR(VLOOKUP(S163,TD!$J$34:$K$44,2,0)," ")</f>
        <v>Servicio de formación en gestión del riesgo de incendios para el personal UAECOB</v>
      </c>
      <c r="U163" s="187" t="str">
        <f>CONCATENATE(S163,"-",T163)</f>
        <v>07-Servicio de formación en gestión del riesgo de incendios para el personal UAECOB</v>
      </c>
      <c r="V163" s="51" t="s">
        <v>233</v>
      </c>
      <c r="W163" s="186" t="str">
        <f>IFERROR(VLOOKUP(V163,TD!$N$34:$O$46,2,0)," ")</f>
        <v>Servicio de educación informal</v>
      </c>
      <c r="X163" s="187" t="str">
        <f>CONCATENATE(V163,"_",W163)</f>
        <v>002_Servicio de educación informal</v>
      </c>
      <c r="Y163" s="187" t="str">
        <f>CONCATENATE(U163," ",X163)</f>
        <v>07-Servicio de formación en gestión del riesgo de incendios para el personal UAECOB 002_Servicio de educación informal</v>
      </c>
      <c r="Z163" s="186" t="str">
        <f>CONCATENATE(P163,Q163,R163,S163,V163)</f>
        <v>O23011745032024025507002</v>
      </c>
      <c r="AA163" s="186" t="str">
        <f>IFERROR(VLOOKUP(Y163,TD!$K$47:$L$65,2,0)," ")</f>
        <v>PM/0131/0107/45030020255</v>
      </c>
      <c r="AB163" s="53" t="s">
        <v>138</v>
      </c>
      <c r="AC163" s="188" t="s">
        <v>204</v>
      </c>
    </row>
    <row r="164" spans="2:29" s="28" customFormat="1" ht="84" x14ac:dyDescent="0.35">
      <c r="B164" s="77">
        <v>20250116</v>
      </c>
      <c r="C164" s="50" t="s">
        <v>209</v>
      </c>
      <c r="D164" s="184" t="s">
        <v>165</v>
      </c>
      <c r="E164" s="51" t="s">
        <v>484</v>
      </c>
      <c r="F164" s="184" t="s">
        <v>403</v>
      </c>
      <c r="G164" s="184" t="s">
        <v>155</v>
      </c>
      <c r="H164" s="93">
        <v>80111600</v>
      </c>
      <c r="I164" s="185">
        <v>2</v>
      </c>
      <c r="J164" s="185">
        <v>11</v>
      </c>
      <c r="K164" s="52">
        <v>0</v>
      </c>
      <c r="L164" s="53">
        <f>75403900-12836139-4555261-3612500</f>
        <v>54400000</v>
      </c>
      <c r="M164" s="184" t="s">
        <v>464</v>
      </c>
      <c r="N164" s="53" t="s">
        <v>113</v>
      </c>
      <c r="O164" s="51" t="s">
        <v>229</v>
      </c>
      <c r="P164" s="186" t="str">
        <f>IFERROR(VLOOKUP(C164,TD!$B$33:$F$37,2,0)," ")</f>
        <v>O230117</v>
      </c>
      <c r="Q164" s="186" t="str">
        <f>IFERROR(VLOOKUP(C164,TD!$B$33:$F$37,3,0)," ")</f>
        <v>4503</v>
      </c>
      <c r="R164" s="186">
        <f>IFERROR(VLOOKUP(C164,TD!$B$33:$F$37,4,0)," ")</f>
        <v>20240255</v>
      </c>
      <c r="S164" s="51" t="s">
        <v>183</v>
      </c>
      <c r="T164" s="186" t="str">
        <f>IFERROR(VLOOKUP(S164,TD!$J$34:$K$44,2,0)," ")</f>
        <v>Servicio de formación en gestión del riesgo de incendios para el personal UAECOB</v>
      </c>
      <c r="U164" s="187" t="str">
        <f>CONCATENATE(S164,"-",T164)</f>
        <v>07-Servicio de formación en gestión del riesgo de incendios para el personal UAECOB</v>
      </c>
      <c r="V164" s="51" t="s">
        <v>233</v>
      </c>
      <c r="W164" s="186" t="str">
        <f>IFERROR(VLOOKUP(V164,TD!$N$34:$O$46,2,0)," ")</f>
        <v>Servicio de educación informal</v>
      </c>
      <c r="X164" s="187" t="str">
        <f>CONCATENATE(V164,"_",W164)</f>
        <v>002_Servicio de educación informal</v>
      </c>
      <c r="Y164" s="187" t="str">
        <f>CONCATENATE(U164," ",X164)</f>
        <v>07-Servicio de formación en gestión del riesgo de incendios para el personal UAECOB 002_Servicio de educación informal</v>
      </c>
      <c r="Z164" s="186" t="str">
        <f>CONCATENATE(P164,Q164,R164,S164,V164)</f>
        <v>O23011745032024025507002</v>
      </c>
      <c r="AA164" s="186" t="str">
        <f>IFERROR(VLOOKUP(Y164,TD!$K$47:$L$65,2,0)," ")</f>
        <v>PM/0131/0107/45030020255</v>
      </c>
      <c r="AB164" s="53" t="s">
        <v>138</v>
      </c>
      <c r="AC164" s="188" t="s">
        <v>204</v>
      </c>
    </row>
    <row r="165" spans="2:29" s="28" customFormat="1" ht="224" x14ac:dyDescent="0.35">
      <c r="B165" s="77">
        <v>20250117</v>
      </c>
      <c r="C165" s="50" t="s">
        <v>209</v>
      </c>
      <c r="D165" s="184" t="s">
        <v>165</v>
      </c>
      <c r="E165" s="51" t="s">
        <v>484</v>
      </c>
      <c r="F165" s="184" t="s">
        <v>404</v>
      </c>
      <c r="G165" s="184" t="s">
        <v>156</v>
      </c>
      <c r="H165" s="93">
        <v>80111600</v>
      </c>
      <c r="I165" s="185">
        <v>2</v>
      </c>
      <c r="J165" s="185">
        <v>11</v>
      </c>
      <c r="K165" s="52">
        <v>0</v>
      </c>
      <c r="L165" s="53">
        <f>30045554-3045554</f>
        <v>27000000</v>
      </c>
      <c r="M165" s="184" t="s">
        <v>464</v>
      </c>
      <c r="N165" s="53" t="s">
        <v>113</v>
      </c>
      <c r="O165" s="51" t="s">
        <v>229</v>
      </c>
      <c r="P165" s="186" t="str">
        <f>IFERROR(VLOOKUP(C165,TD!$B$33:$F$37,2,0)," ")</f>
        <v>O230117</v>
      </c>
      <c r="Q165" s="186" t="str">
        <f>IFERROR(VLOOKUP(C165,TD!$B$33:$F$37,3,0)," ")</f>
        <v>4503</v>
      </c>
      <c r="R165" s="186">
        <f>IFERROR(VLOOKUP(C165,TD!$B$33:$F$37,4,0)," ")</f>
        <v>20240255</v>
      </c>
      <c r="S165" s="51" t="s">
        <v>183</v>
      </c>
      <c r="T165" s="186" t="str">
        <f>IFERROR(VLOOKUP(S165,TD!$J$34:$K$44,2,0)," ")</f>
        <v>Servicio de formación en gestión del riesgo de incendios para el personal UAECOB</v>
      </c>
      <c r="U165" s="187" t="str">
        <f>CONCATENATE(S165,"-",T165)</f>
        <v>07-Servicio de formación en gestión del riesgo de incendios para el personal UAECOB</v>
      </c>
      <c r="V165" s="51" t="s">
        <v>233</v>
      </c>
      <c r="W165" s="186" t="str">
        <f>IFERROR(VLOOKUP(V165,TD!$N$34:$O$46,2,0)," ")</f>
        <v>Servicio de educación informal</v>
      </c>
      <c r="X165" s="187" t="str">
        <f>CONCATENATE(V165,"_",W165)</f>
        <v>002_Servicio de educación informal</v>
      </c>
      <c r="Y165" s="187" t="str">
        <f>CONCATENATE(U165," ",X165)</f>
        <v>07-Servicio de formación en gestión del riesgo de incendios para el personal UAECOB 002_Servicio de educación informal</v>
      </c>
      <c r="Z165" s="186" t="str">
        <f>CONCATENATE(P165,Q165,R165,S165,V165)</f>
        <v>O23011745032024025507002</v>
      </c>
      <c r="AA165" s="186" t="str">
        <f>IFERROR(VLOOKUP(Y165,TD!$K$47:$L$65,2,0)," ")</f>
        <v>PM/0131/0107/45030020255</v>
      </c>
      <c r="AB165" s="53" t="s">
        <v>138</v>
      </c>
      <c r="AC165" s="188" t="s">
        <v>204</v>
      </c>
    </row>
    <row r="166" spans="2:29" s="28" customFormat="1" ht="126" x14ac:dyDescent="0.35">
      <c r="B166" s="77">
        <v>20250118</v>
      </c>
      <c r="C166" s="50" t="s">
        <v>209</v>
      </c>
      <c r="D166" s="184" t="s">
        <v>165</v>
      </c>
      <c r="E166" s="51" t="s">
        <v>484</v>
      </c>
      <c r="F166" s="184" t="s">
        <v>405</v>
      </c>
      <c r="G166" s="184" t="s">
        <v>155</v>
      </c>
      <c r="H166" s="93">
        <v>80111600</v>
      </c>
      <c r="I166" s="185">
        <v>2</v>
      </c>
      <c r="J166" s="185">
        <v>11</v>
      </c>
      <c r="K166" s="52">
        <v>0</v>
      </c>
      <c r="L166" s="53">
        <f>46599610-6028510-71100</f>
        <v>40500000</v>
      </c>
      <c r="M166" s="184" t="s">
        <v>464</v>
      </c>
      <c r="N166" s="53" t="s">
        <v>113</v>
      </c>
      <c r="O166" s="51" t="s">
        <v>229</v>
      </c>
      <c r="P166" s="186" t="str">
        <f>IFERROR(VLOOKUP(C166,TD!$B$33:$F$37,2,0)," ")</f>
        <v>O230117</v>
      </c>
      <c r="Q166" s="186" t="str">
        <f>IFERROR(VLOOKUP(C166,TD!$B$33:$F$37,3,0)," ")</f>
        <v>4503</v>
      </c>
      <c r="R166" s="186">
        <f>IFERROR(VLOOKUP(C166,TD!$B$33:$F$37,4,0)," ")</f>
        <v>20240255</v>
      </c>
      <c r="S166" s="51" t="s">
        <v>183</v>
      </c>
      <c r="T166" s="186" t="str">
        <f>IFERROR(VLOOKUP(S166,TD!$J$34:$K$44,2,0)," ")</f>
        <v>Servicio de formación en gestión del riesgo de incendios para el personal UAECOB</v>
      </c>
      <c r="U166" s="187" t="str">
        <f>CONCATENATE(S166,"-",T166)</f>
        <v>07-Servicio de formación en gestión del riesgo de incendios para el personal UAECOB</v>
      </c>
      <c r="V166" s="51" t="s">
        <v>233</v>
      </c>
      <c r="W166" s="186" t="str">
        <f>IFERROR(VLOOKUP(V166,TD!$N$34:$O$46,2,0)," ")</f>
        <v>Servicio de educación informal</v>
      </c>
      <c r="X166" s="187" t="str">
        <f>CONCATENATE(V166,"_",W166)</f>
        <v>002_Servicio de educación informal</v>
      </c>
      <c r="Y166" s="187" t="str">
        <f>CONCATENATE(U166," ",X166)</f>
        <v>07-Servicio de formación en gestión del riesgo de incendios para el personal UAECOB 002_Servicio de educación informal</v>
      </c>
      <c r="Z166" s="186" t="str">
        <f>CONCATENATE(P166,Q166,R166,S166,V166)</f>
        <v>O23011745032024025507002</v>
      </c>
      <c r="AA166" s="186" t="str">
        <f>IFERROR(VLOOKUP(Y166,TD!$K$47:$L$65,2,0)," ")</f>
        <v>PM/0131/0107/45030020255</v>
      </c>
      <c r="AB166" s="53" t="s">
        <v>138</v>
      </c>
      <c r="AC166" s="188" t="s">
        <v>204</v>
      </c>
    </row>
    <row r="167" spans="2:29" s="28" customFormat="1" ht="56" x14ac:dyDescent="0.35">
      <c r="B167" s="77">
        <v>20250119</v>
      </c>
      <c r="C167" s="50" t="s">
        <v>209</v>
      </c>
      <c r="D167" s="184" t="s">
        <v>165</v>
      </c>
      <c r="E167" s="51" t="s">
        <v>484</v>
      </c>
      <c r="F167" s="184" t="s">
        <v>429</v>
      </c>
      <c r="G167" s="184" t="s">
        <v>155</v>
      </c>
      <c r="H167" s="93">
        <v>80111600</v>
      </c>
      <c r="I167" s="185">
        <v>2</v>
      </c>
      <c r="J167" s="185">
        <v>11</v>
      </c>
      <c r="K167" s="52">
        <v>0</v>
      </c>
      <c r="L167" s="53">
        <f>59047054-10946554-40500</f>
        <v>48060000</v>
      </c>
      <c r="M167" s="184" t="s">
        <v>464</v>
      </c>
      <c r="N167" s="53" t="s">
        <v>113</v>
      </c>
      <c r="O167" s="51" t="s">
        <v>229</v>
      </c>
      <c r="P167" s="186" t="str">
        <f>IFERROR(VLOOKUP(C167,TD!$B$33:$F$37,2,0)," ")</f>
        <v>O230117</v>
      </c>
      <c r="Q167" s="186" t="str">
        <f>IFERROR(VLOOKUP(C167,TD!$B$33:$F$37,3,0)," ")</f>
        <v>4503</v>
      </c>
      <c r="R167" s="186">
        <f>IFERROR(VLOOKUP(C167,TD!$B$33:$F$37,4,0)," ")</f>
        <v>20240255</v>
      </c>
      <c r="S167" s="51" t="s">
        <v>183</v>
      </c>
      <c r="T167" s="186" t="str">
        <f>IFERROR(VLOOKUP(S167,TD!$J$34:$K$44,2,0)," ")</f>
        <v>Servicio de formación en gestión del riesgo de incendios para el personal UAECOB</v>
      </c>
      <c r="U167" s="187" t="str">
        <f>CONCATENATE(S167,"-",T167)</f>
        <v>07-Servicio de formación en gestión del riesgo de incendios para el personal UAECOB</v>
      </c>
      <c r="V167" s="51" t="s">
        <v>233</v>
      </c>
      <c r="W167" s="186" t="str">
        <f>IFERROR(VLOOKUP(V167,TD!$N$34:$O$46,2,0)," ")</f>
        <v>Servicio de educación informal</v>
      </c>
      <c r="X167" s="187" t="str">
        <f>CONCATENATE(V167,"_",W167)</f>
        <v>002_Servicio de educación informal</v>
      </c>
      <c r="Y167" s="187" t="str">
        <f>CONCATENATE(U167," ",X167)</f>
        <v>07-Servicio de formación en gestión del riesgo de incendios para el personal UAECOB 002_Servicio de educación informal</v>
      </c>
      <c r="Z167" s="186" t="str">
        <f>CONCATENATE(P167,Q167,R167,S167,V167)</f>
        <v>O23011745032024025507002</v>
      </c>
      <c r="AA167" s="186" t="str">
        <f>IFERROR(VLOOKUP(Y167,TD!$K$47:$L$65,2,0)," ")</f>
        <v>PM/0131/0107/45030020255</v>
      </c>
      <c r="AB167" s="53" t="s">
        <v>138</v>
      </c>
      <c r="AC167" s="188" t="s">
        <v>204</v>
      </c>
    </row>
    <row r="168" spans="2:29" s="28" customFormat="1" ht="56" x14ac:dyDescent="0.35">
      <c r="B168" s="77">
        <v>20250121</v>
      </c>
      <c r="C168" s="50" t="s">
        <v>209</v>
      </c>
      <c r="D168" s="184" t="s">
        <v>165</v>
      </c>
      <c r="E168" s="51" t="s">
        <v>484</v>
      </c>
      <c r="F168" s="184" t="s">
        <v>427</v>
      </c>
      <c r="G168" s="184" t="s">
        <v>155</v>
      </c>
      <c r="H168" s="93">
        <v>80111600</v>
      </c>
      <c r="I168" s="185">
        <v>2</v>
      </c>
      <c r="J168" s="185">
        <v>11</v>
      </c>
      <c r="K168" s="52">
        <v>0</v>
      </c>
      <c r="L168" s="53">
        <f>81204200-8421871-6632329-1410000</f>
        <v>64740000</v>
      </c>
      <c r="M168" s="184" t="s">
        <v>464</v>
      </c>
      <c r="N168" s="53" t="s">
        <v>113</v>
      </c>
      <c r="O168" s="51" t="s">
        <v>229</v>
      </c>
      <c r="P168" s="186" t="str">
        <f>IFERROR(VLOOKUP(C168,TD!$B$33:$F$37,2,0)," ")</f>
        <v>O230117</v>
      </c>
      <c r="Q168" s="186" t="str">
        <f>IFERROR(VLOOKUP(C168,TD!$B$33:$F$37,3,0)," ")</f>
        <v>4503</v>
      </c>
      <c r="R168" s="186">
        <f>IFERROR(VLOOKUP(C168,TD!$B$33:$F$37,4,0)," ")</f>
        <v>20240255</v>
      </c>
      <c r="S168" s="51" t="s">
        <v>183</v>
      </c>
      <c r="T168" s="186" t="str">
        <f>IFERROR(VLOOKUP(S168,TD!$J$34:$K$44,2,0)," ")</f>
        <v>Servicio de formación en gestión del riesgo de incendios para el personal UAECOB</v>
      </c>
      <c r="U168" s="187" t="str">
        <f>CONCATENATE(S168,"-",T168)</f>
        <v>07-Servicio de formación en gestión del riesgo de incendios para el personal UAECOB</v>
      </c>
      <c r="V168" s="51" t="s">
        <v>233</v>
      </c>
      <c r="W168" s="186" t="str">
        <f>IFERROR(VLOOKUP(V168,TD!$N$34:$O$46,2,0)," ")</f>
        <v>Servicio de educación informal</v>
      </c>
      <c r="X168" s="187" t="str">
        <f>CONCATENATE(V168,"_",W168)</f>
        <v>002_Servicio de educación informal</v>
      </c>
      <c r="Y168" s="187" t="str">
        <f>CONCATENATE(U168," ",X168)</f>
        <v>07-Servicio de formación en gestión del riesgo de incendios para el personal UAECOB 002_Servicio de educación informal</v>
      </c>
      <c r="Z168" s="186" t="str">
        <f>CONCATENATE(P168,Q168,R168,S168,V168)</f>
        <v>O23011745032024025507002</v>
      </c>
      <c r="AA168" s="186" t="str">
        <f>IFERROR(VLOOKUP(Y168,TD!$K$47:$L$65,2,0)," ")</f>
        <v>PM/0131/0107/45030020255</v>
      </c>
      <c r="AB168" s="53" t="s">
        <v>138</v>
      </c>
      <c r="AC168" s="188" t="s">
        <v>204</v>
      </c>
    </row>
    <row r="169" spans="2:29" s="28" customFormat="1" ht="70" x14ac:dyDescent="0.35">
      <c r="B169" s="77">
        <v>20250122</v>
      </c>
      <c r="C169" s="50" t="s">
        <v>209</v>
      </c>
      <c r="D169" s="184" t="s">
        <v>165</v>
      </c>
      <c r="E169" s="51" t="s">
        <v>484</v>
      </c>
      <c r="F169" s="184" t="s">
        <v>891</v>
      </c>
      <c r="G169" s="184" t="s">
        <v>155</v>
      </c>
      <c r="H169" s="93">
        <v>80111600</v>
      </c>
      <c r="I169" s="185">
        <v>4</v>
      </c>
      <c r="J169" s="185">
        <v>8</v>
      </c>
      <c r="K169" s="52">
        <v>0</v>
      </c>
      <c r="L169" s="53">
        <f>63563000-363000</f>
        <v>63200000</v>
      </c>
      <c r="M169" s="184" t="s">
        <v>464</v>
      </c>
      <c r="N169" s="53" t="s">
        <v>113</v>
      </c>
      <c r="O169" s="51" t="s">
        <v>229</v>
      </c>
      <c r="P169" s="186" t="str">
        <f>IFERROR(VLOOKUP(C169,TD!$B$33:$F$37,2,0)," ")</f>
        <v>O230117</v>
      </c>
      <c r="Q169" s="186" t="str">
        <f>IFERROR(VLOOKUP(C169,TD!$B$33:$F$37,3,0)," ")</f>
        <v>4503</v>
      </c>
      <c r="R169" s="186">
        <f>IFERROR(VLOOKUP(C169,TD!$B$33:$F$37,4,0)," ")</f>
        <v>20240255</v>
      </c>
      <c r="S169" s="51" t="s">
        <v>183</v>
      </c>
      <c r="T169" s="186" t="str">
        <f>IFERROR(VLOOKUP(S169,TD!$J$34:$K$44,2,0)," ")</f>
        <v>Servicio de formación en gestión del riesgo de incendios para el personal UAECOB</v>
      </c>
      <c r="U169" s="187" t="str">
        <f>CONCATENATE(S169,"-",T169)</f>
        <v>07-Servicio de formación en gestión del riesgo de incendios para el personal UAECOB</v>
      </c>
      <c r="V169" s="51" t="s">
        <v>233</v>
      </c>
      <c r="W169" s="186" t="str">
        <f>IFERROR(VLOOKUP(V169,TD!$N$34:$O$46,2,0)," ")</f>
        <v>Servicio de educación informal</v>
      </c>
      <c r="X169" s="187" t="str">
        <f>CONCATENATE(V169,"_",W169)</f>
        <v>002_Servicio de educación informal</v>
      </c>
      <c r="Y169" s="187" t="str">
        <f>CONCATENATE(U169," ",X169)</f>
        <v>07-Servicio de formación en gestión del riesgo de incendios para el personal UAECOB 002_Servicio de educación informal</v>
      </c>
      <c r="Z169" s="186" t="str">
        <f>CONCATENATE(P169,Q169,R169,S169,V169)</f>
        <v>O23011745032024025507002</v>
      </c>
      <c r="AA169" s="186" t="str">
        <f>IFERROR(VLOOKUP(Y169,TD!$K$47:$L$65,2,0)," ")</f>
        <v>PM/0131/0107/45030020255</v>
      </c>
      <c r="AB169" s="53" t="s">
        <v>138</v>
      </c>
      <c r="AC169" s="188" t="s">
        <v>204</v>
      </c>
    </row>
    <row r="170" spans="2:29" s="28" customFormat="1" ht="70" x14ac:dyDescent="0.35">
      <c r="B170" s="77">
        <v>20250123</v>
      </c>
      <c r="C170" s="50" t="s">
        <v>209</v>
      </c>
      <c r="D170" s="184" t="s">
        <v>165</v>
      </c>
      <c r="E170" s="51" t="s">
        <v>484</v>
      </c>
      <c r="F170" s="184" t="s">
        <v>428</v>
      </c>
      <c r="G170" s="184" t="s">
        <v>156</v>
      </c>
      <c r="H170" s="93">
        <v>80111600</v>
      </c>
      <c r="I170" s="185">
        <v>3</v>
      </c>
      <c r="J170" s="185">
        <v>10</v>
      </c>
      <c r="K170" s="52">
        <v>0</v>
      </c>
      <c r="L170" s="53">
        <f>84368000-10416590-1951410</f>
        <v>72000000</v>
      </c>
      <c r="M170" s="184" t="s">
        <v>464</v>
      </c>
      <c r="N170" s="53" t="s">
        <v>113</v>
      </c>
      <c r="O170" s="51" t="s">
        <v>229</v>
      </c>
      <c r="P170" s="186" t="str">
        <f>IFERROR(VLOOKUP(C170,TD!$B$33:$F$37,2,0)," ")</f>
        <v>O230117</v>
      </c>
      <c r="Q170" s="186" t="str">
        <f>IFERROR(VLOOKUP(C170,TD!$B$33:$F$37,3,0)," ")</f>
        <v>4503</v>
      </c>
      <c r="R170" s="186">
        <f>IFERROR(VLOOKUP(C170,TD!$B$33:$F$37,4,0)," ")</f>
        <v>20240255</v>
      </c>
      <c r="S170" s="51" t="s">
        <v>183</v>
      </c>
      <c r="T170" s="186" t="str">
        <f>IFERROR(VLOOKUP(S170,TD!$J$34:$K$44,2,0)," ")</f>
        <v>Servicio de formación en gestión del riesgo de incendios para el personal UAECOB</v>
      </c>
      <c r="U170" s="187" t="str">
        <f>CONCATENATE(S170,"-",T170)</f>
        <v>07-Servicio de formación en gestión del riesgo de incendios para el personal UAECOB</v>
      </c>
      <c r="V170" s="51" t="s">
        <v>233</v>
      </c>
      <c r="W170" s="186" t="str">
        <f>IFERROR(VLOOKUP(V170,TD!$N$34:$O$46,2,0)," ")</f>
        <v>Servicio de educación informal</v>
      </c>
      <c r="X170" s="187" t="str">
        <f>CONCATENATE(V170,"_",W170)</f>
        <v>002_Servicio de educación informal</v>
      </c>
      <c r="Y170" s="187" t="str">
        <f>CONCATENATE(U170," ",X170)</f>
        <v>07-Servicio de formación en gestión del riesgo de incendios para el personal UAECOB 002_Servicio de educación informal</v>
      </c>
      <c r="Z170" s="186" t="str">
        <f>CONCATENATE(P170,Q170,R170,S170,V170)</f>
        <v>O23011745032024025507002</v>
      </c>
      <c r="AA170" s="186" t="str">
        <f>IFERROR(VLOOKUP(Y170,TD!$K$47:$L$65,2,0)," ")</f>
        <v>PM/0131/0107/45030020255</v>
      </c>
      <c r="AB170" s="53" t="s">
        <v>138</v>
      </c>
      <c r="AC170" s="188" t="s">
        <v>204</v>
      </c>
    </row>
    <row r="171" spans="2:29" s="28" customFormat="1" ht="70" x14ac:dyDescent="0.35">
      <c r="B171" s="77">
        <v>20250124</v>
      </c>
      <c r="C171" s="50" t="s">
        <v>209</v>
      </c>
      <c r="D171" s="184" t="s">
        <v>165</v>
      </c>
      <c r="E171" s="51" t="s">
        <v>484</v>
      </c>
      <c r="F171" s="184" t="s">
        <v>979</v>
      </c>
      <c r="G171" s="184" t="s">
        <v>155</v>
      </c>
      <c r="H171" s="93">
        <v>80111600</v>
      </c>
      <c r="I171" s="185">
        <v>3</v>
      </c>
      <c r="J171" s="185">
        <v>10</v>
      </c>
      <c r="K171" s="52">
        <v>0</v>
      </c>
      <c r="L171" s="53">
        <f>68549000-29063490-12185510+13650000-13650000</f>
        <v>27300000</v>
      </c>
      <c r="M171" s="184" t="s">
        <v>464</v>
      </c>
      <c r="N171" s="53" t="s">
        <v>113</v>
      </c>
      <c r="O171" s="51" t="s">
        <v>229</v>
      </c>
      <c r="P171" s="186" t="str">
        <f>IFERROR(VLOOKUP(C171,TD!$B$33:$F$37,2,0)," ")</f>
        <v>O230117</v>
      </c>
      <c r="Q171" s="186" t="str">
        <f>IFERROR(VLOOKUP(C171,TD!$B$33:$F$37,3,0)," ")</f>
        <v>4503</v>
      </c>
      <c r="R171" s="186">
        <f>IFERROR(VLOOKUP(C171,TD!$B$33:$F$37,4,0)," ")</f>
        <v>20240255</v>
      </c>
      <c r="S171" s="51" t="s">
        <v>183</v>
      </c>
      <c r="T171" s="186" t="str">
        <f>IFERROR(VLOOKUP(S171,TD!$J$34:$K$44,2,0)," ")</f>
        <v>Servicio de formación en gestión del riesgo de incendios para el personal UAECOB</v>
      </c>
      <c r="U171" s="187" t="str">
        <f>CONCATENATE(S171,"-",T171)</f>
        <v>07-Servicio de formación en gestión del riesgo de incendios para el personal UAECOB</v>
      </c>
      <c r="V171" s="51" t="s">
        <v>233</v>
      </c>
      <c r="W171" s="186" t="str">
        <f>IFERROR(VLOOKUP(V171,TD!$N$34:$O$46,2,0)," ")</f>
        <v>Servicio de educación informal</v>
      </c>
      <c r="X171" s="187" t="str">
        <f>CONCATENATE(V171,"_",W171)</f>
        <v>002_Servicio de educación informal</v>
      </c>
      <c r="Y171" s="187" t="str">
        <f>CONCATENATE(U171," ",X171)</f>
        <v>07-Servicio de formación en gestión del riesgo de incendios para el personal UAECOB 002_Servicio de educación informal</v>
      </c>
      <c r="Z171" s="186" t="str">
        <f>CONCATENATE(P171,Q171,R171,S171,V171)</f>
        <v>O23011745032024025507002</v>
      </c>
      <c r="AA171" s="186" t="str">
        <f>IFERROR(VLOOKUP(Y171,TD!$K$47:$L$65,2,0)," ")</f>
        <v>PM/0131/0107/45030020255</v>
      </c>
      <c r="AB171" s="125" t="s">
        <v>120</v>
      </c>
      <c r="AC171" s="188" t="s">
        <v>204</v>
      </c>
    </row>
    <row r="172" spans="2:29" s="28" customFormat="1" ht="56" x14ac:dyDescent="0.35">
      <c r="B172" s="77">
        <v>20250125</v>
      </c>
      <c r="C172" s="50" t="s">
        <v>209</v>
      </c>
      <c r="D172" s="184" t="s">
        <v>165</v>
      </c>
      <c r="E172" s="51" t="s">
        <v>484</v>
      </c>
      <c r="F172" s="184" t="s">
        <v>713</v>
      </c>
      <c r="G172" s="184" t="s">
        <v>155</v>
      </c>
      <c r="H172" s="93">
        <v>80111600</v>
      </c>
      <c r="I172" s="185">
        <v>2</v>
      </c>
      <c r="J172" s="185">
        <v>11</v>
      </c>
      <c r="K172" s="52">
        <v>0</v>
      </c>
      <c r="L172" s="53">
        <f>59163060+3836940</f>
        <v>63000000</v>
      </c>
      <c r="M172" s="184" t="s">
        <v>464</v>
      </c>
      <c r="N172" s="53" t="s">
        <v>113</v>
      </c>
      <c r="O172" s="51" t="s">
        <v>229</v>
      </c>
      <c r="P172" s="186" t="str">
        <f>IFERROR(VLOOKUP(C172,TD!$B$33:$F$37,2,0)," ")</f>
        <v>O230117</v>
      </c>
      <c r="Q172" s="186" t="str">
        <f>IFERROR(VLOOKUP(C172,TD!$B$33:$F$37,3,0)," ")</f>
        <v>4503</v>
      </c>
      <c r="R172" s="186">
        <f>IFERROR(VLOOKUP(C172,TD!$B$33:$F$37,4,0)," ")</f>
        <v>20240255</v>
      </c>
      <c r="S172" s="51" t="s">
        <v>183</v>
      </c>
      <c r="T172" s="186" t="str">
        <f>IFERROR(VLOOKUP(S172,TD!$J$34:$K$44,2,0)," ")</f>
        <v>Servicio de formación en gestión del riesgo de incendios para el personal UAECOB</v>
      </c>
      <c r="U172" s="187" t="str">
        <f>CONCATENATE(S172,"-",T172)</f>
        <v>07-Servicio de formación en gestión del riesgo de incendios para el personal UAECOB</v>
      </c>
      <c r="V172" s="51" t="s">
        <v>233</v>
      </c>
      <c r="W172" s="186" t="str">
        <f>IFERROR(VLOOKUP(V172,TD!$N$34:$O$46,2,0)," ")</f>
        <v>Servicio de educación informal</v>
      </c>
      <c r="X172" s="187" t="str">
        <f>CONCATENATE(V172,"_",W172)</f>
        <v>002_Servicio de educación informal</v>
      </c>
      <c r="Y172" s="187" t="str">
        <f>CONCATENATE(U172," ",X172)</f>
        <v>07-Servicio de formación en gestión del riesgo de incendios para el personal UAECOB 002_Servicio de educación informal</v>
      </c>
      <c r="Z172" s="186" t="str">
        <f>CONCATENATE(P172,Q172,R172,S172,V172)</f>
        <v>O23011745032024025507002</v>
      </c>
      <c r="AA172" s="186" t="str">
        <f>IFERROR(VLOOKUP(Y172,TD!$K$47:$L$65,2,0)," ")</f>
        <v>PM/0131/0107/45030020255</v>
      </c>
      <c r="AB172" s="53" t="s">
        <v>138</v>
      </c>
      <c r="AC172" s="188" t="s">
        <v>204</v>
      </c>
    </row>
    <row r="173" spans="2:29" s="28" customFormat="1" ht="56" x14ac:dyDescent="0.35">
      <c r="B173" s="77">
        <v>20250126</v>
      </c>
      <c r="C173" s="50" t="s">
        <v>209</v>
      </c>
      <c r="D173" s="184" t="s">
        <v>165</v>
      </c>
      <c r="E173" s="51" t="s">
        <v>484</v>
      </c>
      <c r="F173" s="184" t="s">
        <v>432</v>
      </c>
      <c r="G173" s="184" t="s">
        <v>155</v>
      </c>
      <c r="H173" s="93">
        <v>80111600</v>
      </c>
      <c r="I173" s="185">
        <v>3</v>
      </c>
      <c r="J173" s="185">
        <v>10</v>
      </c>
      <c r="K173" s="52">
        <v>0</v>
      </c>
      <c r="L173" s="53">
        <f>68549000-13949000</f>
        <v>54600000</v>
      </c>
      <c r="M173" s="184" t="s">
        <v>464</v>
      </c>
      <c r="N173" s="53" t="s">
        <v>113</v>
      </c>
      <c r="O173" s="51" t="s">
        <v>229</v>
      </c>
      <c r="P173" s="186" t="str">
        <f>IFERROR(VLOOKUP(C173,TD!$B$33:$F$37,2,0)," ")</f>
        <v>O230117</v>
      </c>
      <c r="Q173" s="186" t="str">
        <f>IFERROR(VLOOKUP(C173,TD!$B$33:$F$37,3,0)," ")</f>
        <v>4503</v>
      </c>
      <c r="R173" s="186">
        <f>IFERROR(VLOOKUP(C173,TD!$B$33:$F$37,4,0)," ")</f>
        <v>20240255</v>
      </c>
      <c r="S173" s="51" t="s">
        <v>183</v>
      </c>
      <c r="T173" s="186" t="str">
        <f>IFERROR(VLOOKUP(S173,TD!$J$34:$K$44,2,0)," ")</f>
        <v>Servicio de formación en gestión del riesgo de incendios para el personal UAECOB</v>
      </c>
      <c r="U173" s="187" t="str">
        <f>CONCATENATE(S173,"-",T173)</f>
        <v>07-Servicio de formación en gestión del riesgo de incendios para el personal UAECOB</v>
      </c>
      <c r="V173" s="51" t="s">
        <v>233</v>
      </c>
      <c r="W173" s="186" t="str">
        <f>IFERROR(VLOOKUP(V173,TD!$N$34:$O$46,2,0)," ")</f>
        <v>Servicio de educación informal</v>
      </c>
      <c r="X173" s="187" t="str">
        <f>CONCATENATE(V173,"_",W173)</f>
        <v>002_Servicio de educación informal</v>
      </c>
      <c r="Y173" s="187" t="str">
        <f>CONCATENATE(U173," ",X173)</f>
        <v>07-Servicio de formación en gestión del riesgo de incendios para el personal UAECOB 002_Servicio de educación informal</v>
      </c>
      <c r="Z173" s="186" t="str">
        <f>CONCATENATE(P173,Q173,R173,S173,V173)</f>
        <v>O23011745032024025507002</v>
      </c>
      <c r="AA173" s="186" t="str">
        <f>IFERROR(VLOOKUP(Y173,TD!$K$47:$L$65,2,0)," ")</f>
        <v>PM/0131/0107/45030020255</v>
      </c>
      <c r="AB173" s="53" t="s">
        <v>138</v>
      </c>
      <c r="AC173" s="188" t="s">
        <v>204</v>
      </c>
    </row>
    <row r="174" spans="2:29" s="28" customFormat="1" ht="56" x14ac:dyDescent="0.35">
      <c r="B174" s="77">
        <v>20250127</v>
      </c>
      <c r="C174" s="50" t="s">
        <v>209</v>
      </c>
      <c r="D174" s="184" t="s">
        <v>165</v>
      </c>
      <c r="E174" s="51" t="s">
        <v>484</v>
      </c>
      <c r="F174" s="184" t="s">
        <v>433</v>
      </c>
      <c r="G174" s="184" t="s">
        <v>155</v>
      </c>
      <c r="H174" s="93">
        <v>80111600</v>
      </c>
      <c r="I174" s="185">
        <v>3</v>
      </c>
      <c r="J174" s="185">
        <v>10</v>
      </c>
      <c r="K174" s="52">
        <v>0</v>
      </c>
      <c r="L174" s="53">
        <f>57697166-17610266-2711900</f>
        <v>37375000</v>
      </c>
      <c r="M174" s="184" t="s">
        <v>464</v>
      </c>
      <c r="N174" s="53" t="s">
        <v>113</v>
      </c>
      <c r="O174" s="51" t="s">
        <v>229</v>
      </c>
      <c r="P174" s="186" t="str">
        <f>IFERROR(VLOOKUP(C174,TD!$B$33:$F$37,2,0)," ")</f>
        <v>O230117</v>
      </c>
      <c r="Q174" s="186" t="str">
        <f>IFERROR(VLOOKUP(C174,TD!$B$33:$F$37,3,0)," ")</f>
        <v>4503</v>
      </c>
      <c r="R174" s="186">
        <f>IFERROR(VLOOKUP(C174,TD!$B$33:$F$37,4,0)," ")</f>
        <v>20240255</v>
      </c>
      <c r="S174" s="51" t="s">
        <v>183</v>
      </c>
      <c r="T174" s="186" t="str">
        <f>IFERROR(VLOOKUP(S174,TD!$J$34:$K$44,2,0)," ")</f>
        <v>Servicio de formación en gestión del riesgo de incendios para el personal UAECOB</v>
      </c>
      <c r="U174" s="187" t="str">
        <f>CONCATENATE(S174,"-",T174)</f>
        <v>07-Servicio de formación en gestión del riesgo de incendios para el personal UAECOB</v>
      </c>
      <c r="V174" s="51" t="s">
        <v>233</v>
      </c>
      <c r="W174" s="186" t="str">
        <f>IFERROR(VLOOKUP(V174,TD!$N$34:$O$46,2,0)," ")</f>
        <v>Servicio de educación informal</v>
      </c>
      <c r="X174" s="187" t="str">
        <f>CONCATENATE(V174,"_",W174)</f>
        <v>002_Servicio de educación informal</v>
      </c>
      <c r="Y174" s="187" t="str">
        <f>CONCATENATE(U174," ",X174)</f>
        <v>07-Servicio de formación en gestión del riesgo de incendios para el personal UAECOB 002_Servicio de educación informal</v>
      </c>
      <c r="Z174" s="186" t="str">
        <f>CONCATENATE(P174,Q174,R174,S174,V174)</f>
        <v>O23011745032024025507002</v>
      </c>
      <c r="AA174" s="186" t="str">
        <f>IFERROR(VLOOKUP(Y174,TD!$K$47:$L$65,2,0)," ")</f>
        <v>PM/0131/0107/45030020255</v>
      </c>
      <c r="AB174" s="53" t="s">
        <v>138</v>
      </c>
      <c r="AC174" s="188" t="s">
        <v>204</v>
      </c>
    </row>
    <row r="175" spans="2:29" s="28" customFormat="1" ht="56" x14ac:dyDescent="0.35">
      <c r="B175" s="77">
        <v>20250128</v>
      </c>
      <c r="C175" s="50" t="s">
        <v>209</v>
      </c>
      <c r="D175" s="184" t="s">
        <v>165</v>
      </c>
      <c r="E175" s="51" t="s">
        <v>484</v>
      </c>
      <c r="F175" s="184" t="s">
        <v>433</v>
      </c>
      <c r="G175" s="184" t="s">
        <v>155</v>
      </c>
      <c r="H175" s="93">
        <v>80111600</v>
      </c>
      <c r="I175" s="185">
        <v>3</v>
      </c>
      <c r="J175" s="185">
        <v>10</v>
      </c>
      <c r="K175" s="52">
        <v>0</v>
      </c>
      <c r="L175" s="53">
        <f>57697166-1255224-7613267-11453675</f>
        <v>37375000</v>
      </c>
      <c r="M175" s="184" t="s">
        <v>464</v>
      </c>
      <c r="N175" s="53" t="s">
        <v>113</v>
      </c>
      <c r="O175" s="51" t="s">
        <v>229</v>
      </c>
      <c r="P175" s="186" t="str">
        <f>IFERROR(VLOOKUP(C175,TD!$B$33:$F$37,2,0)," ")</f>
        <v>O230117</v>
      </c>
      <c r="Q175" s="186" t="str">
        <f>IFERROR(VLOOKUP(C175,TD!$B$33:$F$37,3,0)," ")</f>
        <v>4503</v>
      </c>
      <c r="R175" s="186">
        <f>IFERROR(VLOOKUP(C175,TD!$B$33:$F$37,4,0)," ")</f>
        <v>20240255</v>
      </c>
      <c r="S175" s="51" t="s">
        <v>183</v>
      </c>
      <c r="T175" s="186" t="str">
        <f>IFERROR(VLOOKUP(S175,TD!$J$34:$K$44,2,0)," ")</f>
        <v>Servicio de formación en gestión del riesgo de incendios para el personal UAECOB</v>
      </c>
      <c r="U175" s="187" t="str">
        <f>CONCATENATE(S175,"-",T175)</f>
        <v>07-Servicio de formación en gestión del riesgo de incendios para el personal UAECOB</v>
      </c>
      <c r="V175" s="51" t="s">
        <v>233</v>
      </c>
      <c r="W175" s="186" t="str">
        <f>IFERROR(VLOOKUP(V175,TD!$N$34:$O$46,2,0)," ")</f>
        <v>Servicio de educación informal</v>
      </c>
      <c r="X175" s="187" t="str">
        <f>CONCATENATE(V175,"_",W175)</f>
        <v>002_Servicio de educación informal</v>
      </c>
      <c r="Y175" s="187" t="str">
        <f>CONCATENATE(U175," ",X175)</f>
        <v>07-Servicio de formación en gestión del riesgo de incendios para el personal UAECOB 002_Servicio de educación informal</v>
      </c>
      <c r="Z175" s="186" t="str">
        <f>CONCATENATE(P175,Q175,R175,S175,V175)</f>
        <v>O23011745032024025507002</v>
      </c>
      <c r="AA175" s="186" t="str">
        <f>IFERROR(VLOOKUP(Y175,TD!$K$47:$L$65,2,0)," ")</f>
        <v>PM/0131/0107/45030020255</v>
      </c>
      <c r="AB175" s="53" t="s">
        <v>138</v>
      </c>
      <c r="AC175" s="188" t="s">
        <v>204</v>
      </c>
    </row>
    <row r="176" spans="2:29" s="28" customFormat="1" ht="56" x14ac:dyDescent="0.35">
      <c r="B176" s="77">
        <v>20250129</v>
      </c>
      <c r="C176" s="50" t="s">
        <v>209</v>
      </c>
      <c r="D176" s="184" t="s">
        <v>165</v>
      </c>
      <c r="E176" s="51" t="s">
        <v>484</v>
      </c>
      <c r="F176" s="184" t="s">
        <v>434</v>
      </c>
      <c r="G176" s="184" t="s">
        <v>155</v>
      </c>
      <c r="H176" s="93">
        <v>80111600</v>
      </c>
      <c r="I176" s="185">
        <v>4</v>
      </c>
      <c r="J176" s="185">
        <v>9</v>
      </c>
      <c r="K176" s="52">
        <v>0</v>
      </c>
      <c r="L176" s="53">
        <f>75931200-12931200</f>
        <v>63000000</v>
      </c>
      <c r="M176" s="184" t="s">
        <v>464</v>
      </c>
      <c r="N176" s="53" t="s">
        <v>113</v>
      </c>
      <c r="O176" s="51" t="s">
        <v>229</v>
      </c>
      <c r="P176" s="186" t="str">
        <f>IFERROR(VLOOKUP(C176,TD!$B$33:$F$37,2,0)," ")</f>
        <v>O230117</v>
      </c>
      <c r="Q176" s="186" t="str">
        <f>IFERROR(VLOOKUP(C176,TD!$B$33:$F$37,3,0)," ")</f>
        <v>4503</v>
      </c>
      <c r="R176" s="186">
        <f>IFERROR(VLOOKUP(C176,TD!$B$33:$F$37,4,0)," ")</f>
        <v>20240255</v>
      </c>
      <c r="S176" s="51" t="s">
        <v>183</v>
      </c>
      <c r="T176" s="186" t="str">
        <f>IFERROR(VLOOKUP(S176,TD!$J$34:$K$44,2,0)," ")</f>
        <v>Servicio de formación en gestión del riesgo de incendios para el personal UAECOB</v>
      </c>
      <c r="U176" s="187" t="str">
        <f>CONCATENATE(S176,"-",T176)</f>
        <v>07-Servicio de formación en gestión del riesgo de incendios para el personal UAECOB</v>
      </c>
      <c r="V176" s="51" t="s">
        <v>233</v>
      </c>
      <c r="W176" s="186" t="str">
        <f>IFERROR(VLOOKUP(V176,TD!$N$34:$O$46,2,0)," ")</f>
        <v>Servicio de educación informal</v>
      </c>
      <c r="X176" s="187" t="str">
        <f>CONCATENATE(V176,"_",W176)</f>
        <v>002_Servicio de educación informal</v>
      </c>
      <c r="Y176" s="187" t="str">
        <f>CONCATENATE(U176," ",X176)</f>
        <v>07-Servicio de formación en gestión del riesgo de incendios para el personal UAECOB 002_Servicio de educación informal</v>
      </c>
      <c r="Z176" s="186" t="str">
        <f>CONCATENATE(P176,Q176,R176,S176,V176)</f>
        <v>O23011745032024025507002</v>
      </c>
      <c r="AA176" s="186" t="str">
        <f>IFERROR(VLOOKUP(Y176,TD!$K$47:$L$65,2,0)," ")</f>
        <v>PM/0131/0107/45030020255</v>
      </c>
      <c r="AB176" s="125" t="s">
        <v>120</v>
      </c>
      <c r="AC176" s="188" t="s">
        <v>204</v>
      </c>
    </row>
    <row r="177" spans="2:29" s="28" customFormat="1" ht="56" x14ac:dyDescent="0.35">
      <c r="B177" s="77">
        <v>20250130</v>
      </c>
      <c r="C177" s="50" t="s">
        <v>209</v>
      </c>
      <c r="D177" s="184" t="s">
        <v>165</v>
      </c>
      <c r="E177" s="51" t="s">
        <v>484</v>
      </c>
      <c r="F177" s="184" t="s">
        <v>485</v>
      </c>
      <c r="G177" s="184" t="s">
        <v>156</v>
      </c>
      <c r="H177" s="93">
        <v>80111600</v>
      </c>
      <c r="I177" s="185">
        <v>2</v>
      </c>
      <c r="J177" s="185">
        <v>11</v>
      </c>
      <c r="K177" s="52">
        <v>0</v>
      </c>
      <c r="L177" s="53">
        <v>26272000</v>
      </c>
      <c r="M177" s="184" t="s">
        <v>464</v>
      </c>
      <c r="N177" s="53" t="s">
        <v>113</v>
      </c>
      <c r="O177" s="51" t="s">
        <v>229</v>
      </c>
      <c r="P177" s="186" t="str">
        <f>IFERROR(VLOOKUP(C177,TD!$B$33:$F$37,2,0)," ")</f>
        <v>O230117</v>
      </c>
      <c r="Q177" s="186" t="str">
        <f>IFERROR(VLOOKUP(C177,TD!$B$33:$F$37,3,0)," ")</f>
        <v>4503</v>
      </c>
      <c r="R177" s="186">
        <f>IFERROR(VLOOKUP(C177,TD!$B$33:$F$37,4,0)," ")</f>
        <v>20240255</v>
      </c>
      <c r="S177" s="51" t="s">
        <v>183</v>
      </c>
      <c r="T177" s="186" t="str">
        <f>IFERROR(VLOOKUP(S177,TD!$J$34:$K$44,2,0)," ")</f>
        <v>Servicio de formación en gestión del riesgo de incendios para el personal UAECOB</v>
      </c>
      <c r="U177" s="187" t="str">
        <f>CONCATENATE(S177,"-",T177)</f>
        <v>07-Servicio de formación en gestión del riesgo de incendios para el personal UAECOB</v>
      </c>
      <c r="V177" s="51" t="s">
        <v>233</v>
      </c>
      <c r="W177" s="186" t="str">
        <f>IFERROR(VLOOKUP(V177,TD!$N$34:$O$46,2,0)," ")</f>
        <v>Servicio de educación informal</v>
      </c>
      <c r="X177" s="187" t="str">
        <f>CONCATENATE(V177,"_",W177)</f>
        <v>002_Servicio de educación informal</v>
      </c>
      <c r="Y177" s="187" t="str">
        <f>CONCATENATE(U177," ",X177)</f>
        <v>07-Servicio de formación en gestión del riesgo de incendios para el personal UAECOB 002_Servicio de educación informal</v>
      </c>
      <c r="Z177" s="186" t="str">
        <f>CONCATENATE(P177,Q177,R177,S177,V177)</f>
        <v>O23011745032024025507002</v>
      </c>
      <c r="AA177" s="186" t="str">
        <f>IFERROR(VLOOKUP(Y177,TD!$K$47:$L$65,2,0)," ")</f>
        <v>PM/0131/0107/45030020255</v>
      </c>
      <c r="AB177" s="53" t="s">
        <v>138</v>
      </c>
      <c r="AC177" s="188" t="s">
        <v>204</v>
      </c>
    </row>
    <row r="178" spans="2:29" s="28" customFormat="1" ht="84" x14ac:dyDescent="0.35">
      <c r="B178" s="77">
        <v>20250132</v>
      </c>
      <c r="C178" s="50" t="s">
        <v>209</v>
      </c>
      <c r="D178" s="184" t="s">
        <v>165</v>
      </c>
      <c r="E178" s="51" t="s">
        <v>484</v>
      </c>
      <c r="F178" s="184" t="s">
        <v>715</v>
      </c>
      <c r="G178" s="184" t="s">
        <v>155</v>
      </c>
      <c r="H178" s="93">
        <v>80111600</v>
      </c>
      <c r="I178" s="185">
        <v>2</v>
      </c>
      <c r="J178" s="185">
        <v>11</v>
      </c>
      <c r="K178" s="52">
        <v>0</v>
      </c>
      <c r="L178" s="53">
        <f>75403900-16427900-576000</f>
        <v>58400000</v>
      </c>
      <c r="M178" s="184" t="s">
        <v>464</v>
      </c>
      <c r="N178" s="53" t="s">
        <v>113</v>
      </c>
      <c r="O178" s="51" t="s">
        <v>229</v>
      </c>
      <c r="P178" s="186" t="str">
        <f>IFERROR(VLOOKUP(C178,TD!$B$33:$F$37,2,0)," ")</f>
        <v>O230117</v>
      </c>
      <c r="Q178" s="186" t="str">
        <f>IFERROR(VLOOKUP(C178,TD!$B$33:$F$37,3,0)," ")</f>
        <v>4503</v>
      </c>
      <c r="R178" s="186">
        <f>IFERROR(VLOOKUP(C178,TD!$B$33:$F$37,4,0)," ")</f>
        <v>20240255</v>
      </c>
      <c r="S178" s="51" t="s">
        <v>183</v>
      </c>
      <c r="T178" s="186" t="str">
        <f>IFERROR(VLOOKUP(S178,TD!$J$34:$K$44,2,0)," ")</f>
        <v>Servicio de formación en gestión del riesgo de incendios para el personal UAECOB</v>
      </c>
      <c r="U178" s="187" t="str">
        <f>CONCATENATE(S178,"-",T178)</f>
        <v>07-Servicio de formación en gestión del riesgo de incendios para el personal UAECOB</v>
      </c>
      <c r="V178" s="51" t="s">
        <v>233</v>
      </c>
      <c r="W178" s="186" t="str">
        <f>IFERROR(VLOOKUP(V178,TD!$N$34:$O$46,2,0)," ")</f>
        <v>Servicio de educación informal</v>
      </c>
      <c r="X178" s="187" t="str">
        <f>CONCATENATE(V178,"_",W178)</f>
        <v>002_Servicio de educación informal</v>
      </c>
      <c r="Y178" s="187" t="str">
        <f>CONCATENATE(U178," ",X178)</f>
        <v>07-Servicio de formación en gestión del riesgo de incendios para el personal UAECOB 002_Servicio de educación informal</v>
      </c>
      <c r="Z178" s="186" t="str">
        <f>CONCATENATE(P178,Q178,R178,S178,V178)</f>
        <v>O23011745032024025507002</v>
      </c>
      <c r="AA178" s="186" t="str">
        <f>IFERROR(VLOOKUP(Y178,TD!$K$47:$L$65,2,0)," ")</f>
        <v>PM/0131/0107/45030020255</v>
      </c>
      <c r="AB178" s="53" t="s">
        <v>138</v>
      </c>
      <c r="AC178" s="188" t="s">
        <v>204</v>
      </c>
    </row>
    <row r="179" spans="2:29" s="28" customFormat="1" ht="56" x14ac:dyDescent="0.35">
      <c r="B179" s="77">
        <v>20250133</v>
      </c>
      <c r="C179" s="50" t="s">
        <v>209</v>
      </c>
      <c r="D179" s="184" t="s">
        <v>165</v>
      </c>
      <c r="E179" s="51" t="s">
        <v>484</v>
      </c>
      <c r="F179" s="184" t="s">
        <v>449</v>
      </c>
      <c r="G179" s="184" t="s">
        <v>155</v>
      </c>
      <c r="H179" s="93">
        <v>80111600</v>
      </c>
      <c r="I179" s="185">
        <v>3</v>
      </c>
      <c r="J179" s="185">
        <v>10</v>
      </c>
      <c r="K179" s="52">
        <v>0</v>
      </c>
      <c r="L179" s="53">
        <f>73822000-9413579-15408421</f>
        <v>49000000</v>
      </c>
      <c r="M179" s="184" t="s">
        <v>464</v>
      </c>
      <c r="N179" s="53" t="s">
        <v>113</v>
      </c>
      <c r="O179" s="51" t="s">
        <v>229</v>
      </c>
      <c r="P179" s="186" t="str">
        <f>IFERROR(VLOOKUP(C179,TD!$B$33:$F$37,2,0)," ")</f>
        <v>O230117</v>
      </c>
      <c r="Q179" s="186" t="str">
        <f>IFERROR(VLOOKUP(C179,TD!$B$33:$F$37,3,0)," ")</f>
        <v>4503</v>
      </c>
      <c r="R179" s="186">
        <f>IFERROR(VLOOKUP(C179,TD!$B$33:$F$37,4,0)," ")</f>
        <v>20240255</v>
      </c>
      <c r="S179" s="51" t="s">
        <v>183</v>
      </c>
      <c r="T179" s="186" t="str">
        <f>IFERROR(VLOOKUP(S179,TD!$J$34:$K$44,2,0)," ")</f>
        <v>Servicio de formación en gestión del riesgo de incendios para el personal UAECOB</v>
      </c>
      <c r="U179" s="187" t="str">
        <f>CONCATENATE(S179,"-",T179)</f>
        <v>07-Servicio de formación en gestión del riesgo de incendios para el personal UAECOB</v>
      </c>
      <c r="V179" s="51" t="s">
        <v>233</v>
      </c>
      <c r="W179" s="186" t="str">
        <f>IFERROR(VLOOKUP(V179,TD!$N$34:$O$46,2,0)," ")</f>
        <v>Servicio de educación informal</v>
      </c>
      <c r="X179" s="187" t="str">
        <f>CONCATENATE(V179,"_",W179)</f>
        <v>002_Servicio de educación informal</v>
      </c>
      <c r="Y179" s="187" t="str">
        <f>CONCATENATE(U179," ",X179)</f>
        <v>07-Servicio de formación en gestión del riesgo de incendios para el personal UAECOB 002_Servicio de educación informal</v>
      </c>
      <c r="Z179" s="186" t="str">
        <f>CONCATENATE(P179,Q179,R179,S179,V179)</f>
        <v>O23011745032024025507002</v>
      </c>
      <c r="AA179" s="186" t="str">
        <f>IFERROR(VLOOKUP(Y179,TD!$K$47:$L$65,2,0)," ")</f>
        <v>PM/0131/0107/45030020255</v>
      </c>
      <c r="AB179" s="53" t="s">
        <v>138</v>
      </c>
      <c r="AC179" s="188" t="s">
        <v>204</v>
      </c>
    </row>
    <row r="180" spans="2:29" s="28" customFormat="1" ht="56" x14ac:dyDescent="0.35">
      <c r="B180" s="127">
        <v>20250135</v>
      </c>
      <c r="C180" s="129" t="s">
        <v>209</v>
      </c>
      <c r="D180" s="189" t="s">
        <v>165</v>
      </c>
      <c r="E180" s="190" t="s">
        <v>484</v>
      </c>
      <c r="F180" s="189" t="s">
        <v>993</v>
      </c>
      <c r="G180" s="189" t="s">
        <v>155</v>
      </c>
      <c r="H180" s="130">
        <v>80111600</v>
      </c>
      <c r="I180" s="191">
        <v>3</v>
      </c>
      <c r="J180" s="191">
        <v>10</v>
      </c>
      <c r="K180" s="126">
        <v>0</v>
      </c>
      <c r="L180" s="125">
        <v>25000000</v>
      </c>
      <c r="M180" s="189" t="s">
        <v>464</v>
      </c>
      <c r="N180" s="125" t="s">
        <v>113</v>
      </c>
      <c r="O180" s="190" t="s">
        <v>229</v>
      </c>
      <c r="P180" s="192" t="str">
        <f>IFERROR(VLOOKUP(C180,TD!$B$33:$F$37,2,0)," ")</f>
        <v>O230117</v>
      </c>
      <c r="Q180" s="192" t="str">
        <f>IFERROR(VLOOKUP(C180,TD!$B$33:$F$37,3,0)," ")</f>
        <v>4503</v>
      </c>
      <c r="R180" s="192">
        <f>IFERROR(VLOOKUP(C180,TD!$B$33:$F$37,4,0)," ")</f>
        <v>20240255</v>
      </c>
      <c r="S180" s="190" t="s">
        <v>183</v>
      </c>
      <c r="T180" s="192" t="str">
        <f>IFERROR(VLOOKUP(S180,TD!$J$34:$K$44,2,0)," ")</f>
        <v>Servicio de formación en gestión del riesgo de incendios para el personal UAECOB</v>
      </c>
      <c r="U180" s="187" t="str">
        <f>CONCATENATE(S180,"-",T180)</f>
        <v>07-Servicio de formación en gestión del riesgo de incendios para el personal UAECOB</v>
      </c>
      <c r="V180" s="190" t="s">
        <v>233</v>
      </c>
      <c r="W180" s="192" t="str">
        <f>IFERROR(VLOOKUP(V180,TD!$N$34:$O$46,2,0)," ")</f>
        <v>Servicio de educación informal</v>
      </c>
      <c r="X180" s="187" t="str">
        <f>CONCATENATE(V180,"_",W180)</f>
        <v>002_Servicio de educación informal</v>
      </c>
      <c r="Y180" s="187" t="str">
        <f>CONCATENATE(U180," ",X180)</f>
        <v>07-Servicio de formación en gestión del riesgo de incendios para el personal UAECOB 002_Servicio de educación informal</v>
      </c>
      <c r="Z180" s="192" t="str">
        <f>CONCATENATE(P180,Q180,R180,S180,V180)</f>
        <v>O23011745032024025507002</v>
      </c>
      <c r="AA180" s="192" t="str">
        <f>IFERROR(VLOOKUP(Y180,TD!$K$47:$L$65,2,0)," ")</f>
        <v>PM/0131/0107/45030020255</v>
      </c>
      <c r="AB180" s="53" t="s">
        <v>138</v>
      </c>
      <c r="AC180" s="193" t="s">
        <v>204</v>
      </c>
    </row>
    <row r="181" spans="2:29" s="28" customFormat="1" ht="56" x14ac:dyDescent="0.35">
      <c r="B181" s="77">
        <v>20250136</v>
      </c>
      <c r="C181" s="50" t="s">
        <v>209</v>
      </c>
      <c r="D181" s="184" t="s">
        <v>165</v>
      </c>
      <c r="E181" s="51" t="s">
        <v>484</v>
      </c>
      <c r="F181" s="184" t="s">
        <v>451</v>
      </c>
      <c r="G181" s="184" t="s">
        <v>155</v>
      </c>
      <c r="H181" s="93">
        <v>80111600</v>
      </c>
      <c r="I181" s="185">
        <v>3</v>
      </c>
      <c r="J181" s="185">
        <v>10</v>
      </c>
      <c r="K181" s="52">
        <v>0</v>
      </c>
      <c r="L181" s="53">
        <f>58003000-19503000</f>
        <v>38500000</v>
      </c>
      <c r="M181" s="184" t="s">
        <v>464</v>
      </c>
      <c r="N181" s="53" t="s">
        <v>113</v>
      </c>
      <c r="O181" s="51" t="s">
        <v>229</v>
      </c>
      <c r="P181" s="186" t="str">
        <f>IFERROR(VLOOKUP(C181,TD!$B$33:$F$37,2,0)," ")</f>
        <v>O230117</v>
      </c>
      <c r="Q181" s="186" t="str">
        <f>IFERROR(VLOOKUP(C181,TD!$B$33:$F$37,3,0)," ")</f>
        <v>4503</v>
      </c>
      <c r="R181" s="186">
        <f>IFERROR(VLOOKUP(C181,TD!$B$33:$F$37,4,0)," ")</f>
        <v>20240255</v>
      </c>
      <c r="S181" s="51" t="s">
        <v>183</v>
      </c>
      <c r="T181" s="186" t="str">
        <f>IFERROR(VLOOKUP(S181,TD!$J$34:$K$44,2,0)," ")</f>
        <v>Servicio de formación en gestión del riesgo de incendios para el personal UAECOB</v>
      </c>
      <c r="U181" s="187" t="str">
        <f>CONCATENATE(S181,"-",T181)</f>
        <v>07-Servicio de formación en gestión del riesgo de incendios para el personal UAECOB</v>
      </c>
      <c r="V181" s="51" t="s">
        <v>233</v>
      </c>
      <c r="W181" s="186" t="str">
        <f>IFERROR(VLOOKUP(V181,TD!$N$34:$O$46,2,0)," ")</f>
        <v>Servicio de educación informal</v>
      </c>
      <c r="X181" s="187" t="str">
        <f>CONCATENATE(V181,"_",W181)</f>
        <v>002_Servicio de educación informal</v>
      </c>
      <c r="Y181" s="187" t="str">
        <f>CONCATENATE(U181," ",X181)</f>
        <v>07-Servicio de formación en gestión del riesgo de incendios para el personal UAECOB 002_Servicio de educación informal</v>
      </c>
      <c r="Z181" s="186" t="str">
        <f>CONCATENATE(P181,Q181,R181,S181,V181)</f>
        <v>O23011745032024025507002</v>
      </c>
      <c r="AA181" s="186" t="str">
        <f>IFERROR(VLOOKUP(Y181,TD!$K$47:$L$65,2,0)," ")</f>
        <v>PM/0131/0107/45030020255</v>
      </c>
      <c r="AB181" s="53" t="s">
        <v>138</v>
      </c>
      <c r="AC181" s="188" t="s">
        <v>204</v>
      </c>
    </row>
    <row r="182" spans="2:29" s="28" customFormat="1" ht="70" x14ac:dyDescent="0.35">
      <c r="B182" s="77">
        <v>20250138</v>
      </c>
      <c r="C182" s="50" t="s">
        <v>209</v>
      </c>
      <c r="D182" s="184" t="s">
        <v>165</v>
      </c>
      <c r="E182" s="51" t="s">
        <v>484</v>
      </c>
      <c r="F182" s="184" t="s">
        <v>981</v>
      </c>
      <c r="G182" s="184" t="s">
        <v>156</v>
      </c>
      <c r="H182" s="93">
        <v>80111600</v>
      </c>
      <c r="I182" s="185">
        <v>3</v>
      </c>
      <c r="J182" s="185">
        <v>10</v>
      </c>
      <c r="K182" s="52">
        <v>0</v>
      </c>
      <c r="L182" s="53">
        <f>32806497-19605807-400690</f>
        <v>12800000</v>
      </c>
      <c r="M182" s="184" t="s">
        <v>464</v>
      </c>
      <c r="N182" s="53" t="s">
        <v>113</v>
      </c>
      <c r="O182" s="51" t="s">
        <v>229</v>
      </c>
      <c r="P182" s="186" t="str">
        <f>IFERROR(VLOOKUP(C182,TD!$B$33:$F$37,2,0)," ")</f>
        <v>O230117</v>
      </c>
      <c r="Q182" s="186" t="str">
        <f>IFERROR(VLOOKUP(C182,TD!$B$33:$F$37,3,0)," ")</f>
        <v>4503</v>
      </c>
      <c r="R182" s="186">
        <f>IFERROR(VLOOKUP(C182,TD!$B$33:$F$37,4,0)," ")</f>
        <v>20240255</v>
      </c>
      <c r="S182" s="51" t="s">
        <v>183</v>
      </c>
      <c r="T182" s="186" t="str">
        <f>IFERROR(VLOOKUP(S182,TD!$J$34:$K$44,2,0)," ")</f>
        <v>Servicio de formación en gestión del riesgo de incendios para el personal UAECOB</v>
      </c>
      <c r="U182" s="187" t="str">
        <f>CONCATENATE(S182,"-",T182)</f>
        <v>07-Servicio de formación en gestión del riesgo de incendios para el personal UAECOB</v>
      </c>
      <c r="V182" s="51" t="s">
        <v>233</v>
      </c>
      <c r="W182" s="186" t="str">
        <f>IFERROR(VLOOKUP(V182,TD!$N$34:$O$46,2,0)," ")</f>
        <v>Servicio de educación informal</v>
      </c>
      <c r="X182" s="187" t="str">
        <f>CONCATENATE(V182,"_",W182)</f>
        <v>002_Servicio de educación informal</v>
      </c>
      <c r="Y182" s="187" t="str">
        <f>CONCATENATE(U182," ",X182)</f>
        <v>07-Servicio de formación en gestión del riesgo de incendios para el personal UAECOB 002_Servicio de educación informal</v>
      </c>
      <c r="Z182" s="186" t="str">
        <f>CONCATENATE(P182,Q182,R182,S182,V182)</f>
        <v>O23011745032024025507002</v>
      </c>
      <c r="AA182" s="186" t="str">
        <f>IFERROR(VLOOKUP(Y182,TD!$K$47:$L$65,2,0)," ")</f>
        <v>PM/0131/0107/45030020255</v>
      </c>
      <c r="AB182" s="53" t="s">
        <v>138</v>
      </c>
      <c r="AC182" s="188" t="s">
        <v>204</v>
      </c>
    </row>
    <row r="183" spans="2:29" s="28" customFormat="1" ht="56" x14ac:dyDescent="0.35">
      <c r="B183" s="77">
        <v>20250139</v>
      </c>
      <c r="C183" s="50" t="s">
        <v>209</v>
      </c>
      <c r="D183" s="184" t="s">
        <v>165</v>
      </c>
      <c r="E183" s="51" t="s">
        <v>484</v>
      </c>
      <c r="F183" s="184" t="s">
        <v>454</v>
      </c>
      <c r="G183" s="184" t="s">
        <v>155</v>
      </c>
      <c r="H183" s="93">
        <v>80111600</v>
      </c>
      <c r="I183" s="185">
        <v>3</v>
      </c>
      <c r="J183" s="185">
        <v>10</v>
      </c>
      <c r="K183" s="52">
        <v>0</v>
      </c>
      <c r="L183" s="53">
        <f>57697166-17447166</f>
        <v>40250000</v>
      </c>
      <c r="M183" s="184" t="s">
        <v>464</v>
      </c>
      <c r="N183" s="53" t="s">
        <v>113</v>
      </c>
      <c r="O183" s="51" t="s">
        <v>229</v>
      </c>
      <c r="P183" s="186" t="str">
        <f>IFERROR(VLOOKUP(C183,TD!$B$33:$F$37,2,0)," ")</f>
        <v>O230117</v>
      </c>
      <c r="Q183" s="186" t="str">
        <f>IFERROR(VLOOKUP(C183,TD!$B$33:$F$37,3,0)," ")</f>
        <v>4503</v>
      </c>
      <c r="R183" s="186">
        <f>IFERROR(VLOOKUP(C183,TD!$B$33:$F$37,4,0)," ")</f>
        <v>20240255</v>
      </c>
      <c r="S183" s="51" t="s">
        <v>183</v>
      </c>
      <c r="T183" s="186" t="str">
        <f>IFERROR(VLOOKUP(S183,TD!$J$34:$K$44,2,0)," ")</f>
        <v>Servicio de formación en gestión del riesgo de incendios para el personal UAECOB</v>
      </c>
      <c r="U183" s="187" t="str">
        <f>CONCATENATE(S183,"-",T183)</f>
        <v>07-Servicio de formación en gestión del riesgo de incendios para el personal UAECOB</v>
      </c>
      <c r="V183" s="51" t="s">
        <v>233</v>
      </c>
      <c r="W183" s="186" t="str">
        <f>IFERROR(VLOOKUP(V183,TD!$N$34:$O$46,2,0)," ")</f>
        <v>Servicio de educación informal</v>
      </c>
      <c r="X183" s="187" t="str">
        <f>CONCATENATE(V183,"_",W183)</f>
        <v>002_Servicio de educación informal</v>
      </c>
      <c r="Y183" s="187" t="str">
        <f>CONCATENATE(U183," ",X183)</f>
        <v>07-Servicio de formación en gestión del riesgo de incendios para el personal UAECOB 002_Servicio de educación informal</v>
      </c>
      <c r="Z183" s="186" t="str">
        <f>CONCATENATE(P183,Q183,R183,S183,V183)</f>
        <v>O23011745032024025507002</v>
      </c>
      <c r="AA183" s="186" t="str">
        <f>IFERROR(VLOOKUP(Y183,TD!$K$47:$L$65,2,0)," ")</f>
        <v>PM/0131/0107/45030020255</v>
      </c>
      <c r="AB183" s="53" t="s">
        <v>138</v>
      </c>
      <c r="AC183" s="188" t="s">
        <v>204</v>
      </c>
    </row>
    <row r="184" spans="2:29" s="28" customFormat="1" ht="56" x14ac:dyDescent="0.35">
      <c r="B184" s="127">
        <v>20250143</v>
      </c>
      <c r="C184" s="129" t="s">
        <v>209</v>
      </c>
      <c r="D184" s="189" t="s">
        <v>165</v>
      </c>
      <c r="E184" s="190" t="s">
        <v>484</v>
      </c>
      <c r="F184" s="189" t="s">
        <v>901</v>
      </c>
      <c r="G184" s="189" t="s">
        <v>96</v>
      </c>
      <c r="H184" s="130" t="s">
        <v>487</v>
      </c>
      <c r="I184" s="191">
        <v>5</v>
      </c>
      <c r="J184" s="191">
        <v>4</v>
      </c>
      <c r="K184" s="126">
        <v>0</v>
      </c>
      <c r="L184" s="125">
        <v>116618999</v>
      </c>
      <c r="M184" s="189" t="s">
        <v>464</v>
      </c>
      <c r="N184" s="125" t="s">
        <v>113</v>
      </c>
      <c r="O184" s="190" t="s">
        <v>229</v>
      </c>
      <c r="P184" s="192" t="str">
        <f>IFERROR(VLOOKUP(C184,TD!$B$33:$F$37,2,0)," ")</f>
        <v>O230117</v>
      </c>
      <c r="Q184" s="192" t="str">
        <f>IFERROR(VLOOKUP(C184,TD!$B$33:$F$37,3,0)," ")</f>
        <v>4503</v>
      </c>
      <c r="R184" s="192">
        <f>IFERROR(VLOOKUP(C184,TD!$B$33:$F$37,4,0)," ")</f>
        <v>20240255</v>
      </c>
      <c r="S184" s="190" t="s">
        <v>183</v>
      </c>
      <c r="T184" s="192" t="str">
        <f>IFERROR(VLOOKUP(S184,TD!$J$34:$K$44,2,0)," ")</f>
        <v>Servicio de formación en gestión del riesgo de incendios para el personal UAECOB</v>
      </c>
      <c r="U184" s="187" t="str">
        <f>CONCATENATE(S184,"-",T184)</f>
        <v>07-Servicio de formación en gestión del riesgo de incendios para el personal UAECOB</v>
      </c>
      <c r="V184" s="190" t="s">
        <v>233</v>
      </c>
      <c r="W184" s="192" t="str">
        <f>IFERROR(VLOOKUP(V184,TD!$N$34:$O$46,2,0)," ")</f>
        <v>Servicio de educación informal</v>
      </c>
      <c r="X184" s="187" t="str">
        <f>CONCATENATE(V184,"_",W184)</f>
        <v>002_Servicio de educación informal</v>
      </c>
      <c r="Y184" s="187" t="str">
        <f>CONCATENATE(U184," ",X184)</f>
        <v>07-Servicio de formación en gestión del riesgo de incendios para el personal UAECOB 002_Servicio de educación informal</v>
      </c>
      <c r="Z184" s="192" t="str">
        <f>CONCATENATE(P184,Q184,R184,S184,V184)</f>
        <v>O23011745032024025507002</v>
      </c>
      <c r="AA184" s="192" t="str">
        <f>IFERROR(VLOOKUP(Y184,TD!$K$47:$L$65,2,0)," ")</f>
        <v>PM/0131/0107/45030020255</v>
      </c>
      <c r="AB184" s="53" t="s">
        <v>138</v>
      </c>
      <c r="AC184" s="193" t="s">
        <v>204</v>
      </c>
    </row>
    <row r="185" spans="2:29" s="28" customFormat="1" ht="56" x14ac:dyDescent="0.35">
      <c r="B185" s="77">
        <v>20250144</v>
      </c>
      <c r="C185" s="50" t="s">
        <v>209</v>
      </c>
      <c r="D185" s="184" t="s">
        <v>165</v>
      </c>
      <c r="E185" s="51" t="s">
        <v>484</v>
      </c>
      <c r="F185" s="184" t="s">
        <v>1136</v>
      </c>
      <c r="G185" s="184" t="s">
        <v>133</v>
      </c>
      <c r="H185" s="93" t="s">
        <v>487</v>
      </c>
      <c r="I185" s="185">
        <v>9</v>
      </c>
      <c r="J185" s="185">
        <v>2</v>
      </c>
      <c r="K185" s="52">
        <v>0</v>
      </c>
      <c r="L185" s="53">
        <v>0</v>
      </c>
      <c r="M185" s="184" t="s">
        <v>464</v>
      </c>
      <c r="N185" s="53" t="s">
        <v>90</v>
      </c>
      <c r="O185" s="51" t="s">
        <v>229</v>
      </c>
      <c r="P185" s="186" t="str">
        <f>IFERROR(VLOOKUP(C185,TD!$B$33:$F$37,2,0)," ")</f>
        <v>O230117</v>
      </c>
      <c r="Q185" s="186" t="str">
        <f>IFERROR(VLOOKUP(C185,TD!$B$33:$F$37,3,0)," ")</f>
        <v>4503</v>
      </c>
      <c r="R185" s="186">
        <f>IFERROR(VLOOKUP(C185,TD!$B$33:$F$37,4,0)," ")</f>
        <v>20240255</v>
      </c>
      <c r="S185" s="51" t="s">
        <v>183</v>
      </c>
      <c r="T185" s="186" t="str">
        <f>IFERROR(VLOOKUP(S185,TD!$J$34:$K$44,2,0)," ")</f>
        <v>Servicio de formación en gestión del riesgo de incendios para el personal UAECOB</v>
      </c>
      <c r="U185" s="187" t="str">
        <f>CONCATENATE(S185,"-",T185)</f>
        <v>07-Servicio de formación en gestión del riesgo de incendios para el personal UAECOB</v>
      </c>
      <c r="V185" s="51" t="s">
        <v>233</v>
      </c>
      <c r="W185" s="186" t="str">
        <f>IFERROR(VLOOKUP(V185,TD!$N$34:$O$46,2,0)," ")</f>
        <v>Servicio de educación informal</v>
      </c>
      <c r="X185" s="187" t="str">
        <f>CONCATENATE(V185,"_",W185)</f>
        <v>002_Servicio de educación informal</v>
      </c>
      <c r="Y185" s="187" t="str">
        <f>CONCATENATE(U185," ",X185)</f>
        <v>07-Servicio de formación en gestión del riesgo de incendios para el personal UAECOB 002_Servicio de educación informal</v>
      </c>
      <c r="Z185" s="186" t="str">
        <f>CONCATENATE(P185,Q185,R185,S185,V185)</f>
        <v>O23011745032024025507002</v>
      </c>
      <c r="AA185" s="186" t="str">
        <f>IFERROR(VLOOKUP(Y185,TD!$K$47:$L$65,2,0)," ")</f>
        <v>PM/0131/0107/45030020255</v>
      </c>
      <c r="AB185" s="53" t="s">
        <v>138</v>
      </c>
      <c r="AC185" s="188" t="s">
        <v>204</v>
      </c>
    </row>
    <row r="186" spans="2:29" s="28" customFormat="1" ht="56" x14ac:dyDescent="0.35">
      <c r="B186" s="77">
        <v>20250146</v>
      </c>
      <c r="C186" s="50" t="s">
        <v>209</v>
      </c>
      <c r="D186" s="184" t="s">
        <v>165</v>
      </c>
      <c r="E186" s="51" t="s">
        <v>484</v>
      </c>
      <c r="F186" s="184" t="s">
        <v>892</v>
      </c>
      <c r="G186" s="184" t="s">
        <v>109</v>
      </c>
      <c r="H186" s="93" t="s">
        <v>902</v>
      </c>
      <c r="I186" s="185">
        <v>7</v>
      </c>
      <c r="J186" s="185">
        <v>2</v>
      </c>
      <c r="K186" s="52">
        <v>0</v>
      </c>
      <c r="L186" s="53">
        <v>36317435</v>
      </c>
      <c r="M186" s="184" t="s">
        <v>464</v>
      </c>
      <c r="N186" s="53" t="s">
        <v>100</v>
      </c>
      <c r="O186" s="51" t="s">
        <v>229</v>
      </c>
      <c r="P186" s="186" t="str">
        <f>IFERROR(VLOOKUP(C186,TD!$B$33:$F$37,2,0)," ")</f>
        <v>O230117</v>
      </c>
      <c r="Q186" s="186" t="str">
        <f>IFERROR(VLOOKUP(C186,TD!$B$33:$F$37,3,0)," ")</f>
        <v>4503</v>
      </c>
      <c r="R186" s="186">
        <f>IFERROR(VLOOKUP(C186,TD!$B$33:$F$37,4,0)," ")</f>
        <v>20240255</v>
      </c>
      <c r="S186" s="51" t="s">
        <v>183</v>
      </c>
      <c r="T186" s="186" t="str">
        <f>IFERROR(VLOOKUP(S186,TD!$J$34:$K$44,2,0)," ")</f>
        <v>Servicio de formación en gestión del riesgo de incendios para el personal UAECOB</v>
      </c>
      <c r="U186" s="187" t="str">
        <f>CONCATENATE(S186,"-",T186)</f>
        <v>07-Servicio de formación en gestión del riesgo de incendios para el personal UAECOB</v>
      </c>
      <c r="V186" s="51" t="s">
        <v>233</v>
      </c>
      <c r="W186" s="186" t="str">
        <f>IFERROR(VLOOKUP(V186,TD!$N$34:$O$46,2,0)," ")</f>
        <v>Servicio de educación informal</v>
      </c>
      <c r="X186" s="187" t="str">
        <f>CONCATENATE(V186,"_",W186)</f>
        <v>002_Servicio de educación informal</v>
      </c>
      <c r="Y186" s="187" t="str">
        <f>CONCATENATE(U186," ",X186)</f>
        <v>07-Servicio de formación en gestión del riesgo de incendios para el personal UAECOB 002_Servicio de educación informal</v>
      </c>
      <c r="Z186" s="186" t="str">
        <f>CONCATENATE(P186,Q186,R186,S186,V186)</f>
        <v>O23011745032024025507002</v>
      </c>
      <c r="AA186" s="186" t="str">
        <f>IFERROR(VLOOKUP(Y186,TD!$K$47:$L$65,2,0)," ")</f>
        <v>PM/0131/0107/45030020255</v>
      </c>
      <c r="AB186" s="53" t="s">
        <v>138</v>
      </c>
      <c r="AC186" s="188" t="s">
        <v>204</v>
      </c>
    </row>
    <row r="187" spans="2:29" s="28" customFormat="1" ht="56" x14ac:dyDescent="0.35">
      <c r="B187" s="127">
        <v>20250147</v>
      </c>
      <c r="C187" s="129" t="s">
        <v>209</v>
      </c>
      <c r="D187" s="189" t="s">
        <v>165</v>
      </c>
      <c r="E187" s="190" t="s">
        <v>484</v>
      </c>
      <c r="F187" s="189" t="s">
        <v>860</v>
      </c>
      <c r="G187" s="189" t="s">
        <v>109</v>
      </c>
      <c r="H187" s="130" t="s">
        <v>958</v>
      </c>
      <c r="I187" s="191">
        <v>6</v>
      </c>
      <c r="J187" s="191">
        <v>4</v>
      </c>
      <c r="K187" s="126">
        <v>0</v>
      </c>
      <c r="L187" s="125">
        <v>23881100</v>
      </c>
      <c r="M187" s="189" t="s">
        <v>464</v>
      </c>
      <c r="N187" s="125" t="s">
        <v>100</v>
      </c>
      <c r="O187" s="190" t="s">
        <v>229</v>
      </c>
      <c r="P187" s="192" t="str">
        <f>IFERROR(VLOOKUP(C187,TD!$B$33:$F$37,2,0)," ")</f>
        <v>O230117</v>
      </c>
      <c r="Q187" s="192" t="str">
        <f>IFERROR(VLOOKUP(C187,TD!$B$33:$F$37,3,0)," ")</f>
        <v>4503</v>
      </c>
      <c r="R187" s="192">
        <f>IFERROR(VLOOKUP(C187,TD!$B$33:$F$37,4,0)," ")</f>
        <v>20240255</v>
      </c>
      <c r="S187" s="190" t="s">
        <v>183</v>
      </c>
      <c r="T187" s="192" t="str">
        <f>IFERROR(VLOOKUP(S187,TD!$J$34:$K$44,2,0)," ")</f>
        <v>Servicio de formación en gestión del riesgo de incendios para el personal UAECOB</v>
      </c>
      <c r="U187" s="187" t="str">
        <f>CONCATENATE(S187,"-",T187)</f>
        <v>07-Servicio de formación en gestión del riesgo de incendios para el personal UAECOB</v>
      </c>
      <c r="V187" s="190" t="s">
        <v>233</v>
      </c>
      <c r="W187" s="192" t="str">
        <f>IFERROR(VLOOKUP(V187,TD!$N$34:$O$46,2,0)," ")</f>
        <v>Servicio de educación informal</v>
      </c>
      <c r="X187" s="187" t="str">
        <f>CONCATENATE(V187,"_",W187)</f>
        <v>002_Servicio de educación informal</v>
      </c>
      <c r="Y187" s="187" t="str">
        <f>CONCATENATE(U187," ",X187)</f>
        <v>07-Servicio de formación en gestión del riesgo de incendios para el personal UAECOB 002_Servicio de educación informal</v>
      </c>
      <c r="Z187" s="192" t="str">
        <f>CONCATENATE(P187,Q187,R187,S187,V187)</f>
        <v>O23011745032024025507002</v>
      </c>
      <c r="AA187" s="192" t="str">
        <f>IFERROR(VLOOKUP(Y187,TD!$K$47:$L$65,2,0)," ")</f>
        <v>PM/0131/0107/45030020255</v>
      </c>
      <c r="AB187" s="53" t="s">
        <v>138</v>
      </c>
      <c r="AC187" s="193" t="s">
        <v>204</v>
      </c>
    </row>
    <row r="188" spans="2:29" s="28" customFormat="1" ht="56" x14ac:dyDescent="0.35">
      <c r="B188" s="127">
        <v>20250148</v>
      </c>
      <c r="C188" s="129" t="s">
        <v>209</v>
      </c>
      <c r="D188" s="189" t="s">
        <v>165</v>
      </c>
      <c r="E188" s="190" t="s">
        <v>484</v>
      </c>
      <c r="F188" s="189" t="s">
        <v>959</v>
      </c>
      <c r="G188" s="189" t="s">
        <v>119</v>
      </c>
      <c r="H188" s="130" t="s">
        <v>488</v>
      </c>
      <c r="I188" s="191">
        <v>4</v>
      </c>
      <c r="J188" s="191">
        <v>4</v>
      </c>
      <c r="K188" s="126">
        <v>0</v>
      </c>
      <c r="L188" s="125">
        <f>80000000+30000000</f>
        <v>110000000</v>
      </c>
      <c r="M188" s="189" t="s">
        <v>464</v>
      </c>
      <c r="N188" s="125" t="s">
        <v>123</v>
      </c>
      <c r="O188" s="190" t="s">
        <v>229</v>
      </c>
      <c r="P188" s="192" t="str">
        <f>IFERROR(VLOOKUP(C188,TD!$B$33:$F$37,2,0)," ")</f>
        <v>O230117</v>
      </c>
      <c r="Q188" s="192" t="str">
        <f>IFERROR(VLOOKUP(C188,TD!$B$33:$F$37,3,0)," ")</f>
        <v>4503</v>
      </c>
      <c r="R188" s="192">
        <f>IFERROR(VLOOKUP(C188,TD!$B$33:$F$37,4,0)," ")</f>
        <v>20240255</v>
      </c>
      <c r="S188" s="190" t="s">
        <v>183</v>
      </c>
      <c r="T188" s="192" t="str">
        <f>IFERROR(VLOOKUP(S188,TD!$J$34:$K$44,2,0)," ")</f>
        <v>Servicio de formación en gestión del riesgo de incendios para el personal UAECOB</v>
      </c>
      <c r="U188" s="187" t="str">
        <f>CONCATENATE(S188,"-",T188)</f>
        <v>07-Servicio de formación en gestión del riesgo de incendios para el personal UAECOB</v>
      </c>
      <c r="V188" s="190" t="s">
        <v>233</v>
      </c>
      <c r="W188" s="192" t="str">
        <f>IFERROR(VLOOKUP(V188,TD!$N$34:$O$46,2,0)," ")</f>
        <v>Servicio de educación informal</v>
      </c>
      <c r="X188" s="187" t="str">
        <f>CONCATENATE(V188,"_",W188)</f>
        <v>002_Servicio de educación informal</v>
      </c>
      <c r="Y188" s="187" t="str">
        <f>CONCATENATE(U188," ",X188)</f>
        <v>07-Servicio de formación en gestión del riesgo de incendios para el personal UAECOB 002_Servicio de educación informal</v>
      </c>
      <c r="Z188" s="192" t="str">
        <f>CONCATENATE(P188,Q188,R188,S188,V188)</f>
        <v>O23011745032024025507002</v>
      </c>
      <c r="AA188" s="192" t="str">
        <f>IFERROR(VLOOKUP(Y188,TD!$K$47:$L$65,2,0)," ")</f>
        <v>PM/0131/0107/45030020255</v>
      </c>
      <c r="AB188" s="53" t="s">
        <v>138</v>
      </c>
      <c r="AC188" s="193" t="s">
        <v>204</v>
      </c>
    </row>
    <row r="189" spans="2:29" s="28" customFormat="1" ht="56" x14ac:dyDescent="0.35">
      <c r="B189" s="127">
        <v>20250149</v>
      </c>
      <c r="C189" s="129" t="s">
        <v>209</v>
      </c>
      <c r="D189" s="189" t="s">
        <v>165</v>
      </c>
      <c r="E189" s="190" t="s">
        <v>484</v>
      </c>
      <c r="F189" s="189" t="s">
        <v>974</v>
      </c>
      <c r="G189" s="189" t="s">
        <v>155</v>
      </c>
      <c r="H189" s="130">
        <v>80111600</v>
      </c>
      <c r="I189" s="191">
        <v>5</v>
      </c>
      <c r="J189" s="191">
        <v>4</v>
      </c>
      <c r="K189" s="126">
        <v>0</v>
      </c>
      <c r="L189" s="125">
        <v>36458000</v>
      </c>
      <c r="M189" s="189" t="s">
        <v>464</v>
      </c>
      <c r="N189" s="125" t="s">
        <v>113</v>
      </c>
      <c r="O189" s="190" t="s">
        <v>229</v>
      </c>
      <c r="P189" s="192" t="str">
        <f>IFERROR(VLOOKUP(C189,TD!$B$33:$F$37,2,0)," ")</f>
        <v>O230117</v>
      </c>
      <c r="Q189" s="192" t="str">
        <f>IFERROR(VLOOKUP(C189,TD!$B$33:$F$37,3,0)," ")</f>
        <v>4503</v>
      </c>
      <c r="R189" s="192">
        <f>IFERROR(VLOOKUP(C189,TD!$B$33:$F$37,4,0)," ")</f>
        <v>20240255</v>
      </c>
      <c r="S189" s="190" t="s">
        <v>183</v>
      </c>
      <c r="T189" s="192" t="str">
        <f>IFERROR(VLOOKUP(S189,TD!$J$34:$K$44,2,0)," ")</f>
        <v>Servicio de formación en gestión del riesgo de incendios para el personal UAECOB</v>
      </c>
      <c r="U189" s="187" t="str">
        <f>CONCATENATE(S189,"-",T189)</f>
        <v>07-Servicio de formación en gestión del riesgo de incendios para el personal UAECOB</v>
      </c>
      <c r="V189" s="190" t="s">
        <v>233</v>
      </c>
      <c r="W189" s="192" t="str">
        <f>IFERROR(VLOOKUP(V189,TD!$N$34:$O$46,2,0)," ")</f>
        <v>Servicio de educación informal</v>
      </c>
      <c r="X189" s="187" t="str">
        <f>CONCATENATE(V189,"_",W189)</f>
        <v>002_Servicio de educación informal</v>
      </c>
      <c r="Y189" s="187" t="str">
        <f>CONCATENATE(U189," ",X189)</f>
        <v>07-Servicio de formación en gestión del riesgo de incendios para el personal UAECOB 002_Servicio de educación informal</v>
      </c>
      <c r="Z189" s="192" t="str">
        <f>CONCATENATE(P189,Q189,R189,S189,V189)</f>
        <v>O23011745032024025507002</v>
      </c>
      <c r="AA189" s="192" t="str">
        <f>IFERROR(VLOOKUP(Y189,TD!$K$47:$L$65,2,0)," ")</f>
        <v>PM/0131/0107/45030020255</v>
      </c>
      <c r="AB189" s="53" t="s">
        <v>138</v>
      </c>
      <c r="AC189" s="193" t="s">
        <v>204</v>
      </c>
    </row>
    <row r="190" spans="2:29" s="28" customFormat="1" ht="56" x14ac:dyDescent="0.35">
      <c r="B190" s="77">
        <v>20250152</v>
      </c>
      <c r="C190" s="50" t="s">
        <v>346</v>
      </c>
      <c r="D190" s="184" t="s">
        <v>165</v>
      </c>
      <c r="E190" s="51" t="s">
        <v>484</v>
      </c>
      <c r="F190" s="184" t="s">
        <v>861</v>
      </c>
      <c r="G190" s="184" t="s">
        <v>96</v>
      </c>
      <c r="H190" s="93" t="s">
        <v>420</v>
      </c>
      <c r="I190" s="185">
        <v>3</v>
      </c>
      <c r="J190" s="185">
        <v>9</v>
      </c>
      <c r="K190" s="52">
        <v>0</v>
      </c>
      <c r="L190" s="53">
        <v>750000000</v>
      </c>
      <c r="M190" s="184" t="s">
        <v>172</v>
      </c>
      <c r="N190" s="53" t="s">
        <v>90</v>
      </c>
      <c r="O190" s="51" t="s">
        <v>347</v>
      </c>
      <c r="P190" s="186" t="str">
        <f>IFERROR(VLOOKUP(C190,TD!$B$33:$F$37,2,0)," ")</f>
        <v>NA</v>
      </c>
      <c r="Q190" s="186" t="str">
        <f>IFERROR(VLOOKUP(C190,TD!$B$33:$F$37,3,0)," ")</f>
        <v>NA</v>
      </c>
      <c r="R190" s="186" t="str">
        <f>IFERROR(VLOOKUP(C190,TD!$B$33:$F$37,4,0)," ")</f>
        <v>NA</v>
      </c>
      <c r="S190" s="51" t="s">
        <v>406</v>
      </c>
      <c r="T190" s="186" t="str">
        <f>IFERROR(VLOOKUP(S190,TD!$J$34:$K$44,2,0)," ")</f>
        <v>N/A</v>
      </c>
      <c r="U190" s="187" t="str">
        <f>CONCATENATE(S190,"-",T190)</f>
        <v>N/A-N/A</v>
      </c>
      <c r="V190" s="51" t="s">
        <v>406</v>
      </c>
      <c r="W190" s="186" t="str">
        <f>IFERROR(VLOOKUP(V190,TD!$N$34:$O$46,2,0)," ")</f>
        <v>N/A</v>
      </c>
      <c r="X190" s="187" t="str">
        <f>CONCATENATE(V190,"_",W190)</f>
        <v>N/A_N/A</v>
      </c>
      <c r="Y190" s="187" t="str">
        <f>CONCATENATE(U190," ",X190)</f>
        <v>N/A-N/A N/A_N/A</v>
      </c>
      <c r="Z190" s="186" t="str">
        <f>CONCATENATE(P190,Q190,R190,S190,V190)</f>
        <v>NANANAN/AN/A</v>
      </c>
      <c r="AA190" s="186" t="str">
        <f>IFERROR(VLOOKUP(Y190,TD!$K$47:$L$65,2,0)," ")</f>
        <v>N/A</v>
      </c>
      <c r="AB190" s="53" t="s">
        <v>348</v>
      </c>
      <c r="AC190" s="188" t="s">
        <v>204</v>
      </c>
    </row>
    <row r="191" spans="2:29" s="28" customFormat="1" ht="70" x14ac:dyDescent="0.35">
      <c r="B191" s="77">
        <v>20250153</v>
      </c>
      <c r="C191" s="50" t="s">
        <v>346</v>
      </c>
      <c r="D191" s="184" t="s">
        <v>165</v>
      </c>
      <c r="E191" s="51" t="s">
        <v>484</v>
      </c>
      <c r="F191" s="184" t="s">
        <v>489</v>
      </c>
      <c r="G191" s="184" t="s">
        <v>137</v>
      </c>
      <c r="H191" s="93" t="s">
        <v>406</v>
      </c>
      <c r="I191" s="185">
        <v>9</v>
      </c>
      <c r="J191" s="185">
        <v>9</v>
      </c>
      <c r="K191" s="52">
        <v>0</v>
      </c>
      <c r="L191" s="53">
        <v>179741000</v>
      </c>
      <c r="M191" s="184" t="s">
        <v>172</v>
      </c>
      <c r="N191" s="53" t="s">
        <v>128</v>
      </c>
      <c r="O191" s="51" t="s">
        <v>347</v>
      </c>
      <c r="P191" s="186" t="str">
        <f>IFERROR(VLOOKUP(C191,TD!$B$33:$F$37,2,0)," ")</f>
        <v>NA</v>
      </c>
      <c r="Q191" s="186" t="str">
        <f>IFERROR(VLOOKUP(C191,TD!$B$33:$F$37,3,0)," ")</f>
        <v>NA</v>
      </c>
      <c r="R191" s="186" t="str">
        <f>IFERROR(VLOOKUP(C191,TD!$B$33:$F$37,4,0)," ")</f>
        <v>NA</v>
      </c>
      <c r="S191" s="51" t="s">
        <v>406</v>
      </c>
      <c r="T191" s="186" t="str">
        <f>IFERROR(VLOOKUP(S191,TD!$J$34:$K$44,2,0)," ")</f>
        <v>N/A</v>
      </c>
      <c r="U191" s="187" t="str">
        <f>CONCATENATE(S191,"-",T191)</f>
        <v>N/A-N/A</v>
      </c>
      <c r="V191" s="51" t="s">
        <v>406</v>
      </c>
      <c r="W191" s="186" t="str">
        <f>IFERROR(VLOOKUP(V191,TD!$N$34:$O$46,2,0)," ")</f>
        <v>N/A</v>
      </c>
      <c r="X191" s="187" t="str">
        <f>CONCATENATE(V191,"_",W191)</f>
        <v>N/A_N/A</v>
      </c>
      <c r="Y191" s="187" t="str">
        <f>CONCATENATE(U191," ",X191)</f>
        <v>N/A-N/A N/A_N/A</v>
      </c>
      <c r="Z191" s="186" t="str">
        <f>CONCATENATE(P191,Q191,R191,S191,V191)</f>
        <v>NANANAN/AN/A</v>
      </c>
      <c r="AA191" s="186" t="str">
        <f>IFERROR(VLOOKUP(Y191,TD!$K$47:$L$65,2,0)," ")</f>
        <v>N/A</v>
      </c>
      <c r="AB191" s="125" t="s">
        <v>348</v>
      </c>
      <c r="AC191" s="188" t="s">
        <v>204</v>
      </c>
    </row>
    <row r="192" spans="2:29" s="28" customFormat="1" ht="56" x14ac:dyDescent="0.35">
      <c r="B192" s="77">
        <v>20250154</v>
      </c>
      <c r="C192" s="50" t="s">
        <v>346</v>
      </c>
      <c r="D192" s="184" t="s">
        <v>165</v>
      </c>
      <c r="E192" s="51" t="s">
        <v>484</v>
      </c>
      <c r="F192" s="184" t="s">
        <v>862</v>
      </c>
      <c r="G192" s="184" t="s">
        <v>96</v>
      </c>
      <c r="H192" s="93" t="s">
        <v>441</v>
      </c>
      <c r="I192" s="185">
        <v>3</v>
      </c>
      <c r="J192" s="185">
        <v>8</v>
      </c>
      <c r="K192" s="52">
        <v>0</v>
      </c>
      <c r="L192" s="53">
        <v>1620259000</v>
      </c>
      <c r="M192" s="184" t="s">
        <v>172</v>
      </c>
      <c r="N192" s="53" t="s">
        <v>113</v>
      </c>
      <c r="O192" s="51" t="s">
        <v>347</v>
      </c>
      <c r="P192" s="186" t="str">
        <f>IFERROR(VLOOKUP(C192,TD!$B$33:$F$37,2,0)," ")</f>
        <v>NA</v>
      </c>
      <c r="Q192" s="186" t="str">
        <f>IFERROR(VLOOKUP(C192,TD!$B$33:$F$37,3,0)," ")</f>
        <v>NA</v>
      </c>
      <c r="R192" s="186" t="str">
        <f>IFERROR(VLOOKUP(C192,TD!$B$33:$F$37,4,0)," ")</f>
        <v>NA</v>
      </c>
      <c r="S192" s="51" t="s">
        <v>406</v>
      </c>
      <c r="T192" s="186" t="str">
        <f>IFERROR(VLOOKUP(S192,TD!$J$34:$K$44,2,0)," ")</f>
        <v>N/A</v>
      </c>
      <c r="U192" s="187" t="str">
        <f>CONCATENATE(S192,"-",T192)</f>
        <v>N/A-N/A</v>
      </c>
      <c r="V192" s="51" t="s">
        <v>406</v>
      </c>
      <c r="W192" s="186" t="str">
        <f>IFERROR(VLOOKUP(V192,TD!$N$34:$O$46,2,0)," ")</f>
        <v>N/A</v>
      </c>
      <c r="X192" s="187" t="str">
        <f>CONCATENATE(V192,"_",W192)</f>
        <v>N/A_N/A</v>
      </c>
      <c r="Y192" s="187" t="str">
        <f>CONCATENATE(U192," ",X192)</f>
        <v>N/A-N/A N/A_N/A</v>
      </c>
      <c r="Z192" s="186" t="str">
        <f>CONCATENATE(P192,Q192,R192,S192,V192)</f>
        <v>NANANAN/AN/A</v>
      </c>
      <c r="AA192" s="186" t="str">
        <f>IFERROR(VLOOKUP(Y192,TD!$K$47:$L$65,2,0)," ")</f>
        <v>N/A</v>
      </c>
      <c r="AB192" s="53" t="s">
        <v>348</v>
      </c>
      <c r="AC192" s="188" t="s">
        <v>204</v>
      </c>
    </row>
    <row r="193" spans="2:29" s="28" customFormat="1" ht="56" x14ac:dyDescent="0.35">
      <c r="B193" s="77">
        <v>20250156</v>
      </c>
      <c r="C193" s="50" t="s">
        <v>209</v>
      </c>
      <c r="D193" s="184" t="s">
        <v>168</v>
      </c>
      <c r="E193" s="51" t="s">
        <v>603</v>
      </c>
      <c r="F193" s="184" t="s">
        <v>943</v>
      </c>
      <c r="G193" s="184" t="s">
        <v>96</v>
      </c>
      <c r="H193" s="93">
        <v>25172500</v>
      </c>
      <c r="I193" s="185">
        <v>6</v>
      </c>
      <c r="J193" s="185">
        <v>12</v>
      </c>
      <c r="K193" s="52">
        <v>0</v>
      </c>
      <c r="L193" s="53">
        <v>95000000</v>
      </c>
      <c r="M193" s="184" t="s">
        <v>464</v>
      </c>
      <c r="N193" s="53" t="s">
        <v>95</v>
      </c>
      <c r="O193" s="51" t="s">
        <v>224</v>
      </c>
      <c r="P193" s="186" t="str">
        <f>IFERROR(VLOOKUP(C193,TD!$B$33:$F$37,2,0)," ")</f>
        <v>O230117</v>
      </c>
      <c r="Q193" s="186" t="str">
        <f>IFERROR(VLOOKUP(C193,TD!$B$33:$F$37,3,0)," ")</f>
        <v>4503</v>
      </c>
      <c r="R193" s="186">
        <f>IFERROR(VLOOKUP(C193,TD!$B$33:$F$37,4,0)," ")</f>
        <v>20240255</v>
      </c>
      <c r="S193" s="51" t="s">
        <v>187</v>
      </c>
      <c r="T193" s="186" t="str">
        <f>IFERROR(VLOOKUP(S193,TD!$J$34:$K$44,2,0)," ")</f>
        <v>Servicio de mantenimiento, dotación (HEA´s y equipo menor) y adquisición de vehiculos   especializados para la atención de emergencias.</v>
      </c>
      <c r="U193" s="187" t="str">
        <f>CONCATENATE(S193,"-",T193)</f>
        <v>09-Servicio de mantenimiento, dotación (HEA´s y equipo menor) y adquisición de vehiculos   especializados para la atención de emergencias.</v>
      </c>
      <c r="V193" s="51" t="s">
        <v>232</v>
      </c>
      <c r="W193" s="186" t="str">
        <f>IFERROR(VLOOKUP(V193,TD!$N$34:$O$46,2,0)," ")</f>
        <v>Servicio de atención a emergencias y desastres</v>
      </c>
      <c r="X193" s="187" t="str">
        <f>CONCATENATE(V193,"_",W193)</f>
        <v>004_Servicio de atención a emergencias y desastres</v>
      </c>
      <c r="Y193" s="187" t="str">
        <f>CONCATENATE(U193," ",X193)</f>
        <v>09-Servicio de mantenimiento, dotación (HEA´s y equipo menor) y adquisición de vehiculos   especializados para la atención de emergencias. 004_Servicio de atención a emergencias y desastres</v>
      </c>
      <c r="Z193" s="186" t="str">
        <f>CONCATENATE(P193,Q193,R193,S193,V193)</f>
        <v>O23011745032024025509004</v>
      </c>
      <c r="AA193" s="186" t="str">
        <f>IFERROR(VLOOKUP(Y193,TD!$K$47:$L$65,2,0)," ")</f>
        <v>PM/0131/0109/45030040255</v>
      </c>
      <c r="AB193" s="53" t="s">
        <v>87</v>
      </c>
      <c r="AC193" s="188" t="s">
        <v>204</v>
      </c>
    </row>
    <row r="194" spans="2:29" s="28" customFormat="1" ht="70" x14ac:dyDescent="0.35">
      <c r="B194" s="77">
        <v>20250157</v>
      </c>
      <c r="C194" s="50" t="s">
        <v>209</v>
      </c>
      <c r="D194" s="184" t="s">
        <v>168</v>
      </c>
      <c r="E194" s="51" t="s">
        <v>603</v>
      </c>
      <c r="F194" s="184" t="s">
        <v>490</v>
      </c>
      <c r="G194" s="184" t="s">
        <v>96</v>
      </c>
      <c r="H194" s="93" t="s">
        <v>985</v>
      </c>
      <c r="I194" s="185">
        <v>7</v>
      </c>
      <c r="J194" s="185">
        <v>12</v>
      </c>
      <c r="K194" s="52">
        <v>0</v>
      </c>
      <c r="L194" s="53">
        <f>74633400+25366600</f>
        <v>100000000</v>
      </c>
      <c r="M194" s="184" t="s">
        <v>464</v>
      </c>
      <c r="N194" s="53" t="s">
        <v>113</v>
      </c>
      <c r="O194" s="51" t="s">
        <v>224</v>
      </c>
      <c r="P194" s="186" t="str">
        <f>IFERROR(VLOOKUP(C194,TD!$B$33:$F$37,2,0)," ")</f>
        <v>O230117</v>
      </c>
      <c r="Q194" s="186" t="str">
        <f>IFERROR(VLOOKUP(C194,TD!$B$33:$F$37,3,0)," ")</f>
        <v>4503</v>
      </c>
      <c r="R194" s="186">
        <f>IFERROR(VLOOKUP(C194,TD!$B$33:$F$37,4,0)," ")</f>
        <v>20240255</v>
      </c>
      <c r="S194" s="51" t="s">
        <v>187</v>
      </c>
      <c r="T194" s="186" t="str">
        <f>IFERROR(VLOOKUP(S194,TD!$J$34:$K$44,2,0)," ")</f>
        <v>Servicio de mantenimiento, dotación (HEA´s y equipo menor) y adquisición de vehiculos   especializados para la atención de emergencias.</v>
      </c>
      <c r="U194" s="187" t="str">
        <f>CONCATENATE(S194,"-",T194)</f>
        <v>09-Servicio de mantenimiento, dotación (HEA´s y equipo menor) y adquisición de vehiculos   especializados para la atención de emergencias.</v>
      </c>
      <c r="V194" s="51" t="s">
        <v>232</v>
      </c>
      <c r="W194" s="186" t="str">
        <f>IFERROR(VLOOKUP(V194,TD!$N$34:$O$46,2,0)," ")</f>
        <v>Servicio de atención a emergencias y desastres</v>
      </c>
      <c r="X194" s="187" t="str">
        <f>CONCATENATE(V194,"_",W194)</f>
        <v>004_Servicio de atención a emergencias y desastres</v>
      </c>
      <c r="Y194" s="187" t="str">
        <f>CONCATENATE(U194," ",X194)</f>
        <v>09-Servicio de mantenimiento, dotación (HEA´s y equipo menor) y adquisición de vehiculos   especializados para la atención de emergencias. 004_Servicio de atención a emergencias y desastres</v>
      </c>
      <c r="Z194" s="186" t="str">
        <f>CONCATENATE(P194,Q194,R194,S194,V194)</f>
        <v>O23011745032024025509004</v>
      </c>
      <c r="AA194" s="186" t="str">
        <f>IFERROR(VLOOKUP(Y194,TD!$K$47:$L$65,2,0)," ")</f>
        <v>PM/0131/0109/45030040255</v>
      </c>
      <c r="AB194" s="53" t="s">
        <v>87</v>
      </c>
      <c r="AC194" s="188" t="s">
        <v>204</v>
      </c>
    </row>
    <row r="195" spans="2:29" s="28" customFormat="1" ht="56" x14ac:dyDescent="0.35">
      <c r="B195" s="77">
        <v>20250158</v>
      </c>
      <c r="C195" s="50" t="s">
        <v>209</v>
      </c>
      <c r="D195" s="184" t="s">
        <v>168</v>
      </c>
      <c r="E195" s="51" t="s">
        <v>603</v>
      </c>
      <c r="F195" s="184" t="s">
        <v>935</v>
      </c>
      <c r="G195" s="184" t="s">
        <v>146</v>
      </c>
      <c r="H195" s="93">
        <v>78181500</v>
      </c>
      <c r="I195" s="185">
        <v>8</v>
      </c>
      <c r="J195" s="185">
        <v>12</v>
      </c>
      <c r="K195" s="52">
        <v>0</v>
      </c>
      <c r="L195" s="53">
        <v>2100000000</v>
      </c>
      <c r="M195" s="184" t="s">
        <v>464</v>
      </c>
      <c r="N195" s="53" t="s">
        <v>85</v>
      </c>
      <c r="O195" s="51" t="s">
        <v>224</v>
      </c>
      <c r="P195" s="186" t="str">
        <f>IFERROR(VLOOKUP(C195,TD!$B$33:$F$37,2,0)," ")</f>
        <v>O230117</v>
      </c>
      <c r="Q195" s="186" t="str">
        <f>IFERROR(VLOOKUP(C195,TD!$B$33:$F$37,3,0)," ")</f>
        <v>4503</v>
      </c>
      <c r="R195" s="186">
        <f>IFERROR(VLOOKUP(C195,TD!$B$33:$F$37,4,0)," ")</f>
        <v>20240255</v>
      </c>
      <c r="S195" s="51" t="s">
        <v>187</v>
      </c>
      <c r="T195" s="186" t="str">
        <f>IFERROR(VLOOKUP(S195,TD!$J$34:$K$44,2,0)," ")</f>
        <v>Servicio de mantenimiento, dotación (HEA´s y equipo menor) y adquisición de vehiculos   especializados para la atención de emergencias.</v>
      </c>
      <c r="U195" s="187" t="str">
        <f>CONCATENATE(S195,"-",T195)</f>
        <v>09-Servicio de mantenimiento, dotación (HEA´s y equipo menor) y adquisición de vehiculos   especializados para la atención de emergencias.</v>
      </c>
      <c r="V195" s="51" t="s">
        <v>232</v>
      </c>
      <c r="W195" s="186" t="str">
        <f>IFERROR(VLOOKUP(V195,TD!$N$34:$O$46,2,0)," ")</f>
        <v>Servicio de atención a emergencias y desastres</v>
      </c>
      <c r="X195" s="187" t="str">
        <f>CONCATENATE(V195,"_",W195)</f>
        <v>004_Servicio de atención a emergencias y desastres</v>
      </c>
      <c r="Y195" s="187" t="str">
        <f>CONCATENATE(U195," ",X195)</f>
        <v>09-Servicio de mantenimiento, dotación (HEA´s y equipo menor) y adquisición de vehiculos   especializados para la atención de emergencias. 004_Servicio de atención a emergencias y desastres</v>
      </c>
      <c r="Z195" s="186" t="str">
        <f>CONCATENATE(P195,Q195,R195,S195,V195)</f>
        <v>O23011745032024025509004</v>
      </c>
      <c r="AA195" s="186" t="str">
        <f>IFERROR(VLOOKUP(Y195,TD!$K$47:$L$65,2,0)," ")</f>
        <v>PM/0131/0109/45030040255</v>
      </c>
      <c r="AB195" s="53" t="s">
        <v>145</v>
      </c>
      <c r="AC195" s="188" t="s">
        <v>204</v>
      </c>
    </row>
    <row r="196" spans="2:29" s="28" customFormat="1" ht="56" x14ac:dyDescent="0.35">
      <c r="B196" s="77">
        <v>20250159</v>
      </c>
      <c r="C196" s="50" t="s">
        <v>209</v>
      </c>
      <c r="D196" s="184" t="s">
        <v>168</v>
      </c>
      <c r="E196" s="51" t="s">
        <v>603</v>
      </c>
      <c r="F196" s="184" t="s">
        <v>491</v>
      </c>
      <c r="G196" s="184" t="s">
        <v>119</v>
      </c>
      <c r="H196" s="93" t="s">
        <v>386</v>
      </c>
      <c r="I196" s="185">
        <v>8</v>
      </c>
      <c r="J196" s="185">
        <v>8</v>
      </c>
      <c r="K196" s="52">
        <v>0</v>
      </c>
      <c r="L196" s="53">
        <v>64000000</v>
      </c>
      <c r="M196" s="184" t="s">
        <v>464</v>
      </c>
      <c r="N196" s="53" t="s">
        <v>100</v>
      </c>
      <c r="O196" s="51" t="s">
        <v>224</v>
      </c>
      <c r="P196" s="186" t="str">
        <f>IFERROR(VLOOKUP(C196,TD!$B$33:$F$37,2,0)," ")</f>
        <v>O230117</v>
      </c>
      <c r="Q196" s="186" t="str">
        <f>IFERROR(VLOOKUP(C196,TD!$B$33:$F$37,3,0)," ")</f>
        <v>4503</v>
      </c>
      <c r="R196" s="186">
        <f>IFERROR(VLOOKUP(C196,TD!$B$33:$F$37,4,0)," ")</f>
        <v>20240255</v>
      </c>
      <c r="S196" s="51" t="s">
        <v>191</v>
      </c>
      <c r="T196" s="186" t="str">
        <f>IFERROR(VLOOKUP(S196,TD!$J$34:$K$44,2,0)," ")</f>
        <v>Servicio de apoyo   logístico  en eventos operativos y/o emergencias.</v>
      </c>
      <c r="U196" s="187" t="str">
        <f>CONCATENATE(S196,"-",T196)</f>
        <v>12-Servicio de apoyo   logístico  en eventos operativos y/o emergencias.</v>
      </c>
      <c r="V196" s="51" t="s">
        <v>232</v>
      </c>
      <c r="W196" s="186" t="str">
        <f>IFERROR(VLOOKUP(V196,TD!$N$34:$O$46,2,0)," ")</f>
        <v>Servicio de atención a emergencias y desastres</v>
      </c>
      <c r="X196" s="187" t="str">
        <f>CONCATENATE(V196,"_",W196)</f>
        <v>004_Servicio de atención a emergencias y desastres</v>
      </c>
      <c r="Y196" s="187" t="str">
        <f>CONCATENATE(U196," ",X196)</f>
        <v>12-Servicio de apoyo   logístico  en eventos operativos y/o emergencias. 004_Servicio de atención a emergencias y desastres</v>
      </c>
      <c r="Z196" s="186" t="str">
        <f>CONCATENATE(P196,Q196,R196,S196,V196)</f>
        <v>O23011745032024025512004</v>
      </c>
      <c r="AA196" s="186" t="str">
        <f>IFERROR(VLOOKUP(Y196,TD!$K$47:$L$65,2,0)," ")</f>
        <v>PM/0131/0112/45030040255</v>
      </c>
      <c r="AB196" s="53" t="s">
        <v>97</v>
      </c>
      <c r="AC196" s="188" t="s">
        <v>204</v>
      </c>
    </row>
    <row r="197" spans="2:29" s="28" customFormat="1" ht="56" x14ac:dyDescent="0.35">
      <c r="B197" s="77">
        <v>20250160</v>
      </c>
      <c r="C197" s="50" t="s">
        <v>209</v>
      </c>
      <c r="D197" s="184" t="s">
        <v>168</v>
      </c>
      <c r="E197" s="51" t="s">
        <v>603</v>
      </c>
      <c r="F197" s="184" t="s">
        <v>944</v>
      </c>
      <c r="G197" s="184" t="s">
        <v>119</v>
      </c>
      <c r="H197" s="93" t="s">
        <v>1002</v>
      </c>
      <c r="I197" s="185">
        <v>7</v>
      </c>
      <c r="J197" s="185">
        <v>12</v>
      </c>
      <c r="K197" s="52">
        <v>0</v>
      </c>
      <c r="L197" s="53">
        <f>227000000+23000000+20000000+130000000-180000000</f>
        <v>220000000</v>
      </c>
      <c r="M197" s="184" t="s">
        <v>464</v>
      </c>
      <c r="N197" s="53" t="s">
        <v>95</v>
      </c>
      <c r="O197" s="51" t="s">
        <v>224</v>
      </c>
      <c r="P197" s="186" t="str">
        <f>IFERROR(VLOOKUP(C197,TD!$B$33:$F$37,2,0)," ")</f>
        <v>O230117</v>
      </c>
      <c r="Q197" s="186" t="str">
        <f>IFERROR(VLOOKUP(C197,TD!$B$33:$F$37,3,0)," ")</f>
        <v>4503</v>
      </c>
      <c r="R197" s="186">
        <f>IFERROR(VLOOKUP(C197,TD!$B$33:$F$37,4,0)," ")</f>
        <v>20240255</v>
      </c>
      <c r="S197" s="51" t="s">
        <v>191</v>
      </c>
      <c r="T197" s="186" t="str">
        <f>IFERROR(VLOOKUP(S197,TD!$J$34:$K$44,2,0)," ")</f>
        <v>Servicio de apoyo   logístico  en eventos operativos y/o emergencias.</v>
      </c>
      <c r="U197" s="187" t="str">
        <f>CONCATENATE(S197,"-",T197)</f>
        <v>12-Servicio de apoyo   logístico  en eventos operativos y/o emergencias.</v>
      </c>
      <c r="V197" s="51" t="s">
        <v>232</v>
      </c>
      <c r="W197" s="186" t="str">
        <f>IFERROR(VLOOKUP(V197,TD!$N$34:$O$46,2,0)," ")</f>
        <v>Servicio de atención a emergencias y desastres</v>
      </c>
      <c r="X197" s="187" t="str">
        <f>CONCATENATE(V197,"_",W197)</f>
        <v>004_Servicio de atención a emergencias y desastres</v>
      </c>
      <c r="Y197" s="187" t="str">
        <f>CONCATENATE(U197," ",X197)</f>
        <v>12-Servicio de apoyo   logístico  en eventos operativos y/o emergencias. 004_Servicio de atención a emergencias y desastres</v>
      </c>
      <c r="Z197" s="186" t="str">
        <f>CONCATENATE(P197,Q197,R197,S197,V197)</f>
        <v>O23011745032024025512004</v>
      </c>
      <c r="AA197" s="186" t="str">
        <f>IFERROR(VLOOKUP(Y197,TD!$K$47:$L$65,2,0)," ")</f>
        <v>PM/0131/0112/45030040255</v>
      </c>
      <c r="AB197" s="53" t="s">
        <v>110</v>
      </c>
      <c r="AC197" s="188" t="s">
        <v>204</v>
      </c>
    </row>
    <row r="198" spans="2:29" s="28" customFormat="1" ht="56" x14ac:dyDescent="0.35">
      <c r="B198" s="77">
        <v>20250161</v>
      </c>
      <c r="C198" s="50" t="s">
        <v>209</v>
      </c>
      <c r="D198" s="184" t="s">
        <v>168</v>
      </c>
      <c r="E198" s="51" t="s">
        <v>603</v>
      </c>
      <c r="F198" s="184" t="s">
        <v>492</v>
      </c>
      <c r="G198" s="184" t="s">
        <v>119</v>
      </c>
      <c r="H198" s="93">
        <v>15101500</v>
      </c>
      <c r="I198" s="185">
        <v>8</v>
      </c>
      <c r="J198" s="185">
        <v>7</v>
      </c>
      <c r="K198" s="52">
        <v>0</v>
      </c>
      <c r="L198" s="53">
        <f>1080000000-180000000-50000000+121000000-121000000</f>
        <v>850000000</v>
      </c>
      <c r="M198" s="184" t="s">
        <v>464</v>
      </c>
      <c r="N198" s="53" t="s">
        <v>123</v>
      </c>
      <c r="O198" s="51" t="s">
        <v>224</v>
      </c>
      <c r="P198" s="186" t="str">
        <f>IFERROR(VLOOKUP(C198,TD!$B$33:$F$37,2,0)," ")</f>
        <v>O230117</v>
      </c>
      <c r="Q198" s="186" t="str">
        <f>IFERROR(VLOOKUP(C198,TD!$B$33:$F$37,3,0)," ")</f>
        <v>4503</v>
      </c>
      <c r="R198" s="186">
        <f>IFERROR(VLOOKUP(C198,TD!$B$33:$F$37,4,0)," ")</f>
        <v>20240255</v>
      </c>
      <c r="S198" s="51" t="s">
        <v>191</v>
      </c>
      <c r="T198" s="186" t="str">
        <f>IFERROR(VLOOKUP(S198,TD!$J$34:$K$44,2,0)," ")</f>
        <v>Servicio de apoyo   logístico  en eventos operativos y/o emergencias.</v>
      </c>
      <c r="U198" s="187" t="str">
        <f>CONCATENATE(S198,"-",T198)</f>
        <v>12-Servicio de apoyo   logístico  en eventos operativos y/o emergencias.</v>
      </c>
      <c r="V198" s="51" t="s">
        <v>232</v>
      </c>
      <c r="W198" s="186" t="str">
        <f>IFERROR(VLOOKUP(V198,TD!$N$34:$O$46,2,0)," ")</f>
        <v>Servicio de atención a emergencias y desastres</v>
      </c>
      <c r="X198" s="187" t="str">
        <f>CONCATENATE(V198,"_",W198)</f>
        <v>004_Servicio de atención a emergencias y desastres</v>
      </c>
      <c r="Y198" s="187" t="str">
        <f>CONCATENATE(U198," ",X198)</f>
        <v>12-Servicio de apoyo   logístico  en eventos operativos y/o emergencias. 004_Servicio de atención a emergencias y desastres</v>
      </c>
      <c r="Z198" s="186" t="str">
        <f>CONCATENATE(P198,Q198,R198,S198,V198)</f>
        <v>O23011745032024025512004</v>
      </c>
      <c r="AA198" s="186" t="str">
        <f>IFERROR(VLOOKUP(Y198,TD!$K$47:$L$65,2,0)," ")</f>
        <v>PM/0131/0112/45030040255</v>
      </c>
      <c r="AB198" s="53" t="s">
        <v>92</v>
      </c>
      <c r="AC198" s="188" t="s">
        <v>204</v>
      </c>
    </row>
    <row r="199" spans="2:29" s="28" customFormat="1" ht="56" x14ac:dyDescent="0.35">
      <c r="B199" s="77">
        <v>20250162</v>
      </c>
      <c r="C199" s="50" t="s">
        <v>209</v>
      </c>
      <c r="D199" s="184" t="s">
        <v>168</v>
      </c>
      <c r="E199" s="51" t="s">
        <v>603</v>
      </c>
      <c r="F199" s="184" t="s">
        <v>493</v>
      </c>
      <c r="G199" s="184" t="s">
        <v>119</v>
      </c>
      <c r="H199" s="93" t="s">
        <v>1001</v>
      </c>
      <c r="I199" s="185">
        <v>8</v>
      </c>
      <c r="J199" s="185">
        <v>6</v>
      </c>
      <c r="K199" s="52">
        <v>0</v>
      </c>
      <c r="L199" s="53">
        <f>64000000-24000000</f>
        <v>40000000</v>
      </c>
      <c r="M199" s="184" t="s">
        <v>464</v>
      </c>
      <c r="N199" s="53" t="s">
        <v>100</v>
      </c>
      <c r="O199" s="51" t="s">
        <v>224</v>
      </c>
      <c r="P199" s="186" t="str">
        <f>IFERROR(VLOOKUP(C199,TD!$B$33:$F$37,2,0)," ")</f>
        <v>O230117</v>
      </c>
      <c r="Q199" s="186" t="str">
        <f>IFERROR(VLOOKUP(C199,TD!$B$33:$F$37,3,0)," ")</f>
        <v>4503</v>
      </c>
      <c r="R199" s="186">
        <f>IFERROR(VLOOKUP(C199,TD!$B$33:$F$37,4,0)," ")</f>
        <v>20240255</v>
      </c>
      <c r="S199" s="51" t="s">
        <v>191</v>
      </c>
      <c r="T199" s="186" t="str">
        <f>IFERROR(VLOOKUP(S199,TD!$J$34:$K$44,2,0)," ")</f>
        <v>Servicio de apoyo   logístico  en eventos operativos y/o emergencias.</v>
      </c>
      <c r="U199" s="187" t="str">
        <f>CONCATENATE(S199,"-",T199)</f>
        <v>12-Servicio de apoyo   logístico  en eventos operativos y/o emergencias.</v>
      </c>
      <c r="V199" s="51" t="s">
        <v>232</v>
      </c>
      <c r="W199" s="186" t="str">
        <f>IFERROR(VLOOKUP(V199,TD!$N$34:$O$46,2,0)," ")</f>
        <v>Servicio de atención a emergencias y desastres</v>
      </c>
      <c r="X199" s="187" t="str">
        <f>CONCATENATE(V199,"_",W199)</f>
        <v>004_Servicio de atención a emergencias y desastres</v>
      </c>
      <c r="Y199" s="187" t="str">
        <f>CONCATENATE(U199," ",X199)</f>
        <v>12-Servicio de apoyo   logístico  en eventos operativos y/o emergencias. 004_Servicio de atención a emergencias y desastres</v>
      </c>
      <c r="Z199" s="186" t="str">
        <f>CONCATENATE(P199,Q199,R199,S199,V199)</f>
        <v>O23011745032024025512004</v>
      </c>
      <c r="AA199" s="186" t="str">
        <f>IFERROR(VLOOKUP(Y199,TD!$K$47:$L$65,2,0)," ")</f>
        <v>PM/0131/0112/45030040255</v>
      </c>
      <c r="AB199" s="53" t="s">
        <v>134</v>
      </c>
      <c r="AC199" s="188" t="s">
        <v>204</v>
      </c>
    </row>
    <row r="200" spans="2:29" s="28" customFormat="1" ht="56" x14ac:dyDescent="0.35">
      <c r="B200" s="77">
        <v>20250163</v>
      </c>
      <c r="C200" s="50" t="s">
        <v>209</v>
      </c>
      <c r="D200" s="184" t="s">
        <v>168</v>
      </c>
      <c r="E200" s="51" t="s">
        <v>603</v>
      </c>
      <c r="F200" s="184" t="s">
        <v>494</v>
      </c>
      <c r="G200" s="184" t="s">
        <v>119</v>
      </c>
      <c r="H200" s="93" t="s">
        <v>425</v>
      </c>
      <c r="I200" s="185">
        <v>2</v>
      </c>
      <c r="J200" s="185">
        <v>6</v>
      </c>
      <c r="K200" s="52">
        <v>0</v>
      </c>
      <c r="L200" s="53">
        <v>45000000</v>
      </c>
      <c r="M200" s="184" t="s">
        <v>464</v>
      </c>
      <c r="N200" s="53" t="s">
        <v>113</v>
      </c>
      <c r="O200" s="51" t="s">
        <v>224</v>
      </c>
      <c r="P200" s="186" t="str">
        <f>IFERROR(VLOOKUP(C200,TD!$B$33:$F$37,2,0)," ")</f>
        <v>O230117</v>
      </c>
      <c r="Q200" s="186" t="str">
        <f>IFERROR(VLOOKUP(C200,TD!$B$33:$F$37,3,0)," ")</f>
        <v>4503</v>
      </c>
      <c r="R200" s="186">
        <f>IFERROR(VLOOKUP(C200,TD!$B$33:$F$37,4,0)," ")</f>
        <v>20240255</v>
      </c>
      <c r="S200" s="51" t="s">
        <v>187</v>
      </c>
      <c r="T200" s="186" t="str">
        <f>IFERROR(VLOOKUP(S200,TD!$J$34:$K$44,2,0)," ")</f>
        <v>Servicio de mantenimiento, dotación (HEA´s y equipo menor) y adquisición de vehiculos   especializados para la atención de emergencias.</v>
      </c>
      <c r="U200" s="187" t="str">
        <f>CONCATENATE(S200,"-",T200)</f>
        <v>09-Servicio de mantenimiento, dotación (HEA´s y equipo menor) y adquisición de vehiculos   especializados para la atención de emergencias.</v>
      </c>
      <c r="V200" s="51" t="s">
        <v>232</v>
      </c>
      <c r="W200" s="186" t="str">
        <f>IFERROR(VLOOKUP(V200,TD!$N$34:$O$46,2,0)," ")</f>
        <v>Servicio de atención a emergencias y desastres</v>
      </c>
      <c r="X200" s="187" t="str">
        <f>CONCATENATE(V200,"_",W200)</f>
        <v>004_Servicio de atención a emergencias y desastres</v>
      </c>
      <c r="Y200" s="187" t="str">
        <f>CONCATENATE(U200," ",X200)</f>
        <v>09-Servicio de mantenimiento, dotación (HEA´s y equipo menor) y adquisición de vehiculos   especializados para la atención de emergencias. 004_Servicio de atención a emergencias y desastres</v>
      </c>
      <c r="Z200" s="186" t="str">
        <f>CONCATENATE(P200,Q200,R200,S200,V200)</f>
        <v>O23011745032024025509004</v>
      </c>
      <c r="AA200" s="186" t="str">
        <f>IFERROR(VLOOKUP(Y200,TD!$K$47:$L$65,2,0)," ")</f>
        <v>PM/0131/0109/45030040255</v>
      </c>
      <c r="AB200" s="53" t="s">
        <v>87</v>
      </c>
      <c r="AC200" s="188" t="s">
        <v>204</v>
      </c>
    </row>
    <row r="201" spans="2:29" s="28" customFormat="1" ht="56" x14ac:dyDescent="0.35">
      <c r="B201" s="77">
        <v>20250164</v>
      </c>
      <c r="C201" s="50" t="s">
        <v>209</v>
      </c>
      <c r="D201" s="184" t="s">
        <v>168</v>
      </c>
      <c r="E201" s="51" t="s">
        <v>603</v>
      </c>
      <c r="F201" s="184" t="s">
        <v>495</v>
      </c>
      <c r="G201" s="184" t="s">
        <v>157</v>
      </c>
      <c r="H201" s="93" t="s">
        <v>1000</v>
      </c>
      <c r="I201" s="185">
        <v>7</v>
      </c>
      <c r="J201" s="185">
        <v>12</v>
      </c>
      <c r="K201" s="52">
        <v>0</v>
      </c>
      <c r="L201" s="53">
        <f>120000000+60000000</f>
        <v>180000000</v>
      </c>
      <c r="M201" s="184" t="s">
        <v>464</v>
      </c>
      <c r="N201" s="53" t="s">
        <v>113</v>
      </c>
      <c r="O201" s="51" t="s">
        <v>224</v>
      </c>
      <c r="P201" s="186" t="str">
        <f>IFERROR(VLOOKUP(C201,TD!$B$33:$F$37,2,0)," ")</f>
        <v>O230117</v>
      </c>
      <c r="Q201" s="186" t="str">
        <f>IFERROR(VLOOKUP(C201,TD!$B$33:$F$37,3,0)," ")</f>
        <v>4503</v>
      </c>
      <c r="R201" s="186">
        <f>IFERROR(VLOOKUP(C201,TD!$B$33:$F$37,4,0)," ")</f>
        <v>20240255</v>
      </c>
      <c r="S201" s="51" t="s">
        <v>187</v>
      </c>
      <c r="T201" s="186" t="str">
        <f>IFERROR(VLOOKUP(S201,TD!$J$34:$K$44,2,0)," ")</f>
        <v>Servicio de mantenimiento, dotación (HEA´s y equipo menor) y adquisición de vehiculos   especializados para la atención de emergencias.</v>
      </c>
      <c r="U201" s="187" t="str">
        <f>CONCATENATE(S201,"-",T201)</f>
        <v>09-Servicio de mantenimiento, dotación (HEA´s y equipo menor) y adquisición de vehiculos   especializados para la atención de emergencias.</v>
      </c>
      <c r="V201" s="51" t="s">
        <v>232</v>
      </c>
      <c r="W201" s="186" t="str">
        <f>IFERROR(VLOOKUP(V201,TD!$N$34:$O$46,2,0)," ")</f>
        <v>Servicio de atención a emergencias y desastres</v>
      </c>
      <c r="X201" s="187" t="str">
        <f>CONCATENATE(V201,"_",W201)</f>
        <v>004_Servicio de atención a emergencias y desastres</v>
      </c>
      <c r="Y201" s="187" t="str">
        <f>CONCATENATE(U201," ",X201)</f>
        <v>09-Servicio de mantenimiento, dotación (HEA´s y equipo menor) y adquisición de vehiculos   especializados para la atención de emergencias. 004_Servicio de atención a emergencias y desastres</v>
      </c>
      <c r="Z201" s="186" t="str">
        <f>CONCATENATE(P201,Q201,R201,S201,V201)</f>
        <v>O23011745032024025509004</v>
      </c>
      <c r="AA201" s="186" t="str">
        <f>IFERROR(VLOOKUP(Y201,TD!$K$47:$L$65,2,0)," ")</f>
        <v>PM/0131/0109/45030040255</v>
      </c>
      <c r="AB201" s="53" t="s">
        <v>87</v>
      </c>
      <c r="AC201" s="188" t="s">
        <v>204</v>
      </c>
    </row>
    <row r="202" spans="2:29" s="28" customFormat="1" ht="56" x14ac:dyDescent="0.35">
      <c r="B202" s="77">
        <v>20250165</v>
      </c>
      <c r="C202" s="50" t="s">
        <v>209</v>
      </c>
      <c r="D202" s="184" t="s">
        <v>168</v>
      </c>
      <c r="E202" s="51" t="s">
        <v>603</v>
      </c>
      <c r="F202" s="184" t="s">
        <v>1051</v>
      </c>
      <c r="G202" s="184" t="s">
        <v>96</v>
      </c>
      <c r="H202" s="93" t="s">
        <v>1252</v>
      </c>
      <c r="I202" s="185">
        <v>8</v>
      </c>
      <c r="J202" s="185">
        <v>7</v>
      </c>
      <c r="K202" s="52">
        <v>0</v>
      </c>
      <c r="L202" s="53">
        <v>125000000</v>
      </c>
      <c r="M202" s="184" t="s">
        <v>464</v>
      </c>
      <c r="N202" s="53" t="s">
        <v>90</v>
      </c>
      <c r="O202" s="51" t="s">
        <v>224</v>
      </c>
      <c r="P202" s="186" t="str">
        <f>IFERROR(VLOOKUP(C202,TD!$B$33:$F$37,2,0)," ")</f>
        <v>O230117</v>
      </c>
      <c r="Q202" s="186" t="str">
        <f>IFERROR(VLOOKUP(C202,TD!$B$33:$F$37,3,0)," ")</f>
        <v>4503</v>
      </c>
      <c r="R202" s="186">
        <f>IFERROR(VLOOKUP(C202,TD!$B$33:$F$37,4,0)," ")</f>
        <v>20240255</v>
      </c>
      <c r="S202" s="51" t="s">
        <v>187</v>
      </c>
      <c r="T202" s="186" t="str">
        <f>IFERROR(VLOOKUP(S202,TD!$J$34:$K$44,2,0)," ")</f>
        <v>Servicio de mantenimiento, dotación (HEA´s y equipo menor) y adquisición de vehiculos   especializados para la atención de emergencias.</v>
      </c>
      <c r="U202" s="187" t="str">
        <f>CONCATENATE(S202,"-",T202)</f>
        <v>09-Servicio de mantenimiento, dotación (HEA´s y equipo menor) y adquisición de vehiculos   especializados para la atención de emergencias.</v>
      </c>
      <c r="V202" s="51" t="s">
        <v>232</v>
      </c>
      <c r="W202" s="186" t="str">
        <f>IFERROR(VLOOKUP(V202,TD!$N$34:$O$46,2,0)," ")</f>
        <v>Servicio de atención a emergencias y desastres</v>
      </c>
      <c r="X202" s="187" t="str">
        <f>CONCATENATE(V202,"_",W202)</f>
        <v>004_Servicio de atención a emergencias y desastres</v>
      </c>
      <c r="Y202" s="187" t="str">
        <f>CONCATENATE(U202," ",X202)</f>
        <v>09-Servicio de mantenimiento, dotación (HEA´s y equipo menor) y adquisición de vehiculos   especializados para la atención de emergencias. 004_Servicio de atención a emergencias y desastres</v>
      </c>
      <c r="Z202" s="186" t="str">
        <f>CONCATENATE(P202,Q202,R202,S202,V202)</f>
        <v>O23011745032024025509004</v>
      </c>
      <c r="AA202" s="186" t="str">
        <f>IFERROR(VLOOKUP(Y202,TD!$K$47:$L$65,2,0)," ")</f>
        <v>PM/0131/0109/45030040255</v>
      </c>
      <c r="AB202" s="53" t="s">
        <v>87</v>
      </c>
      <c r="AC202" s="188" t="s">
        <v>204</v>
      </c>
    </row>
    <row r="203" spans="2:29" s="28" customFormat="1" ht="70" x14ac:dyDescent="0.35">
      <c r="B203" s="77">
        <v>20250166</v>
      </c>
      <c r="C203" s="50" t="s">
        <v>209</v>
      </c>
      <c r="D203" s="184" t="s">
        <v>168</v>
      </c>
      <c r="E203" s="51" t="s">
        <v>603</v>
      </c>
      <c r="F203" s="184" t="s">
        <v>496</v>
      </c>
      <c r="G203" s="184" t="s">
        <v>96</v>
      </c>
      <c r="H203" s="93" t="s">
        <v>999</v>
      </c>
      <c r="I203" s="185">
        <v>8</v>
      </c>
      <c r="J203" s="185">
        <v>6</v>
      </c>
      <c r="K203" s="52">
        <v>0</v>
      </c>
      <c r="L203" s="53">
        <v>50000000</v>
      </c>
      <c r="M203" s="184" t="s">
        <v>464</v>
      </c>
      <c r="N203" s="53" t="s">
        <v>100</v>
      </c>
      <c r="O203" s="51" t="s">
        <v>224</v>
      </c>
      <c r="P203" s="186" t="str">
        <f>IFERROR(VLOOKUP(C203,TD!$B$33:$F$37,2,0)," ")</f>
        <v>O230117</v>
      </c>
      <c r="Q203" s="186" t="str">
        <f>IFERROR(VLOOKUP(C203,TD!$B$33:$F$37,3,0)," ")</f>
        <v>4503</v>
      </c>
      <c r="R203" s="186">
        <f>IFERROR(VLOOKUP(C203,TD!$B$33:$F$37,4,0)," ")</f>
        <v>20240255</v>
      </c>
      <c r="S203" s="51" t="s">
        <v>191</v>
      </c>
      <c r="T203" s="186" t="str">
        <f>IFERROR(VLOOKUP(S203,TD!$J$34:$K$44,2,0)," ")</f>
        <v>Servicio de apoyo   logístico  en eventos operativos y/o emergencias.</v>
      </c>
      <c r="U203" s="187" t="str">
        <f>CONCATENATE(S203,"-",T203)</f>
        <v>12-Servicio de apoyo   logístico  en eventos operativos y/o emergencias.</v>
      </c>
      <c r="V203" s="51" t="s">
        <v>232</v>
      </c>
      <c r="W203" s="186" t="str">
        <f>IFERROR(VLOOKUP(V203,TD!$N$34:$O$46,2,0)," ")</f>
        <v>Servicio de atención a emergencias y desastres</v>
      </c>
      <c r="X203" s="187" t="str">
        <f>CONCATENATE(V203,"_",W203)</f>
        <v>004_Servicio de atención a emergencias y desastres</v>
      </c>
      <c r="Y203" s="187" t="str">
        <f>CONCATENATE(U203," ",X203)</f>
        <v>12-Servicio de apoyo   logístico  en eventos operativos y/o emergencias. 004_Servicio de atención a emergencias y desastres</v>
      </c>
      <c r="Z203" s="186" t="str">
        <f>CONCATENATE(P203,Q203,R203,S203,V203)</f>
        <v>O23011745032024025512004</v>
      </c>
      <c r="AA203" s="186" t="str">
        <f>IFERROR(VLOOKUP(Y203,TD!$K$47:$L$65,2,0)," ")</f>
        <v>PM/0131/0112/45030040255</v>
      </c>
      <c r="AB203" s="53" t="s">
        <v>134</v>
      </c>
      <c r="AC203" s="188" t="s">
        <v>204</v>
      </c>
    </row>
    <row r="204" spans="2:29" s="28" customFormat="1" ht="70" x14ac:dyDescent="0.35">
      <c r="B204" s="77">
        <v>20250167</v>
      </c>
      <c r="C204" s="50" t="s">
        <v>209</v>
      </c>
      <c r="D204" s="184" t="s">
        <v>168</v>
      </c>
      <c r="E204" s="51" t="s">
        <v>603</v>
      </c>
      <c r="F204" s="184" t="s">
        <v>497</v>
      </c>
      <c r="G204" s="184" t="s">
        <v>109</v>
      </c>
      <c r="H204" s="93">
        <v>46191600</v>
      </c>
      <c r="I204" s="185">
        <v>9</v>
      </c>
      <c r="J204" s="185">
        <v>4</v>
      </c>
      <c r="K204" s="52">
        <v>0</v>
      </c>
      <c r="L204" s="53">
        <f>200000000+100000000</f>
        <v>300000000</v>
      </c>
      <c r="M204" s="184" t="s">
        <v>464</v>
      </c>
      <c r="N204" s="53" t="s">
        <v>95</v>
      </c>
      <c r="O204" s="51" t="s">
        <v>224</v>
      </c>
      <c r="P204" s="186" t="str">
        <f>IFERROR(VLOOKUP(C204,TD!$B$33:$F$37,2,0)," ")</f>
        <v>O230117</v>
      </c>
      <c r="Q204" s="186" t="str">
        <f>IFERROR(VLOOKUP(C204,TD!$B$33:$F$37,3,0)," ")</f>
        <v>4503</v>
      </c>
      <c r="R204" s="186">
        <f>IFERROR(VLOOKUP(C204,TD!$B$33:$F$37,4,0)," ")</f>
        <v>20240255</v>
      </c>
      <c r="S204" s="51" t="s">
        <v>191</v>
      </c>
      <c r="T204" s="186" t="str">
        <f>IFERROR(VLOOKUP(S204,TD!$J$34:$K$44,2,0)," ")</f>
        <v>Servicio de apoyo   logístico  en eventos operativos y/o emergencias.</v>
      </c>
      <c r="U204" s="187" t="str">
        <f>CONCATENATE(S204,"-",T204)</f>
        <v>12-Servicio de apoyo   logístico  en eventos operativos y/o emergencias.</v>
      </c>
      <c r="V204" s="51" t="s">
        <v>232</v>
      </c>
      <c r="W204" s="186" t="str">
        <f>IFERROR(VLOOKUP(V204,TD!$N$34:$O$46,2,0)," ")</f>
        <v>Servicio de atención a emergencias y desastres</v>
      </c>
      <c r="X204" s="187" t="str">
        <f>CONCATENATE(V204,"_",W204)</f>
        <v>004_Servicio de atención a emergencias y desastres</v>
      </c>
      <c r="Y204" s="187" t="str">
        <f>CONCATENATE(U204," ",X204)</f>
        <v>12-Servicio de apoyo   logístico  en eventos operativos y/o emergencias. 004_Servicio de atención a emergencias y desastres</v>
      </c>
      <c r="Z204" s="186" t="str">
        <f>CONCATENATE(P204,Q204,R204,S204,V204)</f>
        <v>O23011745032024025512004</v>
      </c>
      <c r="AA204" s="186" t="str">
        <f>IFERROR(VLOOKUP(Y204,TD!$K$47:$L$65,2,0)," ")</f>
        <v>PM/0131/0112/45030040255</v>
      </c>
      <c r="AB204" s="53" t="s">
        <v>87</v>
      </c>
      <c r="AC204" s="188" t="s">
        <v>204</v>
      </c>
    </row>
    <row r="205" spans="2:29" s="28" customFormat="1" ht="70" x14ac:dyDescent="0.35">
      <c r="B205" s="77">
        <v>20250168</v>
      </c>
      <c r="C205" s="50" t="s">
        <v>209</v>
      </c>
      <c r="D205" s="184" t="s">
        <v>168</v>
      </c>
      <c r="E205" s="51" t="s">
        <v>603</v>
      </c>
      <c r="F205" s="184" t="s">
        <v>767</v>
      </c>
      <c r="G205" s="184" t="s">
        <v>119</v>
      </c>
      <c r="H205" s="93" t="s">
        <v>735</v>
      </c>
      <c r="I205" s="185">
        <v>1</v>
      </c>
      <c r="J205" s="185">
        <v>12</v>
      </c>
      <c r="K205" s="52">
        <v>0</v>
      </c>
      <c r="L205" s="53">
        <v>305000000</v>
      </c>
      <c r="M205" s="184" t="s">
        <v>464</v>
      </c>
      <c r="N205" s="53" t="s">
        <v>95</v>
      </c>
      <c r="O205" s="51" t="s">
        <v>224</v>
      </c>
      <c r="P205" s="186" t="str">
        <f>IFERROR(VLOOKUP(C205,TD!$B$33:$F$37,2,0)," ")</f>
        <v>O230117</v>
      </c>
      <c r="Q205" s="186" t="str">
        <f>IFERROR(VLOOKUP(C205,TD!$B$33:$F$37,3,0)," ")</f>
        <v>4503</v>
      </c>
      <c r="R205" s="186">
        <f>IFERROR(VLOOKUP(C205,TD!$B$33:$F$37,4,0)," ")</f>
        <v>20240255</v>
      </c>
      <c r="S205" s="51" t="s">
        <v>187</v>
      </c>
      <c r="T205" s="186" t="str">
        <f>IFERROR(VLOOKUP(S205,TD!$J$34:$K$44,2,0)," ")</f>
        <v>Servicio de mantenimiento, dotación (HEA´s y equipo menor) y adquisición de vehiculos   especializados para la atención de emergencias.</v>
      </c>
      <c r="U205" s="187" t="str">
        <f>CONCATENATE(S205,"-",T205)</f>
        <v>09-Servicio de mantenimiento, dotación (HEA´s y equipo menor) y adquisición de vehiculos   especializados para la atención de emergencias.</v>
      </c>
      <c r="V205" s="51" t="s">
        <v>232</v>
      </c>
      <c r="W205" s="186" t="str">
        <f>IFERROR(VLOOKUP(V205,TD!$N$34:$O$46,2,0)," ")</f>
        <v>Servicio de atención a emergencias y desastres</v>
      </c>
      <c r="X205" s="187" t="str">
        <f>CONCATENATE(V205,"_",W205)</f>
        <v>004_Servicio de atención a emergencias y desastres</v>
      </c>
      <c r="Y205" s="187" t="str">
        <f>CONCATENATE(U205," ",X205)</f>
        <v>09-Servicio de mantenimiento, dotación (HEA´s y equipo menor) y adquisición de vehiculos   especializados para la atención de emergencias. 004_Servicio de atención a emergencias y desastres</v>
      </c>
      <c r="Z205" s="186" t="str">
        <f>CONCATENATE(P205,Q205,R205,S205,V205)</f>
        <v>O23011745032024025509004</v>
      </c>
      <c r="AA205" s="186" t="str">
        <f>IFERROR(VLOOKUP(Y205,TD!$K$47:$L$65,2,0)," ")</f>
        <v>PM/0131/0109/45030040255</v>
      </c>
      <c r="AB205" s="53" t="s">
        <v>87</v>
      </c>
      <c r="AC205" s="188" t="s">
        <v>204</v>
      </c>
    </row>
    <row r="206" spans="2:29" s="28" customFormat="1" ht="56" x14ac:dyDescent="0.35">
      <c r="B206" s="77">
        <v>20250169</v>
      </c>
      <c r="C206" s="50" t="s">
        <v>209</v>
      </c>
      <c r="D206" s="184" t="s">
        <v>168</v>
      </c>
      <c r="E206" s="51" t="s">
        <v>603</v>
      </c>
      <c r="F206" s="184" t="s">
        <v>498</v>
      </c>
      <c r="G206" s="184" t="s">
        <v>96</v>
      </c>
      <c r="H206" s="93">
        <v>72101509</v>
      </c>
      <c r="I206" s="185">
        <v>2</v>
      </c>
      <c r="J206" s="185">
        <v>12</v>
      </c>
      <c r="K206" s="52">
        <v>0</v>
      </c>
      <c r="L206" s="53">
        <v>120864320</v>
      </c>
      <c r="M206" s="184" t="s">
        <v>464</v>
      </c>
      <c r="N206" s="53" t="s">
        <v>113</v>
      </c>
      <c r="O206" s="51" t="s">
        <v>224</v>
      </c>
      <c r="P206" s="186" t="str">
        <f>IFERROR(VLOOKUP(C206,TD!$B$33:$F$37,2,0)," ")</f>
        <v>O230117</v>
      </c>
      <c r="Q206" s="186" t="str">
        <f>IFERROR(VLOOKUP(C206,TD!$B$33:$F$37,3,0)," ")</f>
        <v>4503</v>
      </c>
      <c r="R206" s="186">
        <f>IFERROR(VLOOKUP(C206,TD!$B$33:$F$37,4,0)," ")</f>
        <v>20240255</v>
      </c>
      <c r="S206" s="51" t="s">
        <v>187</v>
      </c>
      <c r="T206" s="186" t="str">
        <f>IFERROR(VLOOKUP(S206,TD!$J$34:$K$44,2,0)," ")</f>
        <v>Servicio de mantenimiento, dotación (HEA´s y equipo menor) y adquisición de vehiculos   especializados para la atención de emergencias.</v>
      </c>
      <c r="U206" s="187" t="str">
        <f>CONCATENATE(S206,"-",T206)</f>
        <v>09-Servicio de mantenimiento, dotación (HEA´s y equipo menor) y adquisición de vehiculos   especializados para la atención de emergencias.</v>
      </c>
      <c r="V206" s="51" t="s">
        <v>232</v>
      </c>
      <c r="W206" s="186" t="str">
        <f>IFERROR(VLOOKUP(V206,TD!$N$34:$O$46,2,0)," ")</f>
        <v>Servicio de atención a emergencias y desastres</v>
      </c>
      <c r="X206" s="187" t="str">
        <f>CONCATENATE(V206,"_",W206)</f>
        <v>004_Servicio de atención a emergencias y desastres</v>
      </c>
      <c r="Y206" s="187" t="str">
        <f>CONCATENATE(U206," ",X206)</f>
        <v>09-Servicio de mantenimiento, dotación (HEA´s y equipo menor) y adquisición de vehiculos   especializados para la atención de emergencias. 004_Servicio de atención a emergencias y desastres</v>
      </c>
      <c r="Z206" s="186" t="str">
        <f>CONCATENATE(P206,Q206,R206,S206,V206)</f>
        <v>O23011745032024025509004</v>
      </c>
      <c r="AA206" s="186" t="str">
        <f>IFERROR(VLOOKUP(Y206,TD!$K$47:$L$65,2,0)," ")</f>
        <v>PM/0131/0109/45030040255</v>
      </c>
      <c r="AB206" s="53" t="s">
        <v>87</v>
      </c>
      <c r="AC206" s="188" t="s">
        <v>204</v>
      </c>
    </row>
    <row r="207" spans="2:29" s="28" customFormat="1" ht="56" x14ac:dyDescent="0.35">
      <c r="B207" s="77">
        <v>20250170</v>
      </c>
      <c r="C207" s="50" t="s">
        <v>209</v>
      </c>
      <c r="D207" s="184" t="s">
        <v>168</v>
      </c>
      <c r="E207" s="51" t="s">
        <v>603</v>
      </c>
      <c r="F207" s="184" t="s">
        <v>499</v>
      </c>
      <c r="G207" s="184" t="s">
        <v>119</v>
      </c>
      <c r="H207" s="93" t="s">
        <v>500</v>
      </c>
      <c r="I207" s="185">
        <v>3</v>
      </c>
      <c r="J207" s="185">
        <v>12</v>
      </c>
      <c r="K207" s="52">
        <v>0</v>
      </c>
      <c r="L207" s="53">
        <v>100000000</v>
      </c>
      <c r="M207" s="184" t="s">
        <v>464</v>
      </c>
      <c r="N207" s="53" t="s">
        <v>113</v>
      </c>
      <c r="O207" s="51" t="s">
        <v>224</v>
      </c>
      <c r="P207" s="186" t="str">
        <f>IFERROR(VLOOKUP(C207,TD!$B$33:$F$37,2,0)," ")</f>
        <v>O230117</v>
      </c>
      <c r="Q207" s="186" t="str">
        <f>IFERROR(VLOOKUP(C207,TD!$B$33:$F$37,3,0)," ")</f>
        <v>4503</v>
      </c>
      <c r="R207" s="186">
        <f>IFERROR(VLOOKUP(C207,TD!$B$33:$F$37,4,0)," ")</f>
        <v>20240255</v>
      </c>
      <c r="S207" s="51" t="s">
        <v>187</v>
      </c>
      <c r="T207" s="186" t="str">
        <f>IFERROR(VLOOKUP(S207,TD!$J$34:$K$44,2,0)," ")</f>
        <v>Servicio de mantenimiento, dotación (HEA´s y equipo menor) y adquisición de vehiculos   especializados para la atención de emergencias.</v>
      </c>
      <c r="U207" s="187" t="str">
        <f>CONCATENATE(S207,"-",T207)</f>
        <v>09-Servicio de mantenimiento, dotación (HEA´s y equipo menor) y adquisición de vehiculos   especializados para la atención de emergencias.</v>
      </c>
      <c r="V207" s="51" t="s">
        <v>232</v>
      </c>
      <c r="W207" s="186" t="str">
        <f>IFERROR(VLOOKUP(V207,TD!$N$34:$O$46,2,0)," ")</f>
        <v>Servicio de atención a emergencias y desastres</v>
      </c>
      <c r="X207" s="187" t="str">
        <f>CONCATENATE(V207,"_",W207)</f>
        <v>004_Servicio de atención a emergencias y desastres</v>
      </c>
      <c r="Y207" s="187" t="str">
        <f>CONCATENATE(U207," ",X207)</f>
        <v>09-Servicio de mantenimiento, dotación (HEA´s y equipo menor) y adquisición de vehiculos   especializados para la atención de emergencias. 004_Servicio de atención a emergencias y desastres</v>
      </c>
      <c r="Z207" s="186" t="str">
        <f>CONCATENATE(P207,Q207,R207,S207,V207)</f>
        <v>O23011745032024025509004</v>
      </c>
      <c r="AA207" s="186" t="str">
        <f>IFERROR(VLOOKUP(Y207,TD!$K$47:$L$65,2,0)," ")</f>
        <v>PM/0131/0109/45030040255</v>
      </c>
      <c r="AB207" s="53" t="s">
        <v>87</v>
      </c>
      <c r="AC207" s="188" t="s">
        <v>204</v>
      </c>
    </row>
    <row r="208" spans="2:29" s="28" customFormat="1" ht="70" x14ac:dyDescent="0.35">
      <c r="B208" s="77">
        <v>20250171</v>
      </c>
      <c r="C208" s="50" t="s">
        <v>209</v>
      </c>
      <c r="D208" s="184" t="s">
        <v>168</v>
      </c>
      <c r="E208" s="51" t="s">
        <v>603</v>
      </c>
      <c r="F208" s="184" t="s">
        <v>501</v>
      </c>
      <c r="G208" s="184" t="s">
        <v>96</v>
      </c>
      <c r="H208" s="93" t="s">
        <v>945</v>
      </c>
      <c r="I208" s="185">
        <v>6</v>
      </c>
      <c r="J208" s="185">
        <v>9</v>
      </c>
      <c r="K208" s="52">
        <v>12</v>
      </c>
      <c r="L208" s="53">
        <v>95347742</v>
      </c>
      <c r="M208" s="184" t="s">
        <v>464</v>
      </c>
      <c r="N208" s="53" t="s">
        <v>113</v>
      </c>
      <c r="O208" s="51" t="s">
        <v>224</v>
      </c>
      <c r="P208" s="186" t="str">
        <f>IFERROR(VLOOKUP(C208,TD!$B$33:$F$37,2,0)," ")</f>
        <v>O230117</v>
      </c>
      <c r="Q208" s="186" t="str">
        <f>IFERROR(VLOOKUP(C208,TD!$B$33:$F$37,3,0)," ")</f>
        <v>4503</v>
      </c>
      <c r="R208" s="186">
        <f>IFERROR(VLOOKUP(C208,TD!$B$33:$F$37,4,0)," ")</f>
        <v>20240255</v>
      </c>
      <c r="S208" s="51" t="s">
        <v>187</v>
      </c>
      <c r="T208" s="186" t="str">
        <f>IFERROR(VLOOKUP(S208,TD!$J$34:$K$44,2,0)," ")</f>
        <v>Servicio de mantenimiento, dotación (HEA´s y equipo menor) y adquisición de vehiculos   especializados para la atención de emergencias.</v>
      </c>
      <c r="U208" s="187" t="str">
        <f>CONCATENATE(S208,"-",T208)</f>
        <v>09-Servicio de mantenimiento, dotación (HEA´s y equipo menor) y adquisición de vehiculos   especializados para la atención de emergencias.</v>
      </c>
      <c r="V208" s="51" t="s">
        <v>232</v>
      </c>
      <c r="W208" s="186" t="str">
        <f>IFERROR(VLOOKUP(V208,TD!$N$34:$O$46,2,0)," ")</f>
        <v>Servicio de atención a emergencias y desastres</v>
      </c>
      <c r="X208" s="187" t="str">
        <f>CONCATENATE(V208,"_",W208)</f>
        <v>004_Servicio de atención a emergencias y desastres</v>
      </c>
      <c r="Y208" s="187" t="str">
        <f>CONCATENATE(U208," ",X208)</f>
        <v>09-Servicio de mantenimiento, dotación (HEA´s y equipo menor) y adquisición de vehiculos   especializados para la atención de emergencias. 004_Servicio de atención a emergencias y desastres</v>
      </c>
      <c r="Z208" s="186" t="str">
        <f>CONCATENATE(P208,Q208,R208,S208,V208)</f>
        <v>O23011745032024025509004</v>
      </c>
      <c r="AA208" s="186" t="str">
        <f>IFERROR(VLOOKUP(Y208,TD!$K$47:$L$65,2,0)," ")</f>
        <v>PM/0131/0109/45030040255</v>
      </c>
      <c r="AB208" s="53" t="s">
        <v>147</v>
      </c>
      <c r="AC208" s="188" t="s">
        <v>204</v>
      </c>
    </row>
    <row r="209" spans="2:29" s="28" customFormat="1" ht="56" x14ac:dyDescent="0.35">
      <c r="B209" s="77">
        <v>20250174</v>
      </c>
      <c r="C209" s="50" t="s">
        <v>209</v>
      </c>
      <c r="D209" s="184" t="s">
        <v>168</v>
      </c>
      <c r="E209" s="51" t="s">
        <v>603</v>
      </c>
      <c r="F209" s="184" t="s">
        <v>736</v>
      </c>
      <c r="G209" s="184" t="s">
        <v>156</v>
      </c>
      <c r="H209" s="93">
        <v>80111600</v>
      </c>
      <c r="I209" s="185">
        <v>2</v>
      </c>
      <c r="J209" s="185">
        <v>9</v>
      </c>
      <c r="K209" s="52">
        <v>0</v>
      </c>
      <c r="L209" s="53">
        <v>28800000</v>
      </c>
      <c r="M209" s="184" t="s">
        <v>464</v>
      </c>
      <c r="N209" s="53" t="s">
        <v>113</v>
      </c>
      <c r="O209" s="51" t="s">
        <v>224</v>
      </c>
      <c r="P209" s="186" t="str">
        <f>IFERROR(VLOOKUP(C209,TD!$B$33:$F$37,2,0)," ")</f>
        <v>O230117</v>
      </c>
      <c r="Q209" s="186" t="str">
        <f>IFERROR(VLOOKUP(C209,TD!$B$33:$F$37,3,0)," ")</f>
        <v>4503</v>
      </c>
      <c r="R209" s="186">
        <f>IFERROR(VLOOKUP(C209,TD!$B$33:$F$37,4,0)," ")</f>
        <v>20240255</v>
      </c>
      <c r="S209" s="51" t="s">
        <v>187</v>
      </c>
      <c r="T209" s="186" t="str">
        <f>IFERROR(VLOOKUP(S209,TD!$J$34:$K$44,2,0)," ")</f>
        <v>Servicio de mantenimiento, dotación (HEA´s y equipo menor) y adquisición de vehiculos   especializados para la atención de emergencias.</v>
      </c>
      <c r="U209" s="187" t="str">
        <f>CONCATENATE(S209,"-",T209)</f>
        <v>09-Servicio de mantenimiento, dotación (HEA´s y equipo menor) y adquisición de vehiculos   especializados para la atención de emergencias.</v>
      </c>
      <c r="V209" s="51" t="s">
        <v>232</v>
      </c>
      <c r="W209" s="186" t="str">
        <f>IFERROR(VLOOKUP(V209,TD!$N$34:$O$46,2,0)," ")</f>
        <v>Servicio de atención a emergencias y desastres</v>
      </c>
      <c r="X209" s="187" t="str">
        <f>CONCATENATE(V209,"_",W209)</f>
        <v>004_Servicio de atención a emergencias y desastres</v>
      </c>
      <c r="Y209" s="187" t="str">
        <f>CONCATENATE(U209," ",X209)</f>
        <v>09-Servicio de mantenimiento, dotación (HEA´s y equipo menor) y adquisición de vehiculos   especializados para la atención de emergencias. 004_Servicio de atención a emergencias y desastres</v>
      </c>
      <c r="Z209" s="186" t="str">
        <f>CONCATENATE(P209,Q209,R209,S209,V209)</f>
        <v>O23011745032024025509004</v>
      </c>
      <c r="AA209" s="186" t="str">
        <f>IFERROR(VLOOKUP(Y209,TD!$K$47:$L$65,2,0)," ")</f>
        <v>PM/0131/0109/45030040255</v>
      </c>
      <c r="AB209" s="53" t="s">
        <v>138</v>
      </c>
      <c r="AC209" s="188" t="s">
        <v>204</v>
      </c>
    </row>
    <row r="210" spans="2:29" s="28" customFormat="1" ht="56" x14ac:dyDescent="0.35">
      <c r="B210" s="77">
        <v>20250175</v>
      </c>
      <c r="C210" s="50" t="s">
        <v>209</v>
      </c>
      <c r="D210" s="184" t="s">
        <v>168</v>
      </c>
      <c r="E210" s="51" t="s">
        <v>603</v>
      </c>
      <c r="F210" s="184" t="s">
        <v>737</v>
      </c>
      <c r="G210" s="184" t="s">
        <v>155</v>
      </c>
      <c r="H210" s="93">
        <v>80111600</v>
      </c>
      <c r="I210" s="185">
        <v>2</v>
      </c>
      <c r="J210" s="185">
        <v>10</v>
      </c>
      <c r="K210" s="52">
        <v>0</v>
      </c>
      <c r="L210" s="53">
        <v>40000000</v>
      </c>
      <c r="M210" s="184" t="s">
        <v>464</v>
      </c>
      <c r="N210" s="53" t="s">
        <v>113</v>
      </c>
      <c r="O210" s="51" t="s">
        <v>224</v>
      </c>
      <c r="P210" s="186" t="str">
        <f>IFERROR(VLOOKUP(C210,TD!$B$33:$F$37,2,0)," ")</f>
        <v>O230117</v>
      </c>
      <c r="Q210" s="186" t="str">
        <f>IFERROR(VLOOKUP(C210,TD!$B$33:$F$37,3,0)," ")</f>
        <v>4503</v>
      </c>
      <c r="R210" s="186">
        <f>IFERROR(VLOOKUP(C210,TD!$B$33:$F$37,4,0)," ")</f>
        <v>20240255</v>
      </c>
      <c r="S210" s="51" t="s">
        <v>191</v>
      </c>
      <c r="T210" s="186" t="str">
        <f>IFERROR(VLOOKUP(S210,TD!$J$34:$K$44,2,0)," ")</f>
        <v>Servicio de apoyo   logístico  en eventos operativos y/o emergencias.</v>
      </c>
      <c r="U210" s="187" t="str">
        <f>CONCATENATE(S210,"-",T210)</f>
        <v>12-Servicio de apoyo   logístico  en eventos operativos y/o emergencias.</v>
      </c>
      <c r="V210" s="51" t="s">
        <v>232</v>
      </c>
      <c r="W210" s="186" t="str">
        <f>IFERROR(VLOOKUP(V210,TD!$N$34:$O$46,2,0)," ")</f>
        <v>Servicio de atención a emergencias y desastres</v>
      </c>
      <c r="X210" s="187" t="str">
        <f>CONCATENATE(V210,"_",W210)</f>
        <v>004_Servicio de atención a emergencias y desastres</v>
      </c>
      <c r="Y210" s="187" t="str">
        <f>CONCATENATE(U210," ",X210)</f>
        <v>12-Servicio de apoyo   logístico  en eventos operativos y/o emergencias. 004_Servicio de atención a emergencias y desastres</v>
      </c>
      <c r="Z210" s="186" t="str">
        <f>CONCATENATE(P210,Q210,R210,S210,V210)</f>
        <v>O23011745032024025512004</v>
      </c>
      <c r="AA210" s="186" t="str">
        <f>IFERROR(VLOOKUP(Y210,TD!$K$47:$L$65,2,0)," ")</f>
        <v>PM/0131/0112/45030040255</v>
      </c>
      <c r="AB210" s="53" t="s">
        <v>138</v>
      </c>
      <c r="AC210" s="188" t="s">
        <v>204</v>
      </c>
    </row>
    <row r="211" spans="2:29" s="28" customFormat="1" ht="56" x14ac:dyDescent="0.35">
      <c r="B211" s="77">
        <v>20250176</v>
      </c>
      <c r="C211" s="50" t="s">
        <v>209</v>
      </c>
      <c r="D211" s="184" t="s">
        <v>168</v>
      </c>
      <c r="E211" s="51" t="s">
        <v>603</v>
      </c>
      <c r="F211" s="184" t="s">
        <v>738</v>
      </c>
      <c r="G211" s="184" t="s">
        <v>155</v>
      </c>
      <c r="H211" s="93">
        <v>80111600</v>
      </c>
      <c r="I211" s="185">
        <v>2</v>
      </c>
      <c r="J211" s="185">
        <v>8</v>
      </c>
      <c r="K211" s="52">
        <v>0</v>
      </c>
      <c r="L211" s="53">
        <v>64000000</v>
      </c>
      <c r="M211" s="184" t="s">
        <v>464</v>
      </c>
      <c r="N211" s="53" t="s">
        <v>113</v>
      </c>
      <c r="O211" s="51" t="s">
        <v>224</v>
      </c>
      <c r="P211" s="186" t="str">
        <f>IFERROR(VLOOKUP(C211,TD!$B$33:$F$37,2,0)," ")</f>
        <v>O230117</v>
      </c>
      <c r="Q211" s="186" t="str">
        <f>IFERROR(VLOOKUP(C211,TD!$B$33:$F$37,3,0)," ")</f>
        <v>4503</v>
      </c>
      <c r="R211" s="186">
        <f>IFERROR(VLOOKUP(C211,TD!$B$33:$F$37,4,0)," ")</f>
        <v>20240255</v>
      </c>
      <c r="S211" s="51" t="s">
        <v>191</v>
      </c>
      <c r="T211" s="186" t="str">
        <f>IFERROR(VLOOKUP(S211,TD!$J$34:$K$44,2,0)," ")</f>
        <v>Servicio de apoyo   logístico  en eventos operativos y/o emergencias.</v>
      </c>
      <c r="U211" s="187" t="str">
        <f>CONCATENATE(S211,"-",T211)</f>
        <v>12-Servicio de apoyo   logístico  en eventos operativos y/o emergencias.</v>
      </c>
      <c r="V211" s="51" t="s">
        <v>232</v>
      </c>
      <c r="W211" s="186" t="str">
        <f>IFERROR(VLOOKUP(V211,TD!$N$34:$O$46,2,0)," ")</f>
        <v>Servicio de atención a emergencias y desastres</v>
      </c>
      <c r="X211" s="187" t="str">
        <f>CONCATENATE(V211,"_",W211)</f>
        <v>004_Servicio de atención a emergencias y desastres</v>
      </c>
      <c r="Y211" s="187" t="str">
        <f>CONCATENATE(U211," ",X211)</f>
        <v>12-Servicio de apoyo   logístico  en eventos operativos y/o emergencias. 004_Servicio de atención a emergencias y desastres</v>
      </c>
      <c r="Z211" s="186" t="str">
        <f>CONCATENATE(P211,Q211,R211,S211,V211)</f>
        <v>O23011745032024025512004</v>
      </c>
      <c r="AA211" s="186" t="str">
        <f>IFERROR(VLOOKUP(Y211,TD!$K$47:$L$65,2,0)," ")</f>
        <v>PM/0131/0112/45030040255</v>
      </c>
      <c r="AB211" s="53" t="s">
        <v>120</v>
      </c>
      <c r="AC211" s="188" t="s">
        <v>204</v>
      </c>
    </row>
    <row r="212" spans="2:29" s="28" customFormat="1" ht="56" x14ac:dyDescent="0.35">
      <c r="B212" s="77">
        <v>20250177</v>
      </c>
      <c r="C212" s="50" t="s">
        <v>209</v>
      </c>
      <c r="D212" s="184" t="s">
        <v>168</v>
      </c>
      <c r="E212" s="51" t="s">
        <v>603</v>
      </c>
      <c r="F212" s="184" t="s">
        <v>739</v>
      </c>
      <c r="G212" s="184" t="s">
        <v>156</v>
      </c>
      <c r="H212" s="93">
        <v>80111600</v>
      </c>
      <c r="I212" s="185">
        <v>2</v>
      </c>
      <c r="J212" s="185">
        <v>10</v>
      </c>
      <c r="K212" s="52">
        <v>0</v>
      </c>
      <c r="L212" s="53">
        <v>34200000</v>
      </c>
      <c r="M212" s="184" t="s">
        <v>464</v>
      </c>
      <c r="N212" s="53" t="s">
        <v>113</v>
      </c>
      <c r="O212" s="51" t="s">
        <v>224</v>
      </c>
      <c r="P212" s="186" t="str">
        <f>IFERROR(VLOOKUP(C212,TD!$B$33:$F$37,2,0)," ")</f>
        <v>O230117</v>
      </c>
      <c r="Q212" s="186" t="str">
        <f>IFERROR(VLOOKUP(C212,TD!$B$33:$F$37,3,0)," ")</f>
        <v>4503</v>
      </c>
      <c r="R212" s="186">
        <f>IFERROR(VLOOKUP(C212,TD!$B$33:$F$37,4,0)," ")</f>
        <v>20240255</v>
      </c>
      <c r="S212" s="51" t="s">
        <v>191</v>
      </c>
      <c r="T212" s="186" t="str">
        <f>IFERROR(VLOOKUP(S212,TD!$J$34:$K$44,2,0)," ")</f>
        <v>Servicio de apoyo   logístico  en eventos operativos y/o emergencias.</v>
      </c>
      <c r="U212" s="187" t="str">
        <f>CONCATENATE(S212,"-",T212)</f>
        <v>12-Servicio de apoyo   logístico  en eventos operativos y/o emergencias.</v>
      </c>
      <c r="V212" s="51" t="s">
        <v>232</v>
      </c>
      <c r="W212" s="186" t="str">
        <f>IFERROR(VLOOKUP(V212,TD!$N$34:$O$46,2,0)," ")</f>
        <v>Servicio de atención a emergencias y desastres</v>
      </c>
      <c r="X212" s="187" t="str">
        <f>CONCATENATE(V212,"_",W212)</f>
        <v>004_Servicio de atención a emergencias y desastres</v>
      </c>
      <c r="Y212" s="187" t="str">
        <f>CONCATENATE(U212," ",X212)</f>
        <v>12-Servicio de apoyo   logístico  en eventos operativos y/o emergencias. 004_Servicio de atención a emergencias y desastres</v>
      </c>
      <c r="Z212" s="186" t="str">
        <f>CONCATENATE(P212,Q212,R212,S212,V212)</f>
        <v>O23011745032024025512004</v>
      </c>
      <c r="AA212" s="186" t="str">
        <f>IFERROR(VLOOKUP(Y212,TD!$K$47:$L$65,2,0)," ")</f>
        <v>PM/0131/0112/45030040255</v>
      </c>
      <c r="AB212" s="53" t="s">
        <v>138</v>
      </c>
      <c r="AC212" s="188" t="s">
        <v>204</v>
      </c>
    </row>
    <row r="213" spans="2:29" s="28" customFormat="1" ht="70" x14ac:dyDescent="0.35">
      <c r="B213" s="77">
        <v>20250178</v>
      </c>
      <c r="C213" s="50" t="s">
        <v>209</v>
      </c>
      <c r="D213" s="184" t="s">
        <v>168</v>
      </c>
      <c r="E213" s="51" t="s">
        <v>603</v>
      </c>
      <c r="F213" s="184" t="s">
        <v>740</v>
      </c>
      <c r="G213" s="184" t="s">
        <v>155</v>
      </c>
      <c r="H213" s="93">
        <v>80111600</v>
      </c>
      <c r="I213" s="185">
        <v>3</v>
      </c>
      <c r="J213" s="185">
        <v>6</v>
      </c>
      <c r="K213" s="52">
        <v>0</v>
      </c>
      <c r="L213" s="53">
        <v>27000000</v>
      </c>
      <c r="M213" s="184" t="s">
        <v>464</v>
      </c>
      <c r="N213" s="53" t="s">
        <v>113</v>
      </c>
      <c r="O213" s="51" t="s">
        <v>224</v>
      </c>
      <c r="P213" s="186" t="str">
        <f>IFERROR(VLOOKUP(C213,TD!$B$33:$F$37,2,0)," ")</f>
        <v>O230117</v>
      </c>
      <c r="Q213" s="186" t="str">
        <f>IFERROR(VLOOKUP(C213,TD!$B$33:$F$37,3,0)," ")</f>
        <v>4503</v>
      </c>
      <c r="R213" s="186">
        <f>IFERROR(VLOOKUP(C213,TD!$B$33:$F$37,4,0)," ")</f>
        <v>20240255</v>
      </c>
      <c r="S213" s="51" t="s">
        <v>191</v>
      </c>
      <c r="T213" s="186" t="str">
        <f>IFERROR(VLOOKUP(S213,TD!$J$34:$K$44,2,0)," ")</f>
        <v>Servicio de apoyo   logístico  en eventos operativos y/o emergencias.</v>
      </c>
      <c r="U213" s="187" t="str">
        <f>CONCATENATE(S213,"-",T213)</f>
        <v>12-Servicio de apoyo   logístico  en eventos operativos y/o emergencias.</v>
      </c>
      <c r="V213" s="51" t="s">
        <v>232</v>
      </c>
      <c r="W213" s="186" t="str">
        <f>IFERROR(VLOOKUP(V213,TD!$N$34:$O$46,2,0)," ")</f>
        <v>Servicio de atención a emergencias y desastres</v>
      </c>
      <c r="X213" s="187" t="str">
        <f>CONCATENATE(V213,"_",W213)</f>
        <v>004_Servicio de atención a emergencias y desastres</v>
      </c>
      <c r="Y213" s="187" t="str">
        <f>CONCATENATE(U213," ",X213)</f>
        <v>12-Servicio de apoyo   logístico  en eventos operativos y/o emergencias. 004_Servicio de atención a emergencias y desastres</v>
      </c>
      <c r="Z213" s="186" t="str">
        <f>CONCATENATE(P213,Q213,R213,S213,V213)</f>
        <v>O23011745032024025512004</v>
      </c>
      <c r="AA213" s="186" t="str">
        <f>IFERROR(VLOOKUP(Y213,TD!$K$47:$L$65,2,0)," ")</f>
        <v>PM/0131/0112/45030040255</v>
      </c>
      <c r="AB213" s="53" t="s">
        <v>138</v>
      </c>
      <c r="AC213" s="188" t="s">
        <v>204</v>
      </c>
    </row>
    <row r="214" spans="2:29" s="28" customFormat="1" ht="56" x14ac:dyDescent="0.35">
      <c r="B214" s="77">
        <v>20250179</v>
      </c>
      <c r="C214" s="50" t="s">
        <v>209</v>
      </c>
      <c r="D214" s="184" t="s">
        <v>168</v>
      </c>
      <c r="E214" s="51" t="s">
        <v>603</v>
      </c>
      <c r="F214" s="184" t="s">
        <v>741</v>
      </c>
      <c r="G214" s="184" t="s">
        <v>156</v>
      </c>
      <c r="H214" s="93">
        <v>80111600</v>
      </c>
      <c r="I214" s="185">
        <v>2</v>
      </c>
      <c r="J214" s="185">
        <v>9</v>
      </c>
      <c r="K214" s="52">
        <v>0</v>
      </c>
      <c r="L214" s="53">
        <v>28800000</v>
      </c>
      <c r="M214" s="184" t="s">
        <v>464</v>
      </c>
      <c r="N214" s="53" t="s">
        <v>113</v>
      </c>
      <c r="O214" s="51" t="s">
        <v>224</v>
      </c>
      <c r="P214" s="186" t="str">
        <f>IFERROR(VLOOKUP(C214,TD!$B$33:$F$37,2,0)," ")</f>
        <v>O230117</v>
      </c>
      <c r="Q214" s="186" t="str">
        <f>IFERROR(VLOOKUP(C214,TD!$B$33:$F$37,3,0)," ")</f>
        <v>4503</v>
      </c>
      <c r="R214" s="186">
        <f>IFERROR(VLOOKUP(C214,TD!$B$33:$F$37,4,0)," ")</f>
        <v>20240255</v>
      </c>
      <c r="S214" s="51" t="s">
        <v>191</v>
      </c>
      <c r="T214" s="186" t="str">
        <f>IFERROR(VLOOKUP(S214,TD!$J$34:$K$44,2,0)," ")</f>
        <v>Servicio de apoyo   logístico  en eventos operativos y/o emergencias.</v>
      </c>
      <c r="U214" s="187" t="str">
        <f>CONCATENATE(S214,"-",T214)</f>
        <v>12-Servicio de apoyo   logístico  en eventos operativos y/o emergencias.</v>
      </c>
      <c r="V214" s="51" t="s">
        <v>232</v>
      </c>
      <c r="W214" s="186" t="str">
        <f>IFERROR(VLOOKUP(V214,TD!$N$34:$O$46,2,0)," ")</f>
        <v>Servicio de atención a emergencias y desastres</v>
      </c>
      <c r="X214" s="187" t="str">
        <f>CONCATENATE(V214,"_",W214)</f>
        <v>004_Servicio de atención a emergencias y desastres</v>
      </c>
      <c r="Y214" s="187" t="str">
        <f>CONCATENATE(U214," ",X214)</f>
        <v>12-Servicio de apoyo   logístico  en eventos operativos y/o emergencias. 004_Servicio de atención a emergencias y desastres</v>
      </c>
      <c r="Z214" s="186" t="str">
        <f>CONCATENATE(P214,Q214,R214,S214,V214)</f>
        <v>O23011745032024025512004</v>
      </c>
      <c r="AA214" s="186" t="str">
        <f>IFERROR(VLOOKUP(Y214,TD!$K$47:$L$65,2,0)," ")</f>
        <v>PM/0131/0112/45030040255</v>
      </c>
      <c r="AB214" s="53" t="s">
        <v>138</v>
      </c>
      <c r="AC214" s="188" t="s">
        <v>204</v>
      </c>
    </row>
    <row r="215" spans="2:29" s="28" customFormat="1" ht="56" x14ac:dyDescent="0.35">
      <c r="B215" s="77">
        <v>20250180</v>
      </c>
      <c r="C215" s="50" t="s">
        <v>209</v>
      </c>
      <c r="D215" s="184" t="s">
        <v>168</v>
      </c>
      <c r="E215" s="51" t="s">
        <v>603</v>
      </c>
      <c r="F215" s="184" t="s">
        <v>742</v>
      </c>
      <c r="G215" s="184" t="s">
        <v>155</v>
      </c>
      <c r="H215" s="93">
        <v>80111600</v>
      </c>
      <c r="I215" s="185">
        <v>2</v>
      </c>
      <c r="J215" s="185">
        <v>9</v>
      </c>
      <c r="K215" s="52">
        <v>0</v>
      </c>
      <c r="L215" s="53">
        <v>54000000</v>
      </c>
      <c r="M215" s="184" t="s">
        <v>464</v>
      </c>
      <c r="N215" s="53" t="s">
        <v>113</v>
      </c>
      <c r="O215" s="51" t="s">
        <v>224</v>
      </c>
      <c r="P215" s="186" t="str">
        <f>IFERROR(VLOOKUP(C215,TD!$B$33:$F$37,2,0)," ")</f>
        <v>O230117</v>
      </c>
      <c r="Q215" s="186" t="str">
        <f>IFERROR(VLOOKUP(C215,TD!$B$33:$F$37,3,0)," ")</f>
        <v>4503</v>
      </c>
      <c r="R215" s="186">
        <f>IFERROR(VLOOKUP(C215,TD!$B$33:$F$37,4,0)," ")</f>
        <v>20240255</v>
      </c>
      <c r="S215" s="51" t="s">
        <v>191</v>
      </c>
      <c r="T215" s="186" t="str">
        <f>IFERROR(VLOOKUP(S215,TD!$J$34:$K$44,2,0)," ")</f>
        <v>Servicio de apoyo   logístico  en eventos operativos y/o emergencias.</v>
      </c>
      <c r="U215" s="187" t="str">
        <f>CONCATENATE(S215,"-",T215)</f>
        <v>12-Servicio de apoyo   logístico  en eventos operativos y/o emergencias.</v>
      </c>
      <c r="V215" s="51" t="s">
        <v>232</v>
      </c>
      <c r="W215" s="186" t="str">
        <f>IFERROR(VLOOKUP(V215,TD!$N$34:$O$46,2,0)," ")</f>
        <v>Servicio de atención a emergencias y desastres</v>
      </c>
      <c r="X215" s="187" t="str">
        <f>CONCATENATE(V215,"_",W215)</f>
        <v>004_Servicio de atención a emergencias y desastres</v>
      </c>
      <c r="Y215" s="187" t="str">
        <f>CONCATENATE(U215," ",X215)</f>
        <v>12-Servicio de apoyo   logístico  en eventos operativos y/o emergencias. 004_Servicio de atención a emergencias y desastres</v>
      </c>
      <c r="Z215" s="186" t="str">
        <f>CONCATENATE(P215,Q215,R215,S215,V215)</f>
        <v>O23011745032024025512004</v>
      </c>
      <c r="AA215" s="186" t="str">
        <f>IFERROR(VLOOKUP(Y215,TD!$K$47:$L$65,2,0)," ")</f>
        <v>PM/0131/0112/45030040255</v>
      </c>
      <c r="AB215" s="53" t="s">
        <v>138</v>
      </c>
      <c r="AC215" s="188" t="s">
        <v>204</v>
      </c>
    </row>
    <row r="216" spans="2:29" s="28" customFormat="1" ht="56" x14ac:dyDescent="0.35">
      <c r="B216" s="77">
        <v>20250181</v>
      </c>
      <c r="C216" s="50" t="s">
        <v>209</v>
      </c>
      <c r="D216" s="184" t="s">
        <v>168</v>
      </c>
      <c r="E216" s="51" t="s">
        <v>603</v>
      </c>
      <c r="F216" s="184" t="s">
        <v>743</v>
      </c>
      <c r="G216" s="184" t="s">
        <v>155</v>
      </c>
      <c r="H216" s="93">
        <v>80111600</v>
      </c>
      <c r="I216" s="185">
        <v>2</v>
      </c>
      <c r="J216" s="185">
        <v>9</v>
      </c>
      <c r="K216" s="52">
        <v>0</v>
      </c>
      <c r="L216" s="53">
        <v>49500000</v>
      </c>
      <c r="M216" s="184" t="s">
        <v>464</v>
      </c>
      <c r="N216" s="53" t="s">
        <v>113</v>
      </c>
      <c r="O216" s="51" t="s">
        <v>224</v>
      </c>
      <c r="P216" s="186" t="str">
        <f>IFERROR(VLOOKUP(C216,TD!$B$33:$F$37,2,0)," ")</f>
        <v>O230117</v>
      </c>
      <c r="Q216" s="186" t="str">
        <f>IFERROR(VLOOKUP(C216,TD!$B$33:$F$37,3,0)," ")</f>
        <v>4503</v>
      </c>
      <c r="R216" s="186">
        <f>IFERROR(VLOOKUP(C216,TD!$B$33:$F$37,4,0)," ")</f>
        <v>20240255</v>
      </c>
      <c r="S216" s="51" t="s">
        <v>191</v>
      </c>
      <c r="T216" s="186" t="str">
        <f>IFERROR(VLOOKUP(S216,TD!$J$34:$K$44,2,0)," ")</f>
        <v>Servicio de apoyo   logístico  en eventos operativos y/o emergencias.</v>
      </c>
      <c r="U216" s="187" t="str">
        <f>CONCATENATE(S216,"-",T216)</f>
        <v>12-Servicio de apoyo   logístico  en eventos operativos y/o emergencias.</v>
      </c>
      <c r="V216" s="51" t="s">
        <v>232</v>
      </c>
      <c r="W216" s="186" t="str">
        <f>IFERROR(VLOOKUP(V216,TD!$N$34:$O$46,2,0)," ")</f>
        <v>Servicio de atención a emergencias y desastres</v>
      </c>
      <c r="X216" s="187" t="str">
        <f>CONCATENATE(V216,"_",W216)</f>
        <v>004_Servicio de atención a emergencias y desastres</v>
      </c>
      <c r="Y216" s="187" t="str">
        <f>CONCATENATE(U216," ",X216)</f>
        <v>12-Servicio de apoyo   logístico  en eventos operativos y/o emergencias. 004_Servicio de atención a emergencias y desastres</v>
      </c>
      <c r="Z216" s="186" t="str">
        <f>CONCATENATE(P216,Q216,R216,S216,V216)</f>
        <v>O23011745032024025512004</v>
      </c>
      <c r="AA216" s="186" t="str">
        <f>IFERROR(VLOOKUP(Y216,TD!$K$47:$L$65,2,0)," ")</f>
        <v>PM/0131/0112/45030040255</v>
      </c>
      <c r="AB216" s="53" t="s">
        <v>138</v>
      </c>
      <c r="AC216" s="188" t="s">
        <v>204</v>
      </c>
    </row>
    <row r="217" spans="2:29" s="28" customFormat="1" ht="56" x14ac:dyDescent="0.35">
      <c r="B217" s="77">
        <v>20250182</v>
      </c>
      <c r="C217" s="50" t="s">
        <v>209</v>
      </c>
      <c r="D217" s="184" t="s">
        <v>168</v>
      </c>
      <c r="E217" s="51" t="s">
        <v>603</v>
      </c>
      <c r="F217" s="184" t="s">
        <v>736</v>
      </c>
      <c r="G217" s="184" t="s">
        <v>156</v>
      </c>
      <c r="H217" s="93">
        <v>80111600</v>
      </c>
      <c r="I217" s="185">
        <v>2</v>
      </c>
      <c r="J217" s="185">
        <v>10</v>
      </c>
      <c r="K217" s="52">
        <v>0</v>
      </c>
      <c r="L217" s="53">
        <v>28800000</v>
      </c>
      <c r="M217" s="184" t="s">
        <v>464</v>
      </c>
      <c r="N217" s="53" t="s">
        <v>113</v>
      </c>
      <c r="O217" s="51" t="s">
        <v>224</v>
      </c>
      <c r="P217" s="186" t="str">
        <f>IFERROR(VLOOKUP(C217,TD!$B$33:$F$37,2,0)," ")</f>
        <v>O230117</v>
      </c>
      <c r="Q217" s="186" t="str">
        <f>IFERROR(VLOOKUP(C217,TD!$B$33:$F$37,3,0)," ")</f>
        <v>4503</v>
      </c>
      <c r="R217" s="186">
        <f>IFERROR(VLOOKUP(C217,TD!$B$33:$F$37,4,0)," ")</f>
        <v>20240255</v>
      </c>
      <c r="S217" s="51" t="s">
        <v>187</v>
      </c>
      <c r="T217" s="186" t="str">
        <f>IFERROR(VLOOKUP(S217,TD!$J$34:$K$44,2,0)," ")</f>
        <v>Servicio de mantenimiento, dotación (HEA´s y equipo menor) y adquisición de vehiculos   especializados para la atención de emergencias.</v>
      </c>
      <c r="U217" s="187" t="str">
        <f>CONCATENATE(S217,"-",T217)</f>
        <v>09-Servicio de mantenimiento, dotación (HEA´s y equipo menor) y adquisición de vehiculos   especializados para la atención de emergencias.</v>
      </c>
      <c r="V217" s="51" t="s">
        <v>232</v>
      </c>
      <c r="W217" s="186" t="str">
        <f>IFERROR(VLOOKUP(V217,TD!$N$34:$O$46,2,0)," ")</f>
        <v>Servicio de atención a emergencias y desastres</v>
      </c>
      <c r="X217" s="187" t="str">
        <f>CONCATENATE(V217,"_",W217)</f>
        <v>004_Servicio de atención a emergencias y desastres</v>
      </c>
      <c r="Y217" s="187" t="str">
        <f>CONCATENATE(U217," ",X217)</f>
        <v>09-Servicio de mantenimiento, dotación (HEA´s y equipo menor) y adquisición de vehiculos   especializados para la atención de emergencias. 004_Servicio de atención a emergencias y desastres</v>
      </c>
      <c r="Z217" s="186" t="str">
        <f>CONCATENATE(P217,Q217,R217,S217,V217)</f>
        <v>O23011745032024025509004</v>
      </c>
      <c r="AA217" s="186" t="str">
        <f>IFERROR(VLOOKUP(Y217,TD!$K$47:$L$65,2,0)," ")</f>
        <v>PM/0131/0109/45030040255</v>
      </c>
      <c r="AB217" s="53" t="s">
        <v>138</v>
      </c>
      <c r="AC217" s="188" t="s">
        <v>204</v>
      </c>
    </row>
    <row r="218" spans="2:29" s="28" customFormat="1" ht="70" x14ac:dyDescent="0.35">
      <c r="B218" s="77">
        <v>20250183</v>
      </c>
      <c r="C218" s="50" t="s">
        <v>209</v>
      </c>
      <c r="D218" s="184" t="s">
        <v>168</v>
      </c>
      <c r="E218" s="51" t="s">
        <v>603</v>
      </c>
      <c r="F218" s="184" t="s">
        <v>744</v>
      </c>
      <c r="G218" s="184" t="s">
        <v>155</v>
      </c>
      <c r="H218" s="93">
        <v>80111600</v>
      </c>
      <c r="I218" s="185">
        <v>2</v>
      </c>
      <c r="J218" s="185">
        <v>9</v>
      </c>
      <c r="K218" s="52">
        <v>0</v>
      </c>
      <c r="L218" s="53">
        <v>45000000</v>
      </c>
      <c r="M218" s="184" t="s">
        <v>464</v>
      </c>
      <c r="N218" s="53" t="s">
        <v>113</v>
      </c>
      <c r="O218" s="51" t="s">
        <v>224</v>
      </c>
      <c r="P218" s="186" t="str">
        <f>IFERROR(VLOOKUP(C218,TD!$B$33:$F$37,2,0)," ")</f>
        <v>O230117</v>
      </c>
      <c r="Q218" s="186" t="str">
        <f>IFERROR(VLOOKUP(C218,TD!$B$33:$F$37,3,0)," ")</f>
        <v>4503</v>
      </c>
      <c r="R218" s="186">
        <f>IFERROR(VLOOKUP(C218,TD!$B$33:$F$37,4,0)," ")</f>
        <v>20240255</v>
      </c>
      <c r="S218" s="51" t="s">
        <v>191</v>
      </c>
      <c r="T218" s="186" t="str">
        <f>IFERROR(VLOOKUP(S218,TD!$J$34:$K$44,2,0)," ")</f>
        <v>Servicio de apoyo   logístico  en eventos operativos y/o emergencias.</v>
      </c>
      <c r="U218" s="187" t="str">
        <f>CONCATENATE(S218,"-",T218)</f>
        <v>12-Servicio de apoyo   logístico  en eventos operativos y/o emergencias.</v>
      </c>
      <c r="V218" s="51" t="s">
        <v>232</v>
      </c>
      <c r="W218" s="186" t="str">
        <f>IFERROR(VLOOKUP(V218,TD!$N$34:$O$46,2,0)," ")</f>
        <v>Servicio de atención a emergencias y desastres</v>
      </c>
      <c r="X218" s="187" t="str">
        <f>CONCATENATE(V218,"_",W218)</f>
        <v>004_Servicio de atención a emergencias y desastres</v>
      </c>
      <c r="Y218" s="187" t="str">
        <f>CONCATENATE(U218," ",X218)</f>
        <v>12-Servicio de apoyo   logístico  en eventos operativos y/o emergencias. 004_Servicio de atención a emergencias y desastres</v>
      </c>
      <c r="Z218" s="186" t="str">
        <f>CONCATENATE(P218,Q218,R218,S218,V218)</f>
        <v>O23011745032024025512004</v>
      </c>
      <c r="AA218" s="186" t="str">
        <f>IFERROR(VLOOKUP(Y218,TD!$K$47:$L$65,2,0)," ")</f>
        <v>PM/0131/0112/45030040255</v>
      </c>
      <c r="AB218" s="53" t="s">
        <v>138</v>
      </c>
      <c r="AC218" s="188" t="s">
        <v>204</v>
      </c>
    </row>
    <row r="219" spans="2:29" s="28" customFormat="1" ht="56" x14ac:dyDescent="0.35">
      <c r="B219" s="77">
        <v>20250184</v>
      </c>
      <c r="C219" s="50" t="s">
        <v>209</v>
      </c>
      <c r="D219" s="184" t="s">
        <v>168</v>
      </c>
      <c r="E219" s="51" t="s">
        <v>603</v>
      </c>
      <c r="F219" s="184" t="s">
        <v>745</v>
      </c>
      <c r="G219" s="184" t="s">
        <v>155</v>
      </c>
      <c r="H219" s="93">
        <v>80111600</v>
      </c>
      <c r="I219" s="185">
        <v>2</v>
      </c>
      <c r="J219" s="185">
        <v>10</v>
      </c>
      <c r="K219" s="52">
        <v>0</v>
      </c>
      <c r="L219" s="53">
        <v>56000000</v>
      </c>
      <c r="M219" s="184" t="s">
        <v>464</v>
      </c>
      <c r="N219" s="53" t="s">
        <v>113</v>
      </c>
      <c r="O219" s="51" t="s">
        <v>224</v>
      </c>
      <c r="P219" s="186" t="str">
        <f>IFERROR(VLOOKUP(C219,TD!$B$33:$F$37,2,0)," ")</f>
        <v>O230117</v>
      </c>
      <c r="Q219" s="186" t="str">
        <f>IFERROR(VLOOKUP(C219,TD!$B$33:$F$37,3,0)," ")</f>
        <v>4503</v>
      </c>
      <c r="R219" s="186">
        <f>IFERROR(VLOOKUP(C219,TD!$B$33:$F$37,4,0)," ")</f>
        <v>20240255</v>
      </c>
      <c r="S219" s="51" t="s">
        <v>191</v>
      </c>
      <c r="T219" s="186" t="str">
        <f>IFERROR(VLOOKUP(S219,TD!$J$34:$K$44,2,0)," ")</f>
        <v>Servicio de apoyo   logístico  en eventos operativos y/o emergencias.</v>
      </c>
      <c r="U219" s="187" t="str">
        <f>CONCATENATE(S219,"-",T219)</f>
        <v>12-Servicio de apoyo   logístico  en eventos operativos y/o emergencias.</v>
      </c>
      <c r="V219" s="51" t="s">
        <v>232</v>
      </c>
      <c r="W219" s="186" t="str">
        <f>IFERROR(VLOOKUP(V219,TD!$N$34:$O$46,2,0)," ")</f>
        <v>Servicio de atención a emergencias y desastres</v>
      </c>
      <c r="X219" s="187" t="str">
        <f>CONCATENATE(V219,"_",W219)</f>
        <v>004_Servicio de atención a emergencias y desastres</v>
      </c>
      <c r="Y219" s="187" t="str">
        <f>CONCATENATE(U219," ",X219)</f>
        <v>12-Servicio de apoyo   logístico  en eventos operativos y/o emergencias. 004_Servicio de atención a emergencias y desastres</v>
      </c>
      <c r="Z219" s="186" t="str">
        <f>CONCATENATE(P219,Q219,R219,S219,V219)</f>
        <v>O23011745032024025512004</v>
      </c>
      <c r="AA219" s="186" t="str">
        <f>IFERROR(VLOOKUP(Y219,TD!$K$47:$L$65,2,0)," ")</f>
        <v>PM/0131/0112/45030040255</v>
      </c>
      <c r="AB219" s="53" t="s">
        <v>138</v>
      </c>
      <c r="AC219" s="188" t="s">
        <v>204</v>
      </c>
    </row>
    <row r="220" spans="2:29" s="28" customFormat="1" ht="70" x14ac:dyDescent="0.35">
      <c r="B220" s="77">
        <v>20250185</v>
      </c>
      <c r="C220" s="50" t="s">
        <v>209</v>
      </c>
      <c r="D220" s="184" t="s">
        <v>168</v>
      </c>
      <c r="E220" s="51" t="s">
        <v>603</v>
      </c>
      <c r="F220" s="184" t="s">
        <v>749</v>
      </c>
      <c r="G220" s="184" t="s">
        <v>156</v>
      </c>
      <c r="H220" s="93">
        <v>80111600</v>
      </c>
      <c r="I220" s="185">
        <v>2</v>
      </c>
      <c r="J220" s="185">
        <v>10</v>
      </c>
      <c r="K220" s="52">
        <v>0</v>
      </c>
      <c r="L220" s="53">
        <v>35000000</v>
      </c>
      <c r="M220" s="184" t="s">
        <v>464</v>
      </c>
      <c r="N220" s="53" t="s">
        <v>113</v>
      </c>
      <c r="O220" s="51" t="s">
        <v>224</v>
      </c>
      <c r="P220" s="186" t="str">
        <f>IFERROR(VLOOKUP(C220,TD!$B$33:$F$37,2,0)," ")</f>
        <v>O230117</v>
      </c>
      <c r="Q220" s="186" t="str">
        <f>IFERROR(VLOOKUP(C220,TD!$B$33:$F$37,3,0)," ")</f>
        <v>4503</v>
      </c>
      <c r="R220" s="186">
        <f>IFERROR(VLOOKUP(C220,TD!$B$33:$F$37,4,0)," ")</f>
        <v>20240255</v>
      </c>
      <c r="S220" s="51" t="s">
        <v>191</v>
      </c>
      <c r="T220" s="186" t="str">
        <f>IFERROR(VLOOKUP(S220,TD!$J$34:$K$44,2,0)," ")</f>
        <v>Servicio de apoyo   logístico  en eventos operativos y/o emergencias.</v>
      </c>
      <c r="U220" s="187" t="str">
        <f>CONCATENATE(S220,"-",T220)</f>
        <v>12-Servicio de apoyo   logístico  en eventos operativos y/o emergencias.</v>
      </c>
      <c r="V220" s="51" t="s">
        <v>232</v>
      </c>
      <c r="W220" s="186" t="str">
        <f>IFERROR(VLOOKUP(V220,TD!$N$34:$O$46,2,0)," ")</f>
        <v>Servicio de atención a emergencias y desastres</v>
      </c>
      <c r="X220" s="187" t="str">
        <f>CONCATENATE(V220,"_",W220)</f>
        <v>004_Servicio de atención a emergencias y desastres</v>
      </c>
      <c r="Y220" s="187" t="str">
        <f>CONCATENATE(U220," ",X220)</f>
        <v>12-Servicio de apoyo   logístico  en eventos operativos y/o emergencias. 004_Servicio de atención a emergencias y desastres</v>
      </c>
      <c r="Z220" s="186" t="str">
        <f>CONCATENATE(P220,Q220,R220,S220,V220)</f>
        <v>O23011745032024025512004</v>
      </c>
      <c r="AA220" s="186" t="str">
        <f>IFERROR(VLOOKUP(Y220,TD!$K$47:$L$65,2,0)," ")</f>
        <v>PM/0131/0112/45030040255</v>
      </c>
      <c r="AB220" s="53" t="s">
        <v>138</v>
      </c>
      <c r="AC220" s="188" t="s">
        <v>204</v>
      </c>
    </row>
    <row r="221" spans="2:29" s="28" customFormat="1" ht="56" x14ac:dyDescent="0.35">
      <c r="B221" s="77">
        <v>20250186</v>
      </c>
      <c r="C221" s="50" t="s">
        <v>209</v>
      </c>
      <c r="D221" s="184" t="s">
        <v>168</v>
      </c>
      <c r="E221" s="51" t="s">
        <v>603</v>
      </c>
      <c r="F221" s="184" t="s">
        <v>746</v>
      </c>
      <c r="G221" s="184" t="s">
        <v>155</v>
      </c>
      <c r="H221" s="93">
        <v>80111600</v>
      </c>
      <c r="I221" s="185">
        <v>2</v>
      </c>
      <c r="J221" s="185">
        <v>10</v>
      </c>
      <c r="K221" s="52">
        <v>0</v>
      </c>
      <c r="L221" s="53">
        <v>44000000</v>
      </c>
      <c r="M221" s="184" t="s">
        <v>464</v>
      </c>
      <c r="N221" s="53" t="s">
        <v>113</v>
      </c>
      <c r="O221" s="51" t="s">
        <v>224</v>
      </c>
      <c r="P221" s="186" t="str">
        <f>IFERROR(VLOOKUP(C221,TD!$B$33:$F$37,2,0)," ")</f>
        <v>O230117</v>
      </c>
      <c r="Q221" s="186" t="str">
        <f>IFERROR(VLOOKUP(C221,TD!$B$33:$F$37,3,0)," ")</f>
        <v>4503</v>
      </c>
      <c r="R221" s="186">
        <f>IFERROR(VLOOKUP(C221,TD!$B$33:$F$37,4,0)," ")</f>
        <v>20240255</v>
      </c>
      <c r="S221" s="51" t="s">
        <v>191</v>
      </c>
      <c r="T221" s="186" t="str">
        <f>IFERROR(VLOOKUP(S221,TD!$J$34:$K$44,2,0)," ")</f>
        <v>Servicio de apoyo   logístico  en eventos operativos y/o emergencias.</v>
      </c>
      <c r="U221" s="187" t="str">
        <f>CONCATENATE(S221,"-",T221)</f>
        <v>12-Servicio de apoyo   logístico  en eventos operativos y/o emergencias.</v>
      </c>
      <c r="V221" s="51" t="s">
        <v>232</v>
      </c>
      <c r="W221" s="186" t="str">
        <f>IFERROR(VLOOKUP(V221,TD!$N$34:$O$46,2,0)," ")</f>
        <v>Servicio de atención a emergencias y desastres</v>
      </c>
      <c r="X221" s="187" t="str">
        <f>CONCATENATE(V221,"_",W221)</f>
        <v>004_Servicio de atención a emergencias y desastres</v>
      </c>
      <c r="Y221" s="187" t="str">
        <f>CONCATENATE(U221," ",X221)</f>
        <v>12-Servicio de apoyo   logístico  en eventos operativos y/o emergencias. 004_Servicio de atención a emergencias y desastres</v>
      </c>
      <c r="Z221" s="186" t="str">
        <f>CONCATENATE(P221,Q221,R221,S221,V221)</f>
        <v>O23011745032024025512004</v>
      </c>
      <c r="AA221" s="186" t="str">
        <f>IFERROR(VLOOKUP(Y221,TD!$K$47:$L$65,2,0)," ")</f>
        <v>PM/0131/0112/45030040255</v>
      </c>
      <c r="AB221" s="53" t="s">
        <v>138</v>
      </c>
      <c r="AC221" s="188" t="s">
        <v>204</v>
      </c>
    </row>
    <row r="222" spans="2:29" s="28" customFormat="1" ht="70" x14ac:dyDescent="0.35">
      <c r="B222" s="77">
        <v>20250187</v>
      </c>
      <c r="C222" s="50" t="s">
        <v>209</v>
      </c>
      <c r="D222" s="184" t="s">
        <v>168</v>
      </c>
      <c r="E222" s="51" t="s">
        <v>603</v>
      </c>
      <c r="F222" s="184" t="s">
        <v>502</v>
      </c>
      <c r="G222" s="184" t="s">
        <v>155</v>
      </c>
      <c r="H222" s="93">
        <v>80111600</v>
      </c>
      <c r="I222" s="185">
        <v>2</v>
      </c>
      <c r="J222" s="185">
        <v>10</v>
      </c>
      <c r="K222" s="52">
        <v>0</v>
      </c>
      <c r="L222" s="53">
        <v>81000000</v>
      </c>
      <c r="M222" s="184" t="s">
        <v>464</v>
      </c>
      <c r="N222" s="53" t="s">
        <v>113</v>
      </c>
      <c r="O222" s="51" t="s">
        <v>224</v>
      </c>
      <c r="P222" s="186" t="str">
        <f>IFERROR(VLOOKUP(C222,TD!$B$33:$F$37,2,0)," ")</f>
        <v>O230117</v>
      </c>
      <c r="Q222" s="186" t="str">
        <f>IFERROR(VLOOKUP(C222,TD!$B$33:$F$37,3,0)," ")</f>
        <v>4503</v>
      </c>
      <c r="R222" s="186">
        <f>IFERROR(VLOOKUP(C222,TD!$B$33:$F$37,4,0)," ")</f>
        <v>20240255</v>
      </c>
      <c r="S222" s="51" t="s">
        <v>191</v>
      </c>
      <c r="T222" s="186" t="str">
        <f>IFERROR(VLOOKUP(S222,TD!$J$34:$K$44,2,0)," ")</f>
        <v>Servicio de apoyo   logístico  en eventos operativos y/o emergencias.</v>
      </c>
      <c r="U222" s="187" t="str">
        <f>CONCATENATE(S222,"-",T222)</f>
        <v>12-Servicio de apoyo   logístico  en eventos operativos y/o emergencias.</v>
      </c>
      <c r="V222" s="51" t="s">
        <v>232</v>
      </c>
      <c r="W222" s="186" t="str">
        <f>IFERROR(VLOOKUP(V222,TD!$N$34:$O$46,2,0)," ")</f>
        <v>Servicio de atención a emergencias y desastres</v>
      </c>
      <c r="X222" s="187" t="str">
        <f>CONCATENATE(V222,"_",W222)</f>
        <v>004_Servicio de atención a emergencias y desastres</v>
      </c>
      <c r="Y222" s="187" t="str">
        <f>CONCATENATE(U222," ",X222)</f>
        <v>12-Servicio de apoyo   logístico  en eventos operativos y/o emergencias. 004_Servicio de atención a emergencias y desastres</v>
      </c>
      <c r="Z222" s="186" t="str">
        <f>CONCATENATE(P222,Q222,R222,S222,V222)</f>
        <v>O23011745032024025512004</v>
      </c>
      <c r="AA222" s="186" t="str">
        <f>IFERROR(VLOOKUP(Y222,TD!$K$47:$L$65,2,0)," ")</f>
        <v>PM/0131/0112/45030040255</v>
      </c>
      <c r="AB222" s="53" t="s">
        <v>138</v>
      </c>
      <c r="AC222" s="188" t="s">
        <v>204</v>
      </c>
    </row>
    <row r="223" spans="2:29" s="28" customFormat="1" ht="56" x14ac:dyDescent="0.35">
      <c r="B223" s="77">
        <v>20250188</v>
      </c>
      <c r="C223" s="50" t="s">
        <v>209</v>
      </c>
      <c r="D223" s="184" t="s">
        <v>168</v>
      </c>
      <c r="E223" s="51" t="s">
        <v>603</v>
      </c>
      <c r="F223" s="184" t="s">
        <v>747</v>
      </c>
      <c r="G223" s="184" t="s">
        <v>156</v>
      </c>
      <c r="H223" s="93">
        <v>80111600</v>
      </c>
      <c r="I223" s="185">
        <v>2</v>
      </c>
      <c r="J223" s="185">
        <v>9</v>
      </c>
      <c r="K223" s="52">
        <v>0</v>
      </c>
      <c r="L223" s="53">
        <v>26240000</v>
      </c>
      <c r="M223" s="184" t="s">
        <v>464</v>
      </c>
      <c r="N223" s="53" t="s">
        <v>113</v>
      </c>
      <c r="O223" s="51" t="s">
        <v>224</v>
      </c>
      <c r="P223" s="186" t="str">
        <f>IFERROR(VLOOKUP(C223,TD!$B$33:$F$37,2,0)," ")</f>
        <v>O230117</v>
      </c>
      <c r="Q223" s="186" t="str">
        <f>IFERROR(VLOOKUP(C223,TD!$B$33:$F$37,3,0)," ")</f>
        <v>4503</v>
      </c>
      <c r="R223" s="186">
        <f>IFERROR(VLOOKUP(C223,TD!$B$33:$F$37,4,0)," ")</f>
        <v>20240255</v>
      </c>
      <c r="S223" s="51" t="s">
        <v>187</v>
      </c>
      <c r="T223" s="186" t="str">
        <f>IFERROR(VLOOKUP(S223,TD!$J$34:$K$44,2,0)," ")</f>
        <v>Servicio de mantenimiento, dotación (HEA´s y equipo menor) y adquisición de vehiculos   especializados para la atención de emergencias.</v>
      </c>
      <c r="U223" s="187" t="str">
        <f>CONCATENATE(S223,"-",T223)</f>
        <v>09-Servicio de mantenimiento, dotación (HEA´s y equipo menor) y adquisición de vehiculos   especializados para la atención de emergencias.</v>
      </c>
      <c r="V223" s="51" t="s">
        <v>232</v>
      </c>
      <c r="W223" s="186" t="str">
        <f>IFERROR(VLOOKUP(V223,TD!$N$34:$O$46,2,0)," ")</f>
        <v>Servicio de atención a emergencias y desastres</v>
      </c>
      <c r="X223" s="187" t="str">
        <f>CONCATENATE(V223,"_",W223)</f>
        <v>004_Servicio de atención a emergencias y desastres</v>
      </c>
      <c r="Y223" s="187" t="str">
        <f>CONCATENATE(U223," ",X223)</f>
        <v>09-Servicio de mantenimiento, dotación (HEA´s y equipo menor) y adquisición de vehiculos   especializados para la atención de emergencias. 004_Servicio de atención a emergencias y desastres</v>
      </c>
      <c r="Z223" s="186" t="str">
        <f>CONCATENATE(P223,Q223,R223,S223,V223)</f>
        <v>O23011745032024025509004</v>
      </c>
      <c r="AA223" s="186" t="str">
        <f>IFERROR(VLOOKUP(Y223,TD!$K$47:$L$65,2,0)," ")</f>
        <v>PM/0131/0109/45030040255</v>
      </c>
      <c r="AB223" s="53" t="s">
        <v>138</v>
      </c>
      <c r="AC223" s="188" t="s">
        <v>204</v>
      </c>
    </row>
    <row r="224" spans="2:29" s="28" customFormat="1" ht="56" x14ac:dyDescent="0.35">
      <c r="B224" s="77">
        <v>20250189</v>
      </c>
      <c r="C224" s="50" t="s">
        <v>209</v>
      </c>
      <c r="D224" s="184" t="s">
        <v>168</v>
      </c>
      <c r="E224" s="51" t="s">
        <v>603</v>
      </c>
      <c r="F224" s="184" t="s">
        <v>748</v>
      </c>
      <c r="G224" s="184" t="s">
        <v>156</v>
      </c>
      <c r="H224" s="93">
        <v>80111600</v>
      </c>
      <c r="I224" s="185">
        <v>2</v>
      </c>
      <c r="J224" s="185">
        <v>11</v>
      </c>
      <c r="K224" s="52">
        <v>0</v>
      </c>
      <c r="L224" s="53">
        <v>28800000</v>
      </c>
      <c r="M224" s="184" t="s">
        <v>464</v>
      </c>
      <c r="N224" s="53" t="s">
        <v>113</v>
      </c>
      <c r="O224" s="51" t="s">
        <v>224</v>
      </c>
      <c r="P224" s="186" t="str">
        <f>IFERROR(VLOOKUP(C224,TD!$B$33:$F$37,2,0)," ")</f>
        <v>O230117</v>
      </c>
      <c r="Q224" s="186" t="str">
        <f>IFERROR(VLOOKUP(C224,TD!$B$33:$F$37,3,0)," ")</f>
        <v>4503</v>
      </c>
      <c r="R224" s="186">
        <f>IFERROR(VLOOKUP(C224,TD!$B$33:$F$37,4,0)," ")</f>
        <v>20240255</v>
      </c>
      <c r="S224" s="51" t="s">
        <v>191</v>
      </c>
      <c r="T224" s="186" t="str">
        <f>IFERROR(VLOOKUP(S224,TD!$J$34:$K$44,2,0)," ")</f>
        <v>Servicio de apoyo   logístico  en eventos operativos y/o emergencias.</v>
      </c>
      <c r="U224" s="187" t="str">
        <f>CONCATENATE(S224,"-",T224)</f>
        <v>12-Servicio de apoyo   logístico  en eventos operativos y/o emergencias.</v>
      </c>
      <c r="V224" s="51" t="s">
        <v>232</v>
      </c>
      <c r="W224" s="186" t="str">
        <f>IFERROR(VLOOKUP(V224,TD!$N$34:$O$46,2,0)," ")</f>
        <v>Servicio de atención a emergencias y desastres</v>
      </c>
      <c r="X224" s="187" t="str">
        <f>CONCATENATE(V224,"_",W224)</f>
        <v>004_Servicio de atención a emergencias y desastres</v>
      </c>
      <c r="Y224" s="187" t="str">
        <f>CONCATENATE(U224," ",X224)</f>
        <v>12-Servicio de apoyo   logístico  en eventos operativos y/o emergencias. 004_Servicio de atención a emergencias y desastres</v>
      </c>
      <c r="Z224" s="186" t="str">
        <f>CONCATENATE(P224,Q224,R224,S224,V224)</f>
        <v>O23011745032024025512004</v>
      </c>
      <c r="AA224" s="186" t="str">
        <f>IFERROR(VLOOKUP(Y224,TD!$K$47:$L$65,2,0)," ")</f>
        <v>PM/0131/0112/45030040255</v>
      </c>
      <c r="AB224" s="53" t="s">
        <v>138</v>
      </c>
      <c r="AC224" s="188" t="s">
        <v>204</v>
      </c>
    </row>
    <row r="225" spans="2:29" s="28" customFormat="1" ht="56" x14ac:dyDescent="0.35">
      <c r="B225" s="77">
        <v>20250190</v>
      </c>
      <c r="C225" s="50" t="s">
        <v>209</v>
      </c>
      <c r="D225" s="184" t="s">
        <v>168</v>
      </c>
      <c r="E225" s="51" t="s">
        <v>603</v>
      </c>
      <c r="F225" s="184" t="s">
        <v>819</v>
      </c>
      <c r="G225" s="184" t="s">
        <v>156</v>
      </c>
      <c r="H225" s="93">
        <v>80111600</v>
      </c>
      <c r="I225" s="185">
        <v>2</v>
      </c>
      <c r="J225" s="185">
        <v>10</v>
      </c>
      <c r="K225" s="52">
        <v>0</v>
      </c>
      <c r="L225" s="53">
        <v>28800000</v>
      </c>
      <c r="M225" s="184" t="s">
        <v>464</v>
      </c>
      <c r="N225" s="53" t="s">
        <v>113</v>
      </c>
      <c r="O225" s="51" t="s">
        <v>224</v>
      </c>
      <c r="P225" s="186" t="str">
        <f>IFERROR(VLOOKUP(C225,TD!$B$33:$F$37,2,0)," ")</f>
        <v>O230117</v>
      </c>
      <c r="Q225" s="186" t="str">
        <f>IFERROR(VLOOKUP(C225,TD!$B$33:$F$37,3,0)," ")</f>
        <v>4503</v>
      </c>
      <c r="R225" s="186">
        <f>IFERROR(VLOOKUP(C225,TD!$B$33:$F$37,4,0)," ")</f>
        <v>20240255</v>
      </c>
      <c r="S225" s="51" t="s">
        <v>191</v>
      </c>
      <c r="T225" s="186" t="str">
        <f>IFERROR(VLOOKUP(S225,TD!$J$34:$K$44,2,0)," ")</f>
        <v>Servicio de apoyo   logístico  en eventos operativos y/o emergencias.</v>
      </c>
      <c r="U225" s="187" t="str">
        <f>CONCATENATE(S225,"-",T225)</f>
        <v>12-Servicio de apoyo   logístico  en eventos operativos y/o emergencias.</v>
      </c>
      <c r="V225" s="51" t="s">
        <v>232</v>
      </c>
      <c r="W225" s="186" t="str">
        <f>IFERROR(VLOOKUP(V225,TD!$N$34:$O$46,2,0)," ")</f>
        <v>Servicio de atención a emergencias y desastres</v>
      </c>
      <c r="X225" s="187" t="str">
        <f>CONCATENATE(V225,"_",W225)</f>
        <v>004_Servicio de atención a emergencias y desastres</v>
      </c>
      <c r="Y225" s="187" t="str">
        <f>CONCATENATE(U225," ",X225)</f>
        <v>12-Servicio de apoyo   logístico  en eventos operativos y/o emergencias. 004_Servicio de atención a emergencias y desastres</v>
      </c>
      <c r="Z225" s="186" t="str">
        <f>CONCATENATE(P225,Q225,R225,S225,V225)</f>
        <v>O23011745032024025512004</v>
      </c>
      <c r="AA225" s="186" t="str">
        <f>IFERROR(VLOOKUP(Y225,TD!$K$47:$L$65,2,0)," ")</f>
        <v>PM/0131/0112/45030040255</v>
      </c>
      <c r="AB225" s="53" t="s">
        <v>138</v>
      </c>
      <c r="AC225" s="188" t="s">
        <v>204</v>
      </c>
    </row>
    <row r="226" spans="2:29" s="28" customFormat="1" ht="56" x14ac:dyDescent="0.35">
      <c r="B226" s="77">
        <v>20250191</v>
      </c>
      <c r="C226" s="50" t="s">
        <v>209</v>
      </c>
      <c r="D226" s="184" t="s">
        <v>168</v>
      </c>
      <c r="E226" s="51" t="s">
        <v>603</v>
      </c>
      <c r="F226" s="184" t="s">
        <v>749</v>
      </c>
      <c r="G226" s="184" t="s">
        <v>156</v>
      </c>
      <c r="H226" s="93">
        <v>80111600</v>
      </c>
      <c r="I226" s="185">
        <v>2</v>
      </c>
      <c r="J226" s="185">
        <v>10</v>
      </c>
      <c r="K226" s="52">
        <v>0</v>
      </c>
      <c r="L226" s="53">
        <v>35000000</v>
      </c>
      <c r="M226" s="184" t="s">
        <v>464</v>
      </c>
      <c r="N226" s="53" t="s">
        <v>113</v>
      </c>
      <c r="O226" s="51" t="s">
        <v>224</v>
      </c>
      <c r="P226" s="186" t="str">
        <f>IFERROR(VLOOKUP(C226,TD!$B$33:$F$37,2,0)," ")</f>
        <v>O230117</v>
      </c>
      <c r="Q226" s="186" t="str">
        <f>IFERROR(VLOOKUP(C226,TD!$B$33:$F$37,3,0)," ")</f>
        <v>4503</v>
      </c>
      <c r="R226" s="186">
        <f>IFERROR(VLOOKUP(C226,TD!$B$33:$F$37,4,0)," ")</f>
        <v>20240255</v>
      </c>
      <c r="S226" s="51" t="s">
        <v>191</v>
      </c>
      <c r="T226" s="186" t="str">
        <f>IFERROR(VLOOKUP(S226,TD!$J$34:$K$44,2,0)," ")</f>
        <v>Servicio de apoyo   logístico  en eventos operativos y/o emergencias.</v>
      </c>
      <c r="U226" s="187" t="str">
        <f>CONCATENATE(S226,"-",T226)</f>
        <v>12-Servicio de apoyo   logístico  en eventos operativos y/o emergencias.</v>
      </c>
      <c r="V226" s="51" t="s">
        <v>232</v>
      </c>
      <c r="W226" s="186" t="str">
        <f>IFERROR(VLOOKUP(V226,TD!$N$34:$O$46,2,0)," ")</f>
        <v>Servicio de atención a emergencias y desastres</v>
      </c>
      <c r="X226" s="187" t="str">
        <f>CONCATENATE(V226,"_",W226)</f>
        <v>004_Servicio de atención a emergencias y desastres</v>
      </c>
      <c r="Y226" s="187" t="str">
        <f>CONCATENATE(U226," ",X226)</f>
        <v>12-Servicio de apoyo   logístico  en eventos operativos y/o emergencias. 004_Servicio de atención a emergencias y desastres</v>
      </c>
      <c r="Z226" s="186" t="str">
        <f>CONCATENATE(P226,Q226,R226,S226,V226)</f>
        <v>O23011745032024025512004</v>
      </c>
      <c r="AA226" s="186" t="str">
        <f>IFERROR(VLOOKUP(Y226,TD!$K$47:$L$65,2,0)," ")</f>
        <v>PM/0131/0112/45030040255</v>
      </c>
      <c r="AB226" s="53" t="s">
        <v>138</v>
      </c>
      <c r="AC226" s="188" t="s">
        <v>204</v>
      </c>
    </row>
    <row r="227" spans="2:29" s="28" customFormat="1" ht="56" x14ac:dyDescent="0.35">
      <c r="B227" s="77">
        <v>20250192</v>
      </c>
      <c r="C227" s="50" t="s">
        <v>209</v>
      </c>
      <c r="D227" s="184" t="s">
        <v>168</v>
      </c>
      <c r="E227" s="51" t="s">
        <v>603</v>
      </c>
      <c r="F227" s="184" t="s">
        <v>750</v>
      </c>
      <c r="G227" s="184" t="s">
        <v>155</v>
      </c>
      <c r="H227" s="93">
        <v>80111600</v>
      </c>
      <c r="I227" s="185">
        <v>2</v>
      </c>
      <c r="J227" s="185">
        <v>11</v>
      </c>
      <c r="K227" s="52">
        <v>0</v>
      </c>
      <c r="L227" s="53">
        <v>83700000</v>
      </c>
      <c r="M227" s="184" t="s">
        <v>464</v>
      </c>
      <c r="N227" s="53" t="s">
        <v>113</v>
      </c>
      <c r="O227" s="51" t="s">
        <v>224</v>
      </c>
      <c r="P227" s="186" t="str">
        <f>IFERROR(VLOOKUP(C227,TD!$B$33:$F$37,2,0)," ")</f>
        <v>O230117</v>
      </c>
      <c r="Q227" s="186" t="str">
        <f>IFERROR(VLOOKUP(C227,TD!$B$33:$F$37,3,0)," ")</f>
        <v>4503</v>
      </c>
      <c r="R227" s="186">
        <f>IFERROR(VLOOKUP(C227,TD!$B$33:$F$37,4,0)," ")</f>
        <v>20240255</v>
      </c>
      <c r="S227" s="51" t="s">
        <v>187</v>
      </c>
      <c r="T227" s="186" t="str">
        <f>IFERROR(VLOOKUP(S227,TD!$J$34:$K$44,2,0)," ")</f>
        <v>Servicio de mantenimiento, dotación (HEA´s y equipo menor) y adquisición de vehiculos   especializados para la atención de emergencias.</v>
      </c>
      <c r="U227" s="187" t="str">
        <f>CONCATENATE(S227,"-",T227)</f>
        <v>09-Servicio de mantenimiento, dotación (HEA´s y equipo menor) y adquisición de vehiculos   especializados para la atención de emergencias.</v>
      </c>
      <c r="V227" s="51" t="s">
        <v>232</v>
      </c>
      <c r="W227" s="186" t="str">
        <f>IFERROR(VLOOKUP(V227,TD!$N$34:$O$46,2,0)," ")</f>
        <v>Servicio de atención a emergencias y desastres</v>
      </c>
      <c r="X227" s="187" t="str">
        <f>CONCATENATE(V227,"_",W227)</f>
        <v>004_Servicio de atención a emergencias y desastres</v>
      </c>
      <c r="Y227" s="187" t="str">
        <f>CONCATENATE(U227," ",X227)</f>
        <v>09-Servicio de mantenimiento, dotación (HEA´s y equipo menor) y adquisición de vehiculos   especializados para la atención de emergencias. 004_Servicio de atención a emergencias y desastres</v>
      </c>
      <c r="Z227" s="186" t="str">
        <f>CONCATENATE(P227,Q227,R227,S227,V227)</f>
        <v>O23011745032024025509004</v>
      </c>
      <c r="AA227" s="186" t="str">
        <f>IFERROR(VLOOKUP(Y227,TD!$K$47:$L$65,2,0)," ")</f>
        <v>PM/0131/0109/45030040255</v>
      </c>
      <c r="AB227" s="53" t="s">
        <v>138</v>
      </c>
      <c r="AC227" s="188" t="s">
        <v>204</v>
      </c>
    </row>
    <row r="228" spans="2:29" s="28" customFormat="1" ht="56" x14ac:dyDescent="0.35">
      <c r="B228" s="77">
        <v>20250193</v>
      </c>
      <c r="C228" s="50" t="s">
        <v>209</v>
      </c>
      <c r="D228" s="184" t="s">
        <v>168</v>
      </c>
      <c r="E228" s="51" t="s">
        <v>603</v>
      </c>
      <c r="F228" s="184" t="s">
        <v>874</v>
      </c>
      <c r="G228" s="184" t="s">
        <v>156</v>
      </c>
      <c r="H228" s="93">
        <v>80111600</v>
      </c>
      <c r="I228" s="185">
        <v>3</v>
      </c>
      <c r="J228" s="185">
        <v>8</v>
      </c>
      <c r="K228" s="52">
        <v>0</v>
      </c>
      <c r="L228" s="53">
        <v>36000000</v>
      </c>
      <c r="M228" s="184" t="s">
        <v>464</v>
      </c>
      <c r="N228" s="53" t="s">
        <v>113</v>
      </c>
      <c r="O228" s="51" t="s">
        <v>224</v>
      </c>
      <c r="P228" s="186" t="str">
        <f>IFERROR(VLOOKUP(C228,TD!$B$33:$F$37,2,0)," ")</f>
        <v>O230117</v>
      </c>
      <c r="Q228" s="186" t="str">
        <f>IFERROR(VLOOKUP(C228,TD!$B$33:$F$37,3,0)," ")</f>
        <v>4503</v>
      </c>
      <c r="R228" s="186">
        <f>IFERROR(VLOOKUP(C228,TD!$B$33:$F$37,4,0)," ")</f>
        <v>20240255</v>
      </c>
      <c r="S228" s="51" t="s">
        <v>191</v>
      </c>
      <c r="T228" s="186" t="str">
        <f>IFERROR(VLOOKUP(S228,TD!$J$34:$K$44,2,0)," ")</f>
        <v>Servicio de apoyo   logístico  en eventos operativos y/o emergencias.</v>
      </c>
      <c r="U228" s="187" t="str">
        <f>CONCATENATE(S228,"-",T228)</f>
        <v>12-Servicio de apoyo   logístico  en eventos operativos y/o emergencias.</v>
      </c>
      <c r="V228" s="51" t="s">
        <v>232</v>
      </c>
      <c r="W228" s="186" t="str">
        <f>IFERROR(VLOOKUP(V228,TD!$N$34:$O$46,2,0)," ")</f>
        <v>Servicio de atención a emergencias y desastres</v>
      </c>
      <c r="X228" s="187" t="str">
        <f>CONCATENATE(V228,"_",W228)</f>
        <v>004_Servicio de atención a emergencias y desastres</v>
      </c>
      <c r="Y228" s="187" t="str">
        <f>CONCATENATE(U228," ",X228)</f>
        <v>12-Servicio de apoyo   logístico  en eventos operativos y/o emergencias. 004_Servicio de atención a emergencias y desastres</v>
      </c>
      <c r="Z228" s="186" t="str">
        <f>CONCATENATE(P228,Q228,R228,S228,V228)</f>
        <v>O23011745032024025512004</v>
      </c>
      <c r="AA228" s="186" t="str">
        <f>IFERROR(VLOOKUP(Y228,TD!$K$47:$L$65,2,0)," ")</f>
        <v>PM/0131/0112/45030040255</v>
      </c>
      <c r="AB228" s="53" t="s">
        <v>138</v>
      </c>
      <c r="AC228" s="188" t="s">
        <v>204</v>
      </c>
    </row>
    <row r="229" spans="2:29" s="28" customFormat="1" ht="56" x14ac:dyDescent="0.35">
      <c r="B229" s="77">
        <v>20250196</v>
      </c>
      <c r="C229" s="50" t="s">
        <v>209</v>
      </c>
      <c r="D229" s="184" t="s">
        <v>168</v>
      </c>
      <c r="E229" s="51" t="s">
        <v>603</v>
      </c>
      <c r="F229" s="184" t="s">
        <v>503</v>
      </c>
      <c r="G229" s="184" t="s">
        <v>155</v>
      </c>
      <c r="H229" s="93">
        <v>80111600</v>
      </c>
      <c r="I229" s="185">
        <v>2</v>
      </c>
      <c r="J229" s="185">
        <v>11</v>
      </c>
      <c r="K229" s="52">
        <v>0</v>
      </c>
      <c r="L229" s="53">
        <v>38500000</v>
      </c>
      <c r="M229" s="184" t="s">
        <v>464</v>
      </c>
      <c r="N229" s="53" t="s">
        <v>113</v>
      </c>
      <c r="O229" s="51" t="s">
        <v>224</v>
      </c>
      <c r="P229" s="186" t="str">
        <f>IFERROR(VLOOKUP(C229,TD!$B$33:$F$37,2,0)," ")</f>
        <v>O230117</v>
      </c>
      <c r="Q229" s="186" t="str">
        <f>IFERROR(VLOOKUP(C229,TD!$B$33:$F$37,3,0)," ")</f>
        <v>4503</v>
      </c>
      <c r="R229" s="186">
        <f>IFERROR(VLOOKUP(C229,TD!$B$33:$F$37,4,0)," ")</f>
        <v>20240255</v>
      </c>
      <c r="S229" s="51" t="s">
        <v>191</v>
      </c>
      <c r="T229" s="186" t="str">
        <f>IFERROR(VLOOKUP(S229,TD!$J$34:$K$44,2,0)," ")</f>
        <v>Servicio de apoyo   logístico  en eventos operativos y/o emergencias.</v>
      </c>
      <c r="U229" s="187" t="str">
        <f>CONCATENATE(S229,"-",T229)</f>
        <v>12-Servicio de apoyo   logístico  en eventos operativos y/o emergencias.</v>
      </c>
      <c r="V229" s="51" t="s">
        <v>232</v>
      </c>
      <c r="W229" s="186" t="str">
        <f>IFERROR(VLOOKUP(V229,TD!$N$34:$O$46,2,0)," ")</f>
        <v>Servicio de atención a emergencias y desastres</v>
      </c>
      <c r="X229" s="187" t="str">
        <f>CONCATENATE(V229,"_",W229)</f>
        <v>004_Servicio de atención a emergencias y desastres</v>
      </c>
      <c r="Y229" s="187" t="str">
        <f>CONCATENATE(U229," ",X229)</f>
        <v>12-Servicio de apoyo   logístico  en eventos operativos y/o emergencias. 004_Servicio de atención a emergencias y desastres</v>
      </c>
      <c r="Z229" s="186" t="str">
        <f>CONCATENATE(P229,Q229,R229,S229,V229)</f>
        <v>O23011745032024025512004</v>
      </c>
      <c r="AA229" s="186" t="str">
        <f>IFERROR(VLOOKUP(Y229,TD!$K$47:$L$65,2,0)," ")</f>
        <v>PM/0131/0112/45030040255</v>
      </c>
      <c r="AB229" s="53" t="s">
        <v>138</v>
      </c>
      <c r="AC229" s="188" t="s">
        <v>204</v>
      </c>
    </row>
    <row r="230" spans="2:29" s="28" customFormat="1" ht="56" x14ac:dyDescent="0.35">
      <c r="B230" s="77">
        <v>20250197</v>
      </c>
      <c r="C230" s="50" t="s">
        <v>209</v>
      </c>
      <c r="D230" s="184" t="s">
        <v>168</v>
      </c>
      <c r="E230" s="51" t="s">
        <v>603</v>
      </c>
      <c r="F230" s="184" t="s">
        <v>752</v>
      </c>
      <c r="G230" s="184" t="s">
        <v>155</v>
      </c>
      <c r="H230" s="93">
        <v>80111600</v>
      </c>
      <c r="I230" s="185">
        <v>2</v>
      </c>
      <c r="J230" s="185">
        <v>11</v>
      </c>
      <c r="K230" s="52">
        <v>0</v>
      </c>
      <c r="L230" s="53">
        <v>40500000</v>
      </c>
      <c r="M230" s="184" t="s">
        <v>464</v>
      </c>
      <c r="N230" s="53" t="s">
        <v>113</v>
      </c>
      <c r="O230" s="51" t="s">
        <v>224</v>
      </c>
      <c r="P230" s="186" t="str">
        <f>IFERROR(VLOOKUP(C230,TD!$B$33:$F$37,2,0)," ")</f>
        <v>O230117</v>
      </c>
      <c r="Q230" s="186" t="str">
        <f>IFERROR(VLOOKUP(C230,TD!$B$33:$F$37,3,0)," ")</f>
        <v>4503</v>
      </c>
      <c r="R230" s="186">
        <f>IFERROR(VLOOKUP(C230,TD!$B$33:$F$37,4,0)," ")</f>
        <v>20240255</v>
      </c>
      <c r="S230" s="51" t="s">
        <v>191</v>
      </c>
      <c r="T230" s="186" t="str">
        <f>IFERROR(VLOOKUP(S230,TD!$J$34:$K$44,2,0)," ")</f>
        <v>Servicio de apoyo   logístico  en eventos operativos y/o emergencias.</v>
      </c>
      <c r="U230" s="187" t="str">
        <f>CONCATENATE(S230,"-",T230)</f>
        <v>12-Servicio de apoyo   logístico  en eventos operativos y/o emergencias.</v>
      </c>
      <c r="V230" s="51" t="s">
        <v>232</v>
      </c>
      <c r="W230" s="186" t="str">
        <f>IFERROR(VLOOKUP(V230,TD!$N$34:$O$46,2,0)," ")</f>
        <v>Servicio de atención a emergencias y desastres</v>
      </c>
      <c r="X230" s="187" t="str">
        <f>CONCATENATE(V230,"_",W230)</f>
        <v>004_Servicio de atención a emergencias y desastres</v>
      </c>
      <c r="Y230" s="187" t="str">
        <f>CONCATENATE(U230," ",X230)</f>
        <v>12-Servicio de apoyo   logístico  en eventos operativos y/o emergencias. 004_Servicio de atención a emergencias y desastres</v>
      </c>
      <c r="Z230" s="186" t="str">
        <f>CONCATENATE(P230,Q230,R230,S230,V230)</f>
        <v>O23011745032024025512004</v>
      </c>
      <c r="AA230" s="186" t="str">
        <f>IFERROR(VLOOKUP(Y230,TD!$K$47:$L$65,2,0)," ")</f>
        <v>PM/0131/0112/45030040255</v>
      </c>
      <c r="AB230" s="53" t="s">
        <v>138</v>
      </c>
      <c r="AC230" s="188" t="s">
        <v>204</v>
      </c>
    </row>
    <row r="231" spans="2:29" s="28" customFormat="1" ht="56" x14ac:dyDescent="0.35">
      <c r="B231" s="77">
        <v>20250198</v>
      </c>
      <c r="C231" s="50" t="s">
        <v>209</v>
      </c>
      <c r="D231" s="184" t="s">
        <v>168</v>
      </c>
      <c r="E231" s="51" t="s">
        <v>603</v>
      </c>
      <c r="F231" s="184" t="s">
        <v>753</v>
      </c>
      <c r="G231" s="184" t="s">
        <v>155</v>
      </c>
      <c r="H231" s="93">
        <v>80111600</v>
      </c>
      <c r="I231" s="185">
        <v>2</v>
      </c>
      <c r="J231" s="185">
        <v>11</v>
      </c>
      <c r="K231" s="52">
        <v>0</v>
      </c>
      <c r="L231" s="53">
        <v>76500000</v>
      </c>
      <c r="M231" s="184" t="s">
        <v>464</v>
      </c>
      <c r="N231" s="53" t="s">
        <v>113</v>
      </c>
      <c r="O231" s="51" t="s">
        <v>224</v>
      </c>
      <c r="P231" s="186" t="str">
        <f>IFERROR(VLOOKUP(C231,TD!$B$33:$F$37,2,0)," ")</f>
        <v>O230117</v>
      </c>
      <c r="Q231" s="186" t="str">
        <f>IFERROR(VLOOKUP(C231,TD!$B$33:$F$37,3,0)," ")</f>
        <v>4503</v>
      </c>
      <c r="R231" s="186">
        <f>IFERROR(VLOOKUP(C231,TD!$B$33:$F$37,4,0)," ")</f>
        <v>20240255</v>
      </c>
      <c r="S231" s="51" t="s">
        <v>187</v>
      </c>
      <c r="T231" s="186" t="str">
        <f>IFERROR(VLOOKUP(S231,TD!$J$34:$K$44,2,0)," ")</f>
        <v>Servicio de mantenimiento, dotación (HEA´s y equipo menor) y adquisición de vehiculos   especializados para la atención de emergencias.</v>
      </c>
      <c r="U231" s="187" t="str">
        <f>CONCATENATE(S231,"-",T231)</f>
        <v>09-Servicio de mantenimiento, dotación (HEA´s y equipo menor) y adquisición de vehiculos   especializados para la atención de emergencias.</v>
      </c>
      <c r="V231" s="51" t="s">
        <v>232</v>
      </c>
      <c r="W231" s="186" t="str">
        <f>IFERROR(VLOOKUP(V231,TD!$N$34:$O$46,2,0)," ")</f>
        <v>Servicio de atención a emergencias y desastres</v>
      </c>
      <c r="X231" s="187" t="str">
        <f>CONCATENATE(V231,"_",W231)</f>
        <v>004_Servicio de atención a emergencias y desastres</v>
      </c>
      <c r="Y231" s="187" t="str">
        <f>CONCATENATE(U231," ",X231)</f>
        <v>09-Servicio de mantenimiento, dotación (HEA´s y equipo menor) y adquisición de vehiculos   especializados para la atención de emergencias. 004_Servicio de atención a emergencias y desastres</v>
      </c>
      <c r="Z231" s="186" t="str">
        <f>CONCATENATE(P231,Q231,R231,S231,V231)</f>
        <v>O23011745032024025509004</v>
      </c>
      <c r="AA231" s="186" t="str">
        <f>IFERROR(VLOOKUP(Y231,TD!$K$47:$L$65,2,0)," ")</f>
        <v>PM/0131/0109/45030040255</v>
      </c>
      <c r="AB231" s="53" t="s">
        <v>138</v>
      </c>
      <c r="AC231" s="188" t="s">
        <v>204</v>
      </c>
    </row>
    <row r="232" spans="2:29" s="28" customFormat="1" ht="56" x14ac:dyDescent="0.35">
      <c r="B232" s="77">
        <v>20250199</v>
      </c>
      <c r="C232" s="50" t="s">
        <v>209</v>
      </c>
      <c r="D232" s="184" t="s">
        <v>168</v>
      </c>
      <c r="E232" s="51" t="s">
        <v>603</v>
      </c>
      <c r="F232" s="184" t="s">
        <v>754</v>
      </c>
      <c r="G232" s="184" t="s">
        <v>155</v>
      </c>
      <c r="H232" s="93">
        <v>80111600</v>
      </c>
      <c r="I232" s="185">
        <v>2</v>
      </c>
      <c r="J232" s="185">
        <v>11</v>
      </c>
      <c r="K232" s="52">
        <v>0</v>
      </c>
      <c r="L232" s="53">
        <v>49500000</v>
      </c>
      <c r="M232" s="184" t="s">
        <v>464</v>
      </c>
      <c r="N232" s="53" t="s">
        <v>113</v>
      </c>
      <c r="O232" s="51" t="s">
        <v>224</v>
      </c>
      <c r="P232" s="186" t="str">
        <f>IFERROR(VLOOKUP(C232,TD!$B$33:$F$37,2,0)," ")</f>
        <v>O230117</v>
      </c>
      <c r="Q232" s="186" t="str">
        <f>IFERROR(VLOOKUP(C232,TD!$B$33:$F$37,3,0)," ")</f>
        <v>4503</v>
      </c>
      <c r="R232" s="186">
        <f>IFERROR(VLOOKUP(C232,TD!$B$33:$F$37,4,0)," ")</f>
        <v>20240255</v>
      </c>
      <c r="S232" s="51" t="s">
        <v>191</v>
      </c>
      <c r="T232" s="186" t="str">
        <f>IFERROR(VLOOKUP(S232,TD!$J$34:$K$44,2,0)," ")</f>
        <v>Servicio de apoyo   logístico  en eventos operativos y/o emergencias.</v>
      </c>
      <c r="U232" s="187" t="str">
        <f>CONCATENATE(S232,"-",T232)</f>
        <v>12-Servicio de apoyo   logístico  en eventos operativos y/o emergencias.</v>
      </c>
      <c r="V232" s="51" t="s">
        <v>232</v>
      </c>
      <c r="W232" s="186" t="str">
        <f>IFERROR(VLOOKUP(V232,TD!$N$34:$O$46,2,0)," ")</f>
        <v>Servicio de atención a emergencias y desastres</v>
      </c>
      <c r="X232" s="187" t="str">
        <f>CONCATENATE(V232,"_",W232)</f>
        <v>004_Servicio de atención a emergencias y desastres</v>
      </c>
      <c r="Y232" s="187" t="str">
        <f>CONCATENATE(U232," ",X232)</f>
        <v>12-Servicio de apoyo   logístico  en eventos operativos y/o emergencias. 004_Servicio de atención a emergencias y desastres</v>
      </c>
      <c r="Z232" s="186" t="str">
        <f>CONCATENATE(P232,Q232,R232,S232,V232)</f>
        <v>O23011745032024025512004</v>
      </c>
      <c r="AA232" s="186" t="str">
        <f>IFERROR(VLOOKUP(Y232,TD!$K$47:$L$65,2,0)," ")</f>
        <v>PM/0131/0112/45030040255</v>
      </c>
      <c r="AB232" s="53" t="s">
        <v>138</v>
      </c>
      <c r="AC232" s="188" t="s">
        <v>204</v>
      </c>
    </row>
    <row r="233" spans="2:29" s="28" customFormat="1" ht="56" x14ac:dyDescent="0.35">
      <c r="B233" s="77">
        <v>20250200</v>
      </c>
      <c r="C233" s="50" t="s">
        <v>209</v>
      </c>
      <c r="D233" s="184" t="s">
        <v>168</v>
      </c>
      <c r="E233" s="51" t="s">
        <v>603</v>
      </c>
      <c r="F233" s="184" t="s">
        <v>755</v>
      </c>
      <c r="G233" s="184" t="s">
        <v>156</v>
      </c>
      <c r="H233" s="93">
        <v>80111600</v>
      </c>
      <c r="I233" s="185">
        <v>2</v>
      </c>
      <c r="J233" s="185">
        <v>10</v>
      </c>
      <c r="K233" s="52">
        <v>0</v>
      </c>
      <c r="L233" s="53">
        <v>32400000</v>
      </c>
      <c r="M233" s="184" t="s">
        <v>464</v>
      </c>
      <c r="N233" s="53" t="s">
        <v>113</v>
      </c>
      <c r="O233" s="51" t="s">
        <v>224</v>
      </c>
      <c r="P233" s="186" t="str">
        <f>IFERROR(VLOOKUP(C233,TD!$B$33:$F$37,2,0)," ")</f>
        <v>O230117</v>
      </c>
      <c r="Q233" s="186" t="str">
        <f>IFERROR(VLOOKUP(C233,TD!$B$33:$F$37,3,0)," ")</f>
        <v>4503</v>
      </c>
      <c r="R233" s="186">
        <f>IFERROR(VLOOKUP(C233,TD!$B$33:$F$37,4,0)," ")</f>
        <v>20240255</v>
      </c>
      <c r="S233" s="51" t="s">
        <v>191</v>
      </c>
      <c r="T233" s="186" t="str">
        <f>IFERROR(VLOOKUP(S233,TD!$J$34:$K$44,2,0)," ")</f>
        <v>Servicio de apoyo   logístico  en eventos operativos y/o emergencias.</v>
      </c>
      <c r="U233" s="187" t="str">
        <f>CONCATENATE(S233,"-",T233)</f>
        <v>12-Servicio de apoyo   logístico  en eventos operativos y/o emergencias.</v>
      </c>
      <c r="V233" s="51" t="s">
        <v>232</v>
      </c>
      <c r="W233" s="186" t="str">
        <f>IFERROR(VLOOKUP(V233,TD!$N$34:$O$46,2,0)," ")</f>
        <v>Servicio de atención a emergencias y desastres</v>
      </c>
      <c r="X233" s="187" t="str">
        <f>CONCATENATE(V233,"_",W233)</f>
        <v>004_Servicio de atención a emergencias y desastres</v>
      </c>
      <c r="Y233" s="187" t="str">
        <f>CONCATENATE(U233," ",X233)</f>
        <v>12-Servicio de apoyo   logístico  en eventos operativos y/o emergencias. 004_Servicio de atención a emergencias y desastres</v>
      </c>
      <c r="Z233" s="186" t="str">
        <f>CONCATENATE(P233,Q233,R233,S233,V233)</f>
        <v>O23011745032024025512004</v>
      </c>
      <c r="AA233" s="186" t="str">
        <f>IFERROR(VLOOKUP(Y233,TD!$K$47:$L$65,2,0)," ")</f>
        <v>PM/0131/0112/45030040255</v>
      </c>
      <c r="AB233" s="53" t="s">
        <v>138</v>
      </c>
      <c r="AC233" s="188" t="s">
        <v>204</v>
      </c>
    </row>
    <row r="234" spans="2:29" s="28" customFormat="1" ht="56" x14ac:dyDescent="0.35">
      <c r="B234" s="77">
        <v>20250201</v>
      </c>
      <c r="C234" s="50" t="s">
        <v>209</v>
      </c>
      <c r="D234" s="184" t="s">
        <v>168</v>
      </c>
      <c r="E234" s="51" t="s">
        <v>603</v>
      </c>
      <c r="F234" s="184" t="s">
        <v>756</v>
      </c>
      <c r="G234" s="184" t="s">
        <v>155</v>
      </c>
      <c r="H234" s="93">
        <v>80111600</v>
      </c>
      <c r="I234" s="185">
        <v>2</v>
      </c>
      <c r="J234" s="185">
        <v>11</v>
      </c>
      <c r="K234" s="52">
        <v>0</v>
      </c>
      <c r="L234" s="53">
        <v>45000000</v>
      </c>
      <c r="M234" s="184" t="s">
        <v>464</v>
      </c>
      <c r="N234" s="53" t="s">
        <v>113</v>
      </c>
      <c r="O234" s="51" t="s">
        <v>224</v>
      </c>
      <c r="P234" s="186" t="str">
        <f>IFERROR(VLOOKUP(C234,TD!$B$33:$F$37,2,0)," ")</f>
        <v>O230117</v>
      </c>
      <c r="Q234" s="186" t="str">
        <f>IFERROR(VLOOKUP(C234,TD!$B$33:$F$37,3,0)," ")</f>
        <v>4503</v>
      </c>
      <c r="R234" s="186">
        <f>IFERROR(VLOOKUP(C234,TD!$B$33:$F$37,4,0)," ")</f>
        <v>20240255</v>
      </c>
      <c r="S234" s="51" t="s">
        <v>191</v>
      </c>
      <c r="T234" s="186" t="str">
        <f>IFERROR(VLOOKUP(S234,TD!$J$34:$K$44,2,0)," ")</f>
        <v>Servicio de apoyo   logístico  en eventos operativos y/o emergencias.</v>
      </c>
      <c r="U234" s="187" t="str">
        <f>CONCATENATE(S234,"-",T234)</f>
        <v>12-Servicio de apoyo   logístico  en eventos operativos y/o emergencias.</v>
      </c>
      <c r="V234" s="51" t="s">
        <v>232</v>
      </c>
      <c r="W234" s="186" t="str">
        <f>IFERROR(VLOOKUP(V234,TD!$N$34:$O$46,2,0)," ")</f>
        <v>Servicio de atención a emergencias y desastres</v>
      </c>
      <c r="X234" s="187" t="str">
        <f>CONCATENATE(V234,"_",W234)</f>
        <v>004_Servicio de atención a emergencias y desastres</v>
      </c>
      <c r="Y234" s="187" t="str">
        <f>CONCATENATE(U234," ",X234)</f>
        <v>12-Servicio de apoyo   logístico  en eventos operativos y/o emergencias. 004_Servicio de atención a emergencias y desastres</v>
      </c>
      <c r="Z234" s="186" t="str">
        <f>CONCATENATE(P234,Q234,R234,S234,V234)</f>
        <v>O23011745032024025512004</v>
      </c>
      <c r="AA234" s="186" t="str">
        <f>IFERROR(VLOOKUP(Y234,TD!$K$47:$L$65,2,0)," ")</f>
        <v>PM/0131/0112/45030040255</v>
      </c>
      <c r="AB234" s="53" t="s">
        <v>138</v>
      </c>
      <c r="AC234" s="188" t="s">
        <v>204</v>
      </c>
    </row>
    <row r="235" spans="2:29" s="28" customFormat="1" ht="56" x14ac:dyDescent="0.35">
      <c r="B235" s="77">
        <v>20250202</v>
      </c>
      <c r="C235" s="50" t="s">
        <v>209</v>
      </c>
      <c r="D235" s="184" t="s">
        <v>168</v>
      </c>
      <c r="E235" s="51" t="s">
        <v>603</v>
      </c>
      <c r="F235" s="184" t="s">
        <v>819</v>
      </c>
      <c r="G235" s="184" t="s">
        <v>156</v>
      </c>
      <c r="H235" s="93">
        <v>80111600</v>
      </c>
      <c r="I235" s="185">
        <v>2</v>
      </c>
      <c r="J235" s="185">
        <v>9</v>
      </c>
      <c r="K235" s="52">
        <v>0</v>
      </c>
      <c r="L235" s="53">
        <v>28800000</v>
      </c>
      <c r="M235" s="184" t="s">
        <v>464</v>
      </c>
      <c r="N235" s="53" t="s">
        <v>113</v>
      </c>
      <c r="O235" s="51" t="s">
        <v>224</v>
      </c>
      <c r="P235" s="186" t="str">
        <f>IFERROR(VLOOKUP(C235,TD!$B$33:$F$37,2,0)," ")</f>
        <v>O230117</v>
      </c>
      <c r="Q235" s="186" t="str">
        <f>IFERROR(VLOOKUP(C235,TD!$B$33:$F$37,3,0)," ")</f>
        <v>4503</v>
      </c>
      <c r="R235" s="186">
        <f>IFERROR(VLOOKUP(C235,TD!$B$33:$F$37,4,0)," ")</f>
        <v>20240255</v>
      </c>
      <c r="S235" s="51" t="s">
        <v>191</v>
      </c>
      <c r="T235" s="186" t="str">
        <f>IFERROR(VLOOKUP(S235,TD!$J$34:$K$44,2,0)," ")</f>
        <v>Servicio de apoyo   logístico  en eventos operativos y/o emergencias.</v>
      </c>
      <c r="U235" s="187" t="str">
        <f>CONCATENATE(S235,"-",T235)</f>
        <v>12-Servicio de apoyo   logístico  en eventos operativos y/o emergencias.</v>
      </c>
      <c r="V235" s="51" t="s">
        <v>232</v>
      </c>
      <c r="W235" s="186" t="str">
        <f>IFERROR(VLOOKUP(V235,TD!$N$34:$O$46,2,0)," ")</f>
        <v>Servicio de atención a emergencias y desastres</v>
      </c>
      <c r="X235" s="187" t="str">
        <f>CONCATENATE(V235,"_",W235)</f>
        <v>004_Servicio de atención a emergencias y desastres</v>
      </c>
      <c r="Y235" s="187" t="str">
        <f>CONCATENATE(U235," ",X235)</f>
        <v>12-Servicio de apoyo   logístico  en eventos operativos y/o emergencias. 004_Servicio de atención a emergencias y desastres</v>
      </c>
      <c r="Z235" s="186" t="str">
        <f>CONCATENATE(P235,Q235,R235,S235,V235)</f>
        <v>O23011745032024025512004</v>
      </c>
      <c r="AA235" s="186" t="str">
        <f>IFERROR(VLOOKUP(Y235,TD!$K$47:$L$65,2,0)," ")</f>
        <v>PM/0131/0112/45030040255</v>
      </c>
      <c r="AB235" s="53" t="s">
        <v>138</v>
      </c>
      <c r="AC235" s="188" t="s">
        <v>204</v>
      </c>
    </row>
    <row r="236" spans="2:29" s="28" customFormat="1" ht="56" x14ac:dyDescent="0.35">
      <c r="B236" s="77">
        <v>20250203</v>
      </c>
      <c r="C236" s="50" t="s">
        <v>209</v>
      </c>
      <c r="D236" s="184" t="s">
        <v>168</v>
      </c>
      <c r="E236" s="51" t="s">
        <v>603</v>
      </c>
      <c r="F236" s="184" t="s">
        <v>750</v>
      </c>
      <c r="G236" s="184" t="s">
        <v>155</v>
      </c>
      <c r="H236" s="93">
        <v>80111600</v>
      </c>
      <c r="I236" s="185">
        <v>2</v>
      </c>
      <c r="J236" s="185">
        <v>11</v>
      </c>
      <c r="K236" s="52">
        <v>0</v>
      </c>
      <c r="L236" s="53">
        <v>72000000</v>
      </c>
      <c r="M236" s="184" t="s">
        <v>464</v>
      </c>
      <c r="N236" s="53" t="s">
        <v>113</v>
      </c>
      <c r="O236" s="51" t="s">
        <v>224</v>
      </c>
      <c r="P236" s="186" t="str">
        <f>IFERROR(VLOOKUP(C236,TD!$B$33:$F$37,2,0)," ")</f>
        <v>O230117</v>
      </c>
      <c r="Q236" s="186" t="str">
        <f>IFERROR(VLOOKUP(C236,TD!$B$33:$F$37,3,0)," ")</f>
        <v>4503</v>
      </c>
      <c r="R236" s="186">
        <f>IFERROR(VLOOKUP(C236,TD!$B$33:$F$37,4,0)," ")</f>
        <v>20240255</v>
      </c>
      <c r="S236" s="51" t="s">
        <v>187</v>
      </c>
      <c r="T236" s="186" t="str">
        <f>IFERROR(VLOOKUP(S236,TD!$J$34:$K$44,2,0)," ")</f>
        <v>Servicio de mantenimiento, dotación (HEA´s y equipo menor) y adquisición de vehiculos   especializados para la atención de emergencias.</v>
      </c>
      <c r="U236" s="187" t="str">
        <f>CONCATENATE(S236,"-",T236)</f>
        <v>09-Servicio de mantenimiento, dotación (HEA´s y equipo menor) y adquisición de vehiculos   especializados para la atención de emergencias.</v>
      </c>
      <c r="V236" s="51" t="s">
        <v>232</v>
      </c>
      <c r="W236" s="186" t="str">
        <f>IFERROR(VLOOKUP(V236,TD!$N$34:$O$46,2,0)," ")</f>
        <v>Servicio de atención a emergencias y desastres</v>
      </c>
      <c r="X236" s="187" t="str">
        <f>CONCATENATE(V236,"_",W236)</f>
        <v>004_Servicio de atención a emergencias y desastres</v>
      </c>
      <c r="Y236" s="187" t="str">
        <f>CONCATENATE(U236," ",X236)</f>
        <v>09-Servicio de mantenimiento, dotación (HEA´s y equipo menor) y adquisición de vehiculos   especializados para la atención de emergencias. 004_Servicio de atención a emergencias y desastres</v>
      </c>
      <c r="Z236" s="186" t="str">
        <f>CONCATENATE(P236,Q236,R236,S236,V236)</f>
        <v>O23011745032024025509004</v>
      </c>
      <c r="AA236" s="186" t="str">
        <f>IFERROR(VLOOKUP(Y236,TD!$K$47:$L$65,2,0)," ")</f>
        <v>PM/0131/0109/45030040255</v>
      </c>
      <c r="AB236" s="53" t="s">
        <v>138</v>
      </c>
      <c r="AC236" s="188" t="s">
        <v>204</v>
      </c>
    </row>
    <row r="237" spans="2:29" s="28" customFormat="1" ht="56" x14ac:dyDescent="0.35">
      <c r="B237" s="77">
        <v>20250204</v>
      </c>
      <c r="C237" s="50" t="s">
        <v>209</v>
      </c>
      <c r="D237" s="184" t="s">
        <v>168</v>
      </c>
      <c r="E237" s="51" t="s">
        <v>603</v>
      </c>
      <c r="F237" s="184" t="s">
        <v>894</v>
      </c>
      <c r="G237" s="184" t="s">
        <v>156</v>
      </c>
      <c r="H237" s="93">
        <v>80111600</v>
      </c>
      <c r="I237" s="185">
        <v>2</v>
      </c>
      <c r="J237" s="185">
        <v>9</v>
      </c>
      <c r="K237" s="52">
        <v>0</v>
      </c>
      <c r="L237" s="53">
        <v>28800000</v>
      </c>
      <c r="M237" s="184" t="s">
        <v>464</v>
      </c>
      <c r="N237" s="53" t="s">
        <v>113</v>
      </c>
      <c r="O237" s="51" t="s">
        <v>224</v>
      </c>
      <c r="P237" s="186" t="str">
        <f>IFERROR(VLOOKUP(C237,TD!$B$33:$F$37,2,0)," ")</f>
        <v>O230117</v>
      </c>
      <c r="Q237" s="186" t="str">
        <f>IFERROR(VLOOKUP(C237,TD!$B$33:$F$37,3,0)," ")</f>
        <v>4503</v>
      </c>
      <c r="R237" s="186">
        <f>IFERROR(VLOOKUP(C237,TD!$B$33:$F$37,4,0)," ")</f>
        <v>20240255</v>
      </c>
      <c r="S237" s="51" t="s">
        <v>191</v>
      </c>
      <c r="T237" s="186" t="str">
        <f>IFERROR(VLOOKUP(S237,TD!$J$34:$K$44,2,0)," ")</f>
        <v>Servicio de apoyo   logístico  en eventos operativos y/o emergencias.</v>
      </c>
      <c r="U237" s="187" t="str">
        <f>CONCATENATE(S237,"-",T237)</f>
        <v>12-Servicio de apoyo   logístico  en eventos operativos y/o emergencias.</v>
      </c>
      <c r="V237" s="51" t="s">
        <v>232</v>
      </c>
      <c r="W237" s="186" t="str">
        <f>IFERROR(VLOOKUP(V237,TD!$N$34:$O$46,2,0)," ")</f>
        <v>Servicio de atención a emergencias y desastres</v>
      </c>
      <c r="X237" s="187" t="str">
        <f>CONCATENATE(V237,"_",W237)</f>
        <v>004_Servicio de atención a emergencias y desastres</v>
      </c>
      <c r="Y237" s="187" t="str">
        <f>CONCATENATE(U237," ",X237)</f>
        <v>12-Servicio de apoyo   logístico  en eventos operativos y/o emergencias. 004_Servicio de atención a emergencias y desastres</v>
      </c>
      <c r="Z237" s="186" t="str">
        <f>CONCATENATE(P237,Q237,R237,S237,V237)</f>
        <v>O23011745032024025512004</v>
      </c>
      <c r="AA237" s="186" t="str">
        <f>IFERROR(VLOOKUP(Y237,TD!$K$47:$L$65,2,0)," ")</f>
        <v>PM/0131/0112/45030040255</v>
      </c>
      <c r="AB237" s="53" t="s">
        <v>138</v>
      </c>
      <c r="AC237" s="188" t="s">
        <v>204</v>
      </c>
    </row>
    <row r="238" spans="2:29" s="28" customFormat="1" ht="56" x14ac:dyDescent="0.35">
      <c r="B238" s="77">
        <v>20250205</v>
      </c>
      <c r="C238" s="50" t="s">
        <v>209</v>
      </c>
      <c r="D238" s="184" t="s">
        <v>168</v>
      </c>
      <c r="E238" s="51" t="s">
        <v>603</v>
      </c>
      <c r="F238" s="184" t="s">
        <v>757</v>
      </c>
      <c r="G238" s="184" t="s">
        <v>155</v>
      </c>
      <c r="H238" s="93">
        <v>80111600</v>
      </c>
      <c r="I238" s="185">
        <v>2</v>
      </c>
      <c r="J238" s="185">
        <v>10</v>
      </c>
      <c r="K238" s="52">
        <v>0</v>
      </c>
      <c r="L238" s="53">
        <v>109924440</v>
      </c>
      <c r="M238" s="184" t="s">
        <v>464</v>
      </c>
      <c r="N238" s="53" t="s">
        <v>113</v>
      </c>
      <c r="O238" s="51" t="s">
        <v>224</v>
      </c>
      <c r="P238" s="186" t="str">
        <f>IFERROR(VLOOKUP(C238,TD!$B$33:$F$37,2,0)," ")</f>
        <v>O230117</v>
      </c>
      <c r="Q238" s="186" t="str">
        <f>IFERROR(VLOOKUP(C238,TD!$B$33:$F$37,3,0)," ")</f>
        <v>4503</v>
      </c>
      <c r="R238" s="186">
        <f>IFERROR(VLOOKUP(C238,TD!$B$33:$F$37,4,0)," ")</f>
        <v>20240255</v>
      </c>
      <c r="S238" s="51" t="s">
        <v>191</v>
      </c>
      <c r="T238" s="186" t="str">
        <f>IFERROR(VLOOKUP(S238,TD!$J$34:$K$44,2,0)," ")</f>
        <v>Servicio de apoyo   logístico  en eventos operativos y/o emergencias.</v>
      </c>
      <c r="U238" s="187" t="str">
        <f>CONCATENATE(S238,"-",T238)</f>
        <v>12-Servicio de apoyo   logístico  en eventos operativos y/o emergencias.</v>
      </c>
      <c r="V238" s="51" t="s">
        <v>232</v>
      </c>
      <c r="W238" s="186" t="str">
        <f>IFERROR(VLOOKUP(V238,TD!$N$34:$O$46,2,0)," ")</f>
        <v>Servicio de atención a emergencias y desastres</v>
      </c>
      <c r="X238" s="187" t="str">
        <f>CONCATENATE(V238,"_",W238)</f>
        <v>004_Servicio de atención a emergencias y desastres</v>
      </c>
      <c r="Y238" s="187" t="str">
        <f>CONCATENATE(U238," ",X238)</f>
        <v>12-Servicio de apoyo   logístico  en eventos operativos y/o emergencias. 004_Servicio de atención a emergencias y desastres</v>
      </c>
      <c r="Z238" s="186" t="str">
        <f>CONCATENATE(P238,Q238,R238,S238,V238)</f>
        <v>O23011745032024025512004</v>
      </c>
      <c r="AA238" s="186" t="str">
        <f>IFERROR(VLOOKUP(Y238,TD!$K$47:$L$65,2,0)," ")</f>
        <v>PM/0131/0112/45030040255</v>
      </c>
      <c r="AB238" s="53" t="s">
        <v>138</v>
      </c>
      <c r="AC238" s="188" t="s">
        <v>204</v>
      </c>
    </row>
    <row r="239" spans="2:29" s="28" customFormat="1" ht="56" x14ac:dyDescent="0.35">
      <c r="B239" s="77">
        <v>20250206</v>
      </c>
      <c r="C239" s="50" t="s">
        <v>209</v>
      </c>
      <c r="D239" s="184" t="s">
        <v>168</v>
      </c>
      <c r="E239" s="51" t="s">
        <v>603</v>
      </c>
      <c r="F239" s="184" t="s">
        <v>758</v>
      </c>
      <c r="G239" s="184" t="s">
        <v>155</v>
      </c>
      <c r="H239" s="93">
        <v>80111600</v>
      </c>
      <c r="I239" s="185">
        <v>2</v>
      </c>
      <c r="J239" s="185">
        <v>11</v>
      </c>
      <c r="K239" s="52">
        <v>0</v>
      </c>
      <c r="L239" s="53">
        <v>72000000</v>
      </c>
      <c r="M239" s="184" t="s">
        <v>464</v>
      </c>
      <c r="N239" s="53" t="s">
        <v>113</v>
      </c>
      <c r="O239" s="51" t="s">
        <v>224</v>
      </c>
      <c r="P239" s="186" t="str">
        <f>IFERROR(VLOOKUP(C239,TD!$B$33:$F$37,2,0)," ")</f>
        <v>O230117</v>
      </c>
      <c r="Q239" s="186" t="str">
        <f>IFERROR(VLOOKUP(C239,TD!$B$33:$F$37,3,0)," ")</f>
        <v>4503</v>
      </c>
      <c r="R239" s="186">
        <f>IFERROR(VLOOKUP(C239,TD!$B$33:$F$37,4,0)," ")</f>
        <v>20240255</v>
      </c>
      <c r="S239" s="51" t="s">
        <v>191</v>
      </c>
      <c r="T239" s="186" t="str">
        <f>IFERROR(VLOOKUP(S239,TD!$J$34:$K$44,2,0)," ")</f>
        <v>Servicio de apoyo   logístico  en eventos operativos y/o emergencias.</v>
      </c>
      <c r="U239" s="187" t="str">
        <f>CONCATENATE(S239,"-",T239)</f>
        <v>12-Servicio de apoyo   logístico  en eventos operativos y/o emergencias.</v>
      </c>
      <c r="V239" s="51" t="s">
        <v>232</v>
      </c>
      <c r="W239" s="186" t="str">
        <f>IFERROR(VLOOKUP(V239,TD!$N$34:$O$46,2,0)," ")</f>
        <v>Servicio de atención a emergencias y desastres</v>
      </c>
      <c r="X239" s="187" t="str">
        <f>CONCATENATE(V239,"_",W239)</f>
        <v>004_Servicio de atención a emergencias y desastres</v>
      </c>
      <c r="Y239" s="187" t="str">
        <f>CONCATENATE(U239," ",X239)</f>
        <v>12-Servicio de apoyo   logístico  en eventos operativos y/o emergencias. 004_Servicio de atención a emergencias y desastres</v>
      </c>
      <c r="Z239" s="186" t="str">
        <f>CONCATENATE(P239,Q239,R239,S239,V239)</f>
        <v>O23011745032024025512004</v>
      </c>
      <c r="AA239" s="186" t="str">
        <f>IFERROR(VLOOKUP(Y239,TD!$K$47:$L$65,2,0)," ")</f>
        <v>PM/0131/0112/45030040255</v>
      </c>
      <c r="AB239" s="53" t="s">
        <v>138</v>
      </c>
      <c r="AC239" s="188" t="s">
        <v>204</v>
      </c>
    </row>
    <row r="240" spans="2:29" s="28" customFormat="1" ht="56" x14ac:dyDescent="0.35">
      <c r="B240" s="77">
        <v>20250207</v>
      </c>
      <c r="C240" s="50" t="s">
        <v>209</v>
      </c>
      <c r="D240" s="184" t="s">
        <v>168</v>
      </c>
      <c r="E240" s="51" t="s">
        <v>603</v>
      </c>
      <c r="F240" s="184" t="s">
        <v>752</v>
      </c>
      <c r="G240" s="184" t="s">
        <v>155</v>
      </c>
      <c r="H240" s="93">
        <v>80111600</v>
      </c>
      <c r="I240" s="185">
        <v>2</v>
      </c>
      <c r="J240" s="185">
        <v>8</v>
      </c>
      <c r="K240" s="52">
        <v>0</v>
      </c>
      <c r="L240" s="53">
        <v>52000000</v>
      </c>
      <c r="M240" s="184" t="s">
        <v>464</v>
      </c>
      <c r="N240" s="53" t="s">
        <v>113</v>
      </c>
      <c r="O240" s="51" t="s">
        <v>224</v>
      </c>
      <c r="P240" s="186" t="str">
        <f>IFERROR(VLOOKUP(C240,TD!$B$33:$F$37,2,0)," ")</f>
        <v>O230117</v>
      </c>
      <c r="Q240" s="186" t="str">
        <f>IFERROR(VLOOKUP(C240,TD!$B$33:$F$37,3,0)," ")</f>
        <v>4503</v>
      </c>
      <c r="R240" s="186">
        <f>IFERROR(VLOOKUP(C240,TD!$B$33:$F$37,4,0)," ")</f>
        <v>20240255</v>
      </c>
      <c r="S240" s="51" t="s">
        <v>191</v>
      </c>
      <c r="T240" s="186" t="str">
        <f>IFERROR(VLOOKUP(S240,TD!$J$34:$K$44,2,0)," ")</f>
        <v>Servicio de apoyo   logístico  en eventos operativos y/o emergencias.</v>
      </c>
      <c r="U240" s="187" t="str">
        <f>CONCATENATE(S240,"-",T240)</f>
        <v>12-Servicio de apoyo   logístico  en eventos operativos y/o emergencias.</v>
      </c>
      <c r="V240" s="51" t="s">
        <v>232</v>
      </c>
      <c r="W240" s="186" t="str">
        <f>IFERROR(VLOOKUP(V240,TD!$N$34:$O$46,2,0)," ")</f>
        <v>Servicio de atención a emergencias y desastres</v>
      </c>
      <c r="X240" s="187" t="str">
        <f>CONCATENATE(V240,"_",W240)</f>
        <v>004_Servicio de atención a emergencias y desastres</v>
      </c>
      <c r="Y240" s="187" t="str">
        <f>CONCATENATE(U240," ",X240)</f>
        <v>12-Servicio de apoyo   logístico  en eventos operativos y/o emergencias. 004_Servicio de atención a emergencias y desastres</v>
      </c>
      <c r="Z240" s="186" t="str">
        <f>CONCATENATE(P240,Q240,R240,S240,V240)</f>
        <v>O23011745032024025512004</v>
      </c>
      <c r="AA240" s="186" t="str">
        <f>IFERROR(VLOOKUP(Y240,TD!$K$47:$L$65,2,0)," ")</f>
        <v>PM/0131/0112/45030040255</v>
      </c>
      <c r="AB240" s="53" t="s">
        <v>138</v>
      </c>
      <c r="AC240" s="188" t="s">
        <v>204</v>
      </c>
    </row>
    <row r="241" spans="2:29" s="28" customFormat="1" ht="56" x14ac:dyDescent="0.35">
      <c r="B241" s="77">
        <v>20250208</v>
      </c>
      <c r="C241" s="50" t="s">
        <v>209</v>
      </c>
      <c r="D241" s="184" t="s">
        <v>168</v>
      </c>
      <c r="E241" s="51" t="s">
        <v>603</v>
      </c>
      <c r="F241" s="184" t="s">
        <v>745</v>
      </c>
      <c r="G241" s="184" t="s">
        <v>155</v>
      </c>
      <c r="H241" s="93">
        <v>80111600</v>
      </c>
      <c r="I241" s="185">
        <v>2</v>
      </c>
      <c r="J241" s="185">
        <v>9</v>
      </c>
      <c r="K241" s="52">
        <v>0</v>
      </c>
      <c r="L241" s="53">
        <v>52000000</v>
      </c>
      <c r="M241" s="184" t="s">
        <v>464</v>
      </c>
      <c r="N241" s="53" t="s">
        <v>113</v>
      </c>
      <c r="O241" s="51" t="s">
        <v>224</v>
      </c>
      <c r="P241" s="186" t="str">
        <f>IFERROR(VLOOKUP(C241,TD!$B$33:$F$37,2,0)," ")</f>
        <v>O230117</v>
      </c>
      <c r="Q241" s="186" t="str">
        <f>IFERROR(VLOOKUP(C241,TD!$B$33:$F$37,3,0)," ")</f>
        <v>4503</v>
      </c>
      <c r="R241" s="186">
        <f>IFERROR(VLOOKUP(C241,TD!$B$33:$F$37,4,0)," ")</f>
        <v>20240255</v>
      </c>
      <c r="S241" s="51" t="s">
        <v>191</v>
      </c>
      <c r="T241" s="186" t="str">
        <f>IFERROR(VLOOKUP(S241,TD!$J$34:$K$44,2,0)," ")</f>
        <v>Servicio de apoyo   logístico  en eventos operativos y/o emergencias.</v>
      </c>
      <c r="U241" s="187" t="str">
        <f>CONCATENATE(S241,"-",T241)</f>
        <v>12-Servicio de apoyo   logístico  en eventos operativos y/o emergencias.</v>
      </c>
      <c r="V241" s="51" t="s">
        <v>232</v>
      </c>
      <c r="W241" s="186" t="str">
        <f>IFERROR(VLOOKUP(V241,TD!$N$34:$O$46,2,0)," ")</f>
        <v>Servicio de atención a emergencias y desastres</v>
      </c>
      <c r="X241" s="187" t="str">
        <f>CONCATENATE(V241,"_",W241)</f>
        <v>004_Servicio de atención a emergencias y desastres</v>
      </c>
      <c r="Y241" s="187" t="str">
        <f>CONCATENATE(U241," ",X241)</f>
        <v>12-Servicio de apoyo   logístico  en eventos operativos y/o emergencias. 004_Servicio de atención a emergencias y desastres</v>
      </c>
      <c r="Z241" s="186" t="str">
        <f>CONCATENATE(P241,Q241,R241,S241,V241)</f>
        <v>O23011745032024025512004</v>
      </c>
      <c r="AA241" s="186" t="str">
        <f>IFERROR(VLOOKUP(Y241,TD!$K$47:$L$65,2,0)," ")</f>
        <v>PM/0131/0112/45030040255</v>
      </c>
      <c r="AB241" s="53" t="s">
        <v>138</v>
      </c>
      <c r="AC241" s="188" t="s">
        <v>204</v>
      </c>
    </row>
    <row r="242" spans="2:29" s="28" customFormat="1" ht="56" x14ac:dyDescent="0.35">
      <c r="B242" s="77">
        <v>20250209</v>
      </c>
      <c r="C242" s="50" t="s">
        <v>209</v>
      </c>
      <c r="D242" s="184" t="s">
        <v>168</v>
      </c>
      <c r="E242" s="51" t="s">
        <v>603</v>
      </c>
      <c r="F242" s="184" t="s">
        <v>759</v>
      </c>
      <c r="G242" s="184" t="s">
        <v>156</v>
      </c>
      <c r="H242" s="93">
        <v>80111600</v>
      </c>
      <c r="I242" s="185">
        <v>2</v>
      </c>
      <c r="J242" s="185">
        <v>10</v>
      </c>
      <c r="K242" s="52">
        <v>0</v>
      </c>
      <c r="L242" s="53">
        <v>26240000</v>
      </c>
      <c r="M242" s="184" t="s">
        <v>464</v>
      </c>
      <c r="N242" s="53" t="s">
        <v>113</v>
      </c>
      <c r="O242" s="51" t="s">
        <v>224</v>
      </c>
      <c r="P242" s="186" t="str">
        <f>IFERROR(VLOOKUP(C242,TD!$B$33:$F$37,2,0)," ")</f>
        <v>O230117</v>
      </c>
      <c r="Q242" s="186" t="str">
        <f>IFERROR(VLOOKUP(C242,TD!$B$33:$F$37,3,0)," ")</f>
        <v>4503</v>
      </c>
      <c r="R242" s="186">
        <f>IFERROR(VLOOKUP(C242,TD!$B$33:$F$37,4,0)," ")</f>
        <v>20240255</v>
      </c>
      <c r="S242" s="51" t="s">
        <v>191</v>
      </c>
      <c r="T242" s="186" t="str">
        <f>IFERROR(VLOOKUP(S242,TD!$J$34:$K$44,2,0)," ")</f>
        <v>Servicio de apoyo   logístico  en eventos operativos y/o emergencias.</v>
      </c>
      <c r="U242" s="187" t="str">
        <f>CONCATENATE(S242,"-",T242)</f>
        <v>12-Servicio de apoyo   logístico  en eventos operativos y/o emergencias.</v>
      </c>
      <c r="V242" s="51" t="s">
        <v>232</v>
      </c>
      <c r="W242" s="186" t="str">
        <f>IFERROR(VLOOKUP(V242,TD!$N$34:$O$46,2,0)," ")</f>
        <v>Servicio de atención a emergencias y desastres</v>
      </c>
      <c r="X242" s="187" t="str">
        <f>CONCATENATE(V242,"_",W242)</f>
        <v>004_Servicio de atención a emergencias y desastres</v>
      </c>
      <c r="Y242" s="187" t="str">
        <f>CONCATENATE(U242," ",X242)</f>
        <v>12-Servicio de apoyo   logístico  en eventos operativos y/o emergencias. 004_Servicio de atención a emergencias y desastres</v>
      </c>
      <c r="Z242" s="186" t="str">
        <f>CONCATENATE(P242,Q242,R242,S242,V242)</f>
        <v>O23011745032024025512004</v>
      </c>
      <c r="AA242" s="186" t="str">
        <f>IFERROR(VLOOKUP(Y242,TD!$K$47:$L$65,2,0)," ")</f>
        <v>PM/0131/0112/45030040255</v>
      </c>
      <c r="AB242" s="53" t="s">
        <v>138</v>
      </c>
      <c r="AC242" s="188" t="s">
        <v>204</v>
      </c>
    </row>
    <row r="243" spans="2:29" s="28" customFormat="1" ht="56" x14ac:dyDescent="0.35">
      <c r="B243" s="77">
        <v>20250210</v>
      </c>
      <c r="C243" s="50" t="s">
        <v>209</v>
      </c>
      <c r="D243" s="184" t="s">
        <v>168</v>
      </c>
      <c r="E243" s="51" t="s">
        <v>603</v>
      </c>
      <c r="F243" s="184" t="s">
        <v>760</v>
      </c>
      <c r="G243" s="184" t="s">
        <v>155</v>
      </c>
      <c r="H243" s="93">
        <v>80111600</v>
      </c>
      <c r="I243" s="185">
        <v>2</v>
      </c>
      <c r="J243" s="185">
        <v>10</v>
      </c>
      <c r="K243" s="52">
        <v>0</v>
      </c>
      <c r="L243" s="53">
        <v>56000000</v>
      </c>
      <c r="M243" s="184" t="s">
        <v>464</v>
      </c>
      <c r="N243" s="53" t="s">
        <v>113</v>
      </c>
      <c r="O243" s="51" t="s">
        <v>224</v>
      </c>
      <c r="P243" s="186" t="str">
        <f>IFERROR(VLOOKUP(C243,TD!$B$33:$F$37,2,0)," ")</f>
        <v>O230117</v>
      </c>
      <c r="Q243" s="186" t="str">
        <f>IFERROR(VLOOKUP(C243,TD!$B$33:$F$37,3,0)," ")</f>
        <v>4503</v>
      </c>
      <c r="R243" s="186">
        <f>IFERROR(VLOOKUP(C243,TD!$B$33:$F$37,4,0)," ")</f>
        <v>20240255</v>
      </c>
      <c r="S243" s="51" t="s">
        <v>191</v>
      </c>
      <c r="T243" s="186" t="str">
        <f>IFERROR(VLOOKUP(S243,TD!$J$34:$K$44,2,0)," ")</f>
        <v>Servicio de apoyo   logístico  en eventos operativos y/o emergencias.</v>
      </c>
      <c r="U243" s="187" t="str">
        <f>CONCATENATE(S243,"-",T243)</f>
        <v>12-Servicio de apoyo   logístico  en eventos operativos y/o emergencias.</v>
      </c>
      <c r="V243" s="51" t="s">
        <v>232</v>
      </c>
      <c r="W243" s="186" t="str">
        <f>IFERROR(VLOOKUP(V243,TD!$N$34:$O$46,2,0)," ")</f>
        <v>Servicio de atención a emergencias y desastres</v>
      </c>
      <c r="X243" s="187" t="str">
        <f>CONCATENATE(V243,"_",W243)</f>
        <v>004_Servicio de atención a emergencias y desastres</v>
      </c>
      <c r="Y243" s="187" t="str">
        <f>CONCATENATE(U243," ",X243)</f>
        <v>12-Servicio de apoyo   logístico  en eventos operativos y/o emergencias. 004_Servicio de atención a emergencias y desastres</v>
      </c>
      <c r="Z243" s="186" t="str">
        <f>CONCATENATE(P243,Q243,R243,S243,V243)</f>
        <v>O23011745032024025512004</v>
      </c>
      <c r="AA243" s="186" t="str">
        <f>IFERROR(VLOOKUP(Y243,TD!$K$47:$L$65,2,0)," ")</f>
        <v>PM/0131/0112/45030040255</v>
      </c>
      <c r="AB243" s="53" t="s">
        <v>138</v>
      </c>
      <c r="AC243" s="188" t="s">
        <v>204</v>
      </c>
    </row>
    <row r="244" spans="2:29" s="28" customFormat="1" ht="56" x14ac:dyDescent="0.35">
      <c r="B244" s="77">
        <v>20250212</v>
      </c>
      <c r="C244" s="50" t="s">
        <v>209</v>
      </c>
      <c r="D244" s="184" t="s">
        <v>168</v>
      </c>
      <c r="E244" s="51" t="s">
        <v>603</v>
      </c>
      <c r="F244" s="184" t="s">
        <v>820</v>
      </c>
      <c r="G244" s="184" t="s">
        <v>155</v>
      </c>
      <c r="H244" s="93">
        <v>80111600</v>
      </c>
      <c r="I244" s="185">
        <v>2</v>
      </c>
      <c r="J244" s="185">
        <v>7</v>
      </c>
      <c r="K244" s="52">
        <v>0</v>
      </c>
      <c r="L244" s="53">
        <v>56000000</v>
      </c>
      <c r="M244" s="184" t="s">
        <v>464</v>
      </c>
      <c r="N244" s="53" t="s">
        <v>113</v>
      </c>
      <c r="O244" s="51" t="s">
        <v>224</v>
      </c>
      <c r="P244" s="186" t="str">
        <f>IFERROR(VLOOKUP(C244,TD!$B$33:$F$37,2,0)," ")</f>
        <v>O230117</v>
      </c>
      <c r="Q244" s="186" t="str">
        <f>IFERROR(VLOOKUP(C244,TD!$B$33:$F$37,3,0)," ")</f>
        <v>4503</v>
      </c>
      <c r="R244" s="186">
        <f>IFERROR(VLOOKUP(C244,TD!$B$33:$F$37,4,0)," ")</f>
        <v>20240255</v>
      </c>
      <c r="S244" s="51" t="s">
        <v>191</v>
      </c>
      <c r="T244" s="186" t="str">
        <f>IFERROR(VLOOKUP(S244,TD!$J$34:$K$44,2,0)," ")</f>
        <v>Servicio de apoyo   logístico  en eventos operativos y/o emergencias.</v>
      </c>
      <c r="U244" s="187" t="str">
        <f>CONCATENATE(S244,"-",T244)</f>
        <v>12-Servicio de apoyo   logístico  en eventos operativos y/o emergencias.</v>
      </c>
      <c r="V244" s="51" t="s">
        <v>232</v>
      </c>
      <c r="W244" s="186" t="str">
        <f>IFERROR(VLOOKUP(V244,TD!$N$34:$O$46,2,0)," ")</f>
        <v>Servicio de atención a emergencias y desastres</v>
      </c>
      <c r="X244" s="187" t="str">
        <f>CONCATENATE(V244,"_",W244)</f>
        <v>004_Servicio de atención a emergencias y desastres</v>
      </c>
      <c r="Y244" s="187" t="str">
        <f>CONCATENATE(U244," ",X244)</f>
        <v>12-Servicio de apoyo   logístico  en eventos operativos y/o emergencias. 004_Servicio de atención a emergencias y desastres</v>
      </c>
      <c r="Z244" s="186" t="str">
        <f>CONCATENATE(P244,Q244,R244,S244,V244)</f>
        <v>O23011745032024025512004</v>
      </c>
      <c r="AA244" s="186" t="str">
        <f>IFERROR(VLOOKUP(Y244,TD!$K$47:$L$65,2,0)," ")</f>
        <v>PM/0131/0112/45030040255</v>
      </c>
      <c r="AB244" s="53" t="s">
        <v>138</v>
      </c>
      <c r="AC244" s="188" t="s">
        <v>204</v>
      </c>
    </row>
    <row r="245" spans="2:29" s="28" customFormat="1" ht="56" x14ac:dyDescent="0.35">
      <c r="B245" s="77">
        <v>20250213</v>
      </c>
      <c r="C245" s="50" t="s">
        <v>209</v>
      </c>
      <c r="D245" s="184" t="s">
        <v>168</v>
      </c>
      <c r="E245" s="51" t="s">
        <v>603</v>
      </c>
      <c r="F245" s="184" t="s">
        <v>761</v>
      </c>
      <c r="G245" s="184" t="s">
        <v>155</v>
      </c>
      <c r="H245" s="93">
        <v>80111600</v>
      </c>
      <c r="I245" s="185">
        <v>2</v>
      </c>
      <c r="J245" s="185">
        <v>11</v>
      </c>
      <c r="K245" s="52">
        <v>0</v>
      </c>
      <c r="L245" s="53">
        <v>30000000</v>
      </c>
      <c r="M245" s="184" t="s">
        <v>464</v>
      </c>
      <c r="N245" s="53" t="s">
        <v>113</v>
      </c>
      <c r="O245" s="51" t="s">
        <v>224</v>
      </c>
      <c r="P245" s="186" t="str">
        <f>IFERROR(VLOOKUP(C245,TD!$B$33:$F$37,2,0)," ")</f>
        <v>O230117</v>
      </c>
      <c r="Q245" s="186" t="str">
        <f>IFERROR(VLOOKUP(C245,TD!$B$33:$F$37,3,0)," ")</f>
        <v>4503</v>
      </c>
      <c r="R245" s="186">
        <f>IFERROR(VLOOKUP(C245,TD!$B$33:$F$37,4,0)," ")</f>
        <v>20240255</v>
      </c>
      <c r="S245" s="51" t="s">
        <v>187</v>
      </c>
      <c r="T245" s="186" t="str">
        <f>IFERROR(VLOOKUP(S245,TD!$J$34:$K$44,2,0)," ")</f>
        <v>Servicio de mantenimiento, dotación (HEA´s y equipo menor) y adquisición de vehiculos   especializados para la atención de emergencias.</v>
      </c>
      <c r="U245" s="187" t="str">
        <f>CONCATENATE(S245,"-",T245)</f>
        <v>09-Servicio de mantenimiento, dotación (HEA´s y equipo menor) y adquisición de vehiculos   especializados para la atención de emergencias.</v>
      </c>
      <c r="V245" s="51" t="s">
        <v>232</v>
      </c>
      <c r="W245" s="186" t="str">
        <f>IFERROR(VLOOKUP(V245,TD!$N$34:$O$46,2,0)," ")</f>
        <v>Servicio de atención a emergencias y desastres</v>
      </c>
      <c r="X245" s="187" t="str">
        <f>CONCATENATE(V245,"_",W245)</f>
        <v>004_Servicio de atención a emergencias y desastres</v>
      </c>
      <c r="Y245" s="187" t="str">
        <f>CONCATENATE(U245," ",X245)</f>
        <v>09-Servicio de mantenimiento, dotación (HEA´s y equipo menor) y adquisición de vehiculos   especializados para la atención de emergencias. 004_Servicio de atención a emergencias y desastres</v>
      </c>
      <c r="Z245" s="186" t="str">
        <f>CONCATENATE(P245,Q245,R245,S245,V245)</f>
        <v>O23011745032024025509004</v>
      </c>
      <c r="AA245" s="186" t="str">
        <f>IFERROR(VLOOKUP(Y245,TD!$K$47:$L$65,2,0)," ")</f>
        <v>PM/0131/0109/45030040255</v>
      </c>
      <c r="AB245" s="53" t="s">
        <v>138</v>
      </c>
      <c r="AC245" s="188" t="s">
        <v>204</v>
      </c>
    </row>
    <row r="246" spans="2:29" s="28" customFormat="1" ht="56" x14ac:dyDescent="0.35">
      <c r="B246" s="77">
        <v>20250214</v>
      </c>
      <c r="C246" s="50" t="s">
        <v>209</v>
      </c>
      <c r="D246" s="184" t="s">
        <v>168</v>
      </c>
      <c r="E246" s="51" t="s">
        <v>603</v>
      </c>
      <c r="F246" s="184" t="s">
        <v>762</v>
      </c>
      <c r="G246" s="184" t="s">
        <v>155</v>
      </c>
      <c r="H246" s="93">
        <v>80111600</v>
      </c>
      <c r="I246" s="185">
        <v>2</v>
      </c>
      <c r="J246" s="185">
        <v>9</v>
      </c>
      <c r="K246" s="52">
        <v>0</v>
      </c>
      <c r="L246" s="53">
        <v>27000000</v>
      </c>
      <c r="M246" s="184" t="s">
        <v>464</v>
      </c>
      <c r="N246" s="53" t="s">
        <v>113</v>
      </c>
      <c r="O246" s="51" t="s">
        <v>224</v>
      </c>
      <c r="P246" s="186" t="str">
        <f>IFERROR(VLOOKUP(C246,TD!$B$33:$F$37,2,0)," ")</f>
        <v>O230117</v>
      </c>
      <c r="Q246" s="186" t="str">
        <f>IFERROR(VLOOKUP(C246,TD!$B$33:$F$37,3,0)," ")</f>
        <v>4503</v>
      </c>
      <c r="R246" s="186">
        <f>IFERROR(VLOOKUP(C246,TD!$B$33:$F$37,4,0)," ")</f>
        <v>20240255</v>
      </c>
      <c r="S246" s="51" t="s">
        <v>191</v>
      </c>
      <c r="T246" s="186" t="str">
        <f>IFERROR(VLOOKUP(S246,TD!$J$34:$K$44,2,0)," ")</f>
        <v>Servicio de apoyo   logístico  en eventos operativos y/o emergencias.</v>
      </c>
      <c r="U246" s="187" t="str">
        <f>CONCATENATE(S246,"-",T246)</f>
        <v>12-Servicio de apoyo   logístico  en eventos operativos y/o emergencias.</v>
      </c>
      <c r="V246" s="51" t="s">
        <v>232</v>
      </c>
      <c r="W246" s="186" t="str">
        <f>IFERROR(VLOOKUP(V246,TD!$N$34:$O$46,2,0)," ")</f>
        <v>Servicio de atención a emergencias y desastres</v>
      </c>
      <c r="X246" s="187" t="str">
        <f>CONCATENATE(V246,"_",W246)</f>
        <v>004_Servicio de atención a emergencias y desastres</v>
      </c>
      <c r="Y246" s="187" t="str">
        <f>CONCATENATE(U246," ",X246)</f>
        <v>12-Servicio de apoyo   logístico  en eventos operativos y/o emergencias. 004_Servicio de atención a emergencias y desastres</v>
      </c>
      <c r="Z246" s="186" t="str">
        <f>CONCATENATE(P246,Q246,R246,S246,V246)</f>
        <v>O23011745032024025512004</v>
      </c>
      <c r="AA246" s="186" t="str">
        <f>IFERROR(VLOOKUP(Y246,TD!$K$47:$L$65,2,0)," ")</f>
        <v>PM/0131/0112/45030040255</v>
      </c>
      <c r="AB246" s="53" t="s">
        <v>138</v>
      </c>
      <c r="AC246" s="188" t="s">
        <v>204</v>
      </c>
    </row>
    <row r="247" spans="2:29" s="28" customFormat="1" ht="56" x14ac:dyDescent="0.35">
      <c r="B247" s="77">
        <v>20250215</v>
      </c>
      <c r="C247" s="50" t="s">
        <v>209</v>
      </c>
      <c r="D247" s="184" t="s">
        <v>168</v>
      </c>
      <c r="E247" s="51" t="s">
        <v>603</v>
      </c>
      <c r="F247" s="184" t="s">
        <v>763</v>
      </c>
      <c r="G247" s="184" t="s">
        <v>155</v>
      </c>
      <c r="H247" s="93">
        <v>80111600</v>
      </c>
      <c r="I247" s="185">
        <v>2</v>
      </c>
      <c r="J247" s="185">
        <v>10</v>
      </c>
      <c r="K247" s="52">
        <v>0</v>
      </c>
      <c r="L247" s="53">
        <v>54000000</v>
      </c>
      <c r="M247" s="184" t="s">
        <v>464</v>
      </c>
      <c r="N247" s="53" t="s">
        <v>113</v>
      </c>
      <c r="O247" s="51" t="s">
        <v>224</v>
      </c>
      <c r="P247" s="186" t="str">
        <f>IFERROR(VLOOKUP(C247,TD!$B$33:$F$37,2,0)," ")</f>
        <v>O230117</v>
      </c>
      <c r="Q247" s="186" t="str">
        <f>IFERROR(VLOOKUP(C247,TD!$B$33:$F$37,3,0)," ")</f>
        <v>4503</v>
      </c>
      <c r="R247" s="186">
        <f>IFERROR(VLOOKUP(C247,TD!$B$33:$F$37,4,0)," ")</f>
        <v>20240255</v>
      </c>
      <c r="S247" s="51" t="s">
        <v>191</v>
      </c>
      <c r="T247" s="186" t="str">
        <f>IFERROR(VLOOKUP(S247,TD!$J$34:$K$44,2,0)," ")</f>
        <v>Servicio de apoyo   logístico  en eventos operativos y/o emergencias.</v>
      </c>
      <c r="U247" s="187" t="str">
        <f>CONCATENATE(S247,"-",T247)</f>
        <v>12-Servicio de apoyo   logístico  en eventos operativos y/o emergencias.</v>
      </c>
      <c r="V247" s="51" t="s">
        <v>232</v>
      </c>
      <c r="W247" s="186" t="str">
        <f>IFERROR(VLOOKUP(V247,TD!$N$34:$O$46,2,0)," ")</f>
        <v>Servicio de atención a emergencias y desastres</v>
      </c>
      <c r="X247" s="187" t="str">
        <f>CONCATENATE(V247,"_",W247)</f>
        <v>004_Servicio de atención a emergencias y desastres</v>
      </c>
      <c r="Y247" s="187" t="str">
        <f>CONCATENATE(U247," ",X247)</f>
        <v>12-Servicio de apoyo   logístico  en eventos operativos y/o emergencias. 004_Servicio de atención a emergencias y desastres</v>
      </c>
      <c r="Z247" s="186" t="str">
        <f>CONCATENATE(P247,Q247,R247,S247,V247)</f>
        <v>O23011745032024025512004</v>
      </c>
      <c r="AA247" s="186" t="str">
        <f>IFERROR(VLOOKUP(Y247,TD!$K$47:$L$65,2,0)," ")</f>
        <v>PM/0131/0112/45030040255</v>
      </c>
      <c r="AB247" s="53" t="s">
        <v>138</v>
      </c>
      <c r="AC247" s="188" t="s">
        <v>204</v>
      </c>
    </row>
    <row r="248" spans="2:29" s="28" customFormat="1" ht="56" x14ac:dyDescent="0.35">
      <c r="B248" s="77">
        <v>20250216</v>
      </c>
      <c r="C248" s="50" t="s">
        <v>209</v>
      </c>
      <c r="D248" s="184" t="s">
        <v>168</v>
      </c>
      <c r="E248" s="51" t="s">
        <v>603</v>
      </c>
      <c r="F248" s="184" t="s">
        <v>764</v>
      </c>
      <c r="G248" s="184" t="s">
        <v>155</v>
      </c>
      <c r="H248" s="93">
        <v>80111600</v>
      </c>
      <c r="I248" s="185">
        <v>2</v>
      </c>
      <c r="J248" s="185">
        <v>10</v>
      </c>
      <c r="K248" s="52">
        <v>0</v>
      </c>
      <c r="L248" s="53">
        <v>22500000</v>
      </c>
      <c r="M248" s="184" t="s">
        <v>464</v>
      </c>
      <c r="N248" s="53" t="s">
        <v>113</v>
      </c>
      <c r="O248" s="51" t="s">
        <v>224</v>
      </c>
      <c r="P248" s="186" t="str">
        <f>IFERROR(VLOOKUP(C248,TD!$B$33:$F$37,2,0)," ")</f>
        <v>O230117</v>
      </c>
      <c r="Q248" s="186" t="str">
        <f>IFERROR(VLOOKUP(C248,TD!$B$33:$F$37,3,0)," ")</f>
        <v>4503</v>
      </c>
      <c r="R248" s="186">
        <f>IFERROR(VLOOKUP(C248,TD!$B$33:$F$37,4,0)," ")</f>
        <v>20240255</v>
      </c>
      <c r="S248" s="51" t="s">
        <v>191</v>
      </c>
      <c r="T248" s="186" t="str">
        <f>IFERROR(VLOOKUP(S248,TD!$J$34:$K$44,2,0)," ")</f>
        <v>Servicio de apoyo   logístico  en eventos operativos y/o emergencias.</v>
      </c>
      <c r="U248" s="187" t="str">
        <f>CONCATENATE(S248,"-",T248)</f>
        <v>12-Servicio de apoyo   logístico  en eventos operativos y/o emergencias.</v>
      </c>
      <c r="V248" s="51" t="s">
        <v>232</v>
      </c>
      <c r="W248" s="186" t="str">
        <f>IFERROR(VLOOKUP(V248,TD!$N$34:$O$46,2,0)," ")</f>
        <v>Servicio de atención a emergencias y desastres</v>
      </c>
      <c r="X248" s="187" t="str">
        <f>CONCATENATE(V248,"_",W248)</f>
        <v>004_Servicio de atención a emergencias y desastres</v>
      </c>
      <c r="Y248" s="187" t="str">
        <f>CONCATENATE(U248," ",X248)</f>
        <v>12-Servicio de apoyo   logístico  en eventos operativos y/o emergencias. 004_Servicio de atención a emergencias y desastres</v>
      </c>
      <c r="Z248" s="186" t="str">
        <f>CONCATENATE(P248,Q248,R248,S248,V248)</f>
        <v>O23011745032024025512004</v>
      </c>
      <c r="AA248" s="186" t="str">
        <f>IFERROR(VLOOKUP(Y248,TD!$K$47:$L$65,2,0)," ")</f>
        <v>PM/0131/0112/45030040255</v>
      </c>
      <c r="AB248" s="53" t="s">
        <v>138</v>
      </c>
      <c r="AC248" s="188" t="s">
        <v>204</v>
      </c>
    </row>
    <row r="249" spans="2:29" s="28" customFormat="1" ht="56" x14ac:dyDescent="0.35">
      <c r="B249" s="77">
        <v>20250218</v>
      </c>
      <c r="C249" s="50" t="s">
        <v>209</v>
      </c>
      <c r="D249" s="184" t="s">
        <v>168</v>
      </c>
      <c r="E249" s="51" t="s">
        <v>603</v>
      </c>
      <c r="F249" s="184" t="s">
        <v>821</v>
      </c>
      <c r="G249" s="184" t="s">
        <v>156</v>
      </c>
      <c r="H249" s="93">
        <v>80111600</v>
      </c>
      <c r="I249" s="185">
        <v>2</v>
      </c>
      <c r="J249" s="185">
        <v>9</v>
      </c>
      <c r="K249" s="52">
        <v>0</v>
      </c>
      <c r="L249" s="53">
        <v>28000000</v>
      </c>
      <c r="M249" s="184" t="s">
        <v>464</v>
      </c>
      <c r="N249" s="53" t="s">
        <v>113</v>
      </c>
      <c r="O249" s="51" t="s">
        <v>224</v>
      </c>
      <c r="P249" s="186" t="str">
        <f>IFERROR(VLOOKUP(C249,TD!$B$33:$F$37,2,0)," ")</f>
        <v>O230117</v>
      </c>
      <c r="Q249" s="186" t="str">
        <f>IFERROR(VLOOKUP(C249,TD!$B$33:$F$37,3,0)," ")</f>
        <v>4503</v>
      </c>
      <c r="R249" s="186">
        <f>IFERROR(VLOOKUP(C249,TD!$B$33:$F$37,4,0)," ")</f>
        <v>20240255</v>
      </c>
      <c r="S249" s="51" t="s">
        <v>191</v>
      </c>
      <c r="T249" s="186" t="str">
        <f>IFERROR(VLOOKUP(S249,TD!$J$34:$K$44,2,0)," ")</f>
        <v>Servicio de apoyo   logístico  en eventos operativos y/o emergencias.</v>
      </c>
      <c r="U249" s="187" t="str">
        <f>CONCATENATE(S249,"-",T249)</f>
        <v>12-Servicio de apoyo   logístico  en eventos operativos y/o emergencias.</v>
      </c>
      <c r="V249" s="51" t="s">
        <v>232</v>
      </c>
      <c r="W249" s="186" t="str">
        <f>IFERROR(VLOOKUP(V249,TD!$N$34:$O$46,2,0)," ")</f>
        <v>Servicio de atención a emergencias y desastres</v>
      </c>
      <c r="X249" s="187" t="str">
        <f>CONCATENATE(V249,"_",W249)</f>
        <v>004_Servicio de atención a emergencias y desastres</v>
      </c>
      <c r="Y249" s="187" t="str">
        <f>CONCATENATE(U249," ",X249)</f>
        <v>12-Servicio de apoyo   logístico  en eventos operativos y/o emergencias. 004_Servicio de atención a emergencias y desastres</v>
      </c>
      <c r="Z249" s="186" t="str">
        <f>CONCATENATE(P249,Q249,R249,S249,V249)</f>
        <v>O23011745032024025512004</v>
      </c>
      <c r="AA249" s="186" t="str">
        <f>IFERROR(VLOOKUP(Y249,TD!$K$47:$L$65,2,0)," ")</f>
        <v>PM/0131/0112/45030040255</v>
      </c>
      <c r="AB249" s="53" t="s">
        <v>138</v>
      </c>
      <c r="AC249" s="188" t="s">
        <v>204</v>
      </c>
    </row>
    <row r="250" spans="2:29" s="28" customFormat="1" ht="56" x14ac:dyDescent="0.35">
      <c r="B250" s="77">
        <v>20250220</v>
      </c>
      <c r="C250" s="50" t="s">
        <v>209</v>
      </c>
      <c r="D250" s="184" t="s">
        <v>168</v>
      </c>
      <c r="E250" s="51" t="s">
        <v>603</v>
      </c>
      <c r="F250" s="184" t="s">
        <v>765</v>
      </c>
      <c r="G250" s="184" t="s">
        <v>155</v>
      </c>
      <c r="H250" s="93">
        <v>80111600</v>
      </c>
      <c r="I250" s="185">
        <v>2</v>
      </c>
      <c r="J250" s="185">
        <v>11</v>
      </c>
      <c r="K250" s="52">
        <v>0</v>
      </c>
      <c r="L250" s="53">
        <v>40500000</v>
      </c>
      <c r="M250" s="184" t="s">
        <v>464</v>
      </c>
      <c r="N250" s="53" t="s">
        <v>113</v>
      </c>
      <c r="O250" s="51" t="s">
        <v>224</v>
      </c>
      <c r="P250" s="186" t="str">
        <f>IFERROR(VLOOKUP(C250,TD!$B$33:$F$37,2,0)," ")</f>
        <v>O230117</v>
      </c>
      <c r="Q250" s="186" t="str">
        <f>IFERROR(VLOOKUP(C250,TD!$B$33:$F$37,3,0)," ")</f>
        <v>4503</v>
      </c>
      <c r="R250" s="186">
        <f>IFERROR(VLOOKUP(C250,TD!$B$33:$F$37,4,0)," ")</f>
        <v>20240255</v>
      </c>
      <c r="S250" s="51" t="s">
        <v>191</v>
      </c>
      <c r="T250" s="186" t="str">
        <f>IFERROR(VLOOKUP(S250,TD!$J$34:$K$44,2,0)," ")</f>
        <v>Servicio de apoyo   logístico  en eventos operativos y/o emergencias.</v>
      </c>
      <c r="U250" s="187" t="str">
        <f>CONCATENATE(S250,"-",T250)</f>
        <v>12-Servicio de apoyo   logístico  en eventos operativos y/o emergencias.</v>
      </c>
      <c r="V250" s="51" t="s">
        <v>232</v>
      </c>
      <c r="W250" s="186" t="str">
        <f>IFERROR(VLOOKUP(V250,TD!$N$34:$O$46,2,0)," ")</f>
        <v>Servicio de atención a emergencias y desastres</v>
      </c>
      <c r="X250" s="187" t="str">
        <f>CONCATENATE(V250,"_",W250)</f>
        <v>004_Servicio de atención a emergencias y desastres</v>
      </c>
      <c r="Y250" s="187" t="str">
        <f>CONCATENATE(U250," ",X250)</f>
        <v>12-Servicio de apoyo   logístico  en eventos operativos y/o emergencias. 004_Servicio de atención a emergencias y desastres</v>
      </c>
      <c r="Z250" s="186" t="str">
        <f>CONCATENATE(P250,Q250,R250,S250,V250)</f>
        <v>O23011745032024025512004</v>
      </c>
      <c r="AA250" s="186" t="str">
        <f>IFERROR(VLOOKUP(Y250,TD!$K$47:$L$65,2,0)," ")</f>
        <v>PM/0131/0112/45030040255</v>
      </c>
      <c r="AB250" s="53" t="s">
        <v>138</v>
      </c>
      <c r="AC250" s="188" t="s">
        <v>204</v>
      </c>
    </row>
    <row r="251" spans="2:29" s="28" customFormat="1" ht="56" x14ac:dyDescent="0.35">
      <c r="B251" s="77">
        <v>20250221</v>
      </c>
      <c r="C251" s="50" t="s">
        <v>209</v>
      </c>
      <c r="D251" s="184" t="s">
        <v>168</v>
      </c>
      <c r="E251" s="51" t="s">
        <v>603</v>
      </c>
      <c r="F251" s="184" t="s">
        <v>766</v>
      </c>
      <c r="G251" s="184" t="s">
        <v>155</v>
      </c>
      <c r="H251" s="93">
        <v>80111600</v>
      </c>
      <c r="I251" s="185">
        <v>2</v>
      </c>
      <c r="J251" s="185">
        <v>9</v>
      </c>
      <c r="K251" s="52">
        <v>0</v>
      </c>
      <c r="L251" s="53">
        <v>48259520</v>
      </c>
      <c r="M251" s="184" t="s">
        <v>464</v>
      </c>
      <c r="N251" s="53" t="s">
        <v>113</v>
      </c>
      <c r="O251" s="51" t="s">
        <v>224</v>
      </c>
      <c r="P251" s="186" t="str">
        <f>IFERROR(VLOOKUP(C251,TD!$B$33:$F$37,2,0)," ")</f>
        <v>O230117</v>
      </c>
      <c r="Q251" s="186" t="str">
        <f>IFERROR(VLOOKUP(C251,TD!$B$33:$F$37,3,0)," ")</f>
        <v>4503</v>
      </c>
      <c r="R251" s="186">
        <f>IFERROR(VLOOKUP(C251,TD!$B$33:$F$37,4,0)," ")</f>
        <v>20240255</v>
      </c>
      <c r="S251" s="51" t="s">
        <v>191</v>
      </c>
      <c r="T251" s="186" t="str">
        <f>IFERROR(VLOOKUP(S251,TD!$J$34:$K$44,2,0)," ")</f>
        <v>Servicio de apoyo   logístico  en eventos operativos y/o emergencias.</v>
      </c>
      <c r="U251" s="187" t="str">
        <f>CONCATENATE(S251,"-",T251)</f>
        <v>12-Servicio de apoyo   logístico  en eventos operativos y/o emergencias.</v>
      </c>
      <c r="V251" s="51" t="s">
        <v>232</v>
      </c>
      <c r="W251" s="186" t="str">
        <f>IFERROR(VLOOKUP(V251,TD!$N$34:$O$46,2,0)," ")</f>
        <v>Servicio de atención a emergencias y desastres</v>
      </c>
      <c r="X251" s="187" t="str">
        <f>CONCATENATE(V251,"_",W251)</f>
        <v>004_Servicio de atención a emergencias y desastres</v>
      </c>
      <c r="Y251" s="187" t="str">
        <f>CONCATENATE(U251," ",X251)</f>
        <v>12-Servicio de apoyo   logístico  en eventos operativos y/o emergencias. 004_Servicio de atención a emergencias y desastres</v>
      </c>
      <c r="Z251" s="186" t="str">
        <f>CONCATENATE(P251,Q251,R251,S251,V251)</f>
        <v>O23011745032024025512004</v>
      </c>
      <c r="AA251" s="186" t="str">
        <f>IFERROR(VLOOKUP(Y251,TD!$K$47:$L$65,2,0)," ")</f>
        <v>PM/0131/0112/45030040255</v>
      </c>
      <c r="AB251" s="53" t="s">
        <v>138</v>
      </c>
      <c r="AC251" s="188" t="s">
        <v>204</v>
      </c>
    </row>
    <row r="252" spans="2:29" s="28" customFormat="1" ht="56" x14ac:dyDescent="0.35">
      <c r="B252" s="77">
        <v>20250222</v>
      </c>
      <c r="C252" s="50" t="s">
        <v>209</v>
      </c>
      <c r="D252" s="184" t="s">
        <v>168</v>
      </c>
      <c r="E252" s="51" t="s">
        <v>603</v>
      </c>
      <c r="F252" s="184" t="s">
        <v>504</v>
      </c>
      <c r="G252" s="184" t="s">
        <v>155</v>
      </c>
      <c r="H252" s="93">
        <v>80111600</v>
      </c>
      <c r="I252" s="185">
        <v>2</v>
      </c>
      <c r="J252" s="185">
        <v>9</v>
      </c>
      <c r="K252" s="52">
        <v>0</v>
      </c>
      <c r="L252" s="53">
        <v>50400000</v>
      </c>
      <c r="M252" s="184" t="s">
        <v>464</v>
      </c>
      <c r="N252" s="53" t="s">
        <v>113</v>
      </c>
      <c r="O252" s="51" t="s">
        <v>224</v>
      </c>
      <c r="P252" s="186" t="str">
        <f>IFERROR(VLOOKUP(C252,TD!$B$33:$F$37,2,0)," ")</f>
        <v>O230117</v>
      </c>
      <c r="Q252" s="186" t="str">
        <f>IFERROR(VLOOKUP(C252,TD!$B$33:$F$37,3,0)," ")</f>
        <v>4503</v>
      </c>
      <c r="R252" s="186">
        <f>IFERROR(VLOOKUP(C252,TD!$B$33:$F$37,4,0)," ")</f>
        <v>20240255</v>
      </c>
      <c r="S252" s="51" t="s">
        <v>191</v>
      </c>
      <c r="T252" s="186" t="str">
        <f>IFERROR(VLOOKUP(S252,TD!$J$34:$K$44,2,0)," ")</f>
        <v>Servicio de apoyo   logístico  en eventos operativos y/o emergencias.</v>
      </c>
      <c r="U252" s="187" t="str">
        <f>CONCATENATE(S252,"-",T252)</f>
        <v>12-Servicio de apoyo   logístico  en eventos operativos y/o emergencias.</v>
      </c>
      <c r="V252" s="51" t="s">
        <v>232</v>
      </c>
      <c r="W252" s="186" t="str">
        <f>IFERROR(VLOOKUP(V252,TD!$N$34:$O$46,2,0)," ")</f>
        <v>Servicio de atención a emergencias y desastres</v>
      </c>
      <c r="X252" s="187" t="str">
        <f>CONCATENATE(V252,"_",W252)</f>
        <v>004_Servicio de atención a emergencias y desastres</v>
      </c>
      <c r="Y252" s="187" t="str">
        <f>CONCATENATE(U252," ",X252)</f>
        <v>12-Servicio de apoyo   logístico  en eventos operativos y/o emergencias. 004_Servicio de atención a emergencias y desastres</v>
      </c>
      <c r="Z252" s="186" t="str">
        <f>CONCATENATE(P252,Q252,R252,S252,V252)</f>
        <v>O23011745032024025512004</v>
      </c>
      <c r="AA252" s="186" t="str">
        <f>IFERROR(VLOOKUP(Y252,TD!$K$47:$L$65,2,0)," ")</f>
        <v>PM/0131/0112/45030040255</v>
      </c>
      <c r="AB252" s="53" t="s">
        <v>138</v>
      </c>
      <c r="AC252" s="188" t="s">
        <v>204</v>
      </c>
    </row>
    <row r="253" spans="2:29" s="28" customFormat="1" ht="56" x14ac:dyDescent="0.35">
      <c r="B253" s="77">
        <v>20250223</v>
      </c>
      <c r="C253" s="110" t="s">
        <v>346</v>
      </c>
      <c r="D253" s="194" t="s">
        <v>168</v>
      </c>
      <c r="E253" s="195" t="s">
        <v>603</v>
      </c>
      <c r="F253" s="184" t="s">
        <v>604</v>
      </c>
      <c r="G253" s="194" t="s">
        <v>96</v>
      </c>
      <c r="H253" s="93">
        <v>78181505</v>
      </c>
      <c r="I253" s="196">
        <v>3</v>
      </c>
      <c r="J253" s="196">
        <v>3</v>
      </c>
      <c r="K253" s="111">
        <v>0</v>
      </c>
      <c r="L253" s="112">
        <v>46795000</v>
      </c>
      <c r="M253" s="194" t="s">
        <v>172</v>
      </c>
      <c r="N253" s="112" t="s">
        <v>100</v>
      </c>
      <c r="O253" s="195" t="s">
        <v>347</v>
      </c>
      <c r="P253" s="197" t="str">
        <f>IFERROR(VLOOKUP(C253,TD!$B$33:$F$37,2,0)," ")</f>
        <v>NA</v>
      </c>
      <c r="Q253" s="197" t="str">
        <f>IFERROR(VLOOKUP(C253,TD!$B$33:$F$37,3,0)," ")</f>
        <v>NA</v>
      </c>
      <c r="R253" s="197" t="str">
        <f>IFERROR(VLOOKUP(C253,TD!$B$33:$F$37,4,0)," ")</f>
        <v>NA</v>
      </c>
      <c r="S253" s="195" t="s">
        <v>406</v>
      </c>
      <c r="T253" s="186" t="str">
        <f>IFERROR(VLOOKUP(S253,TD!$J$34:$K$44,2,0)," ")</f>
        <v>N/A</v>
      </c>
      <c r="U253" s="187" t="str">
        <f>CONCATENATE(S253,"-",T253)</f>
        <v>N/A-N/A</v>
      </c>
      <c r="V253" s="51" t="s">
        <v>406</v>
      </c>
      <c r="W253" s="186" t="str">
        <f>IFERROR(VLOOKUP(V253,TD!$N$34:$O$46,2,0)," ")</f>
        <v>N/A</v>
      </c>
      <c r="X253" s="187" t="str">
        <f>CONCATENATE(V253,"_",W253)</f>
        <v>N/A_N/A</v>
      </c>
      <c r="Y253" s="187" t="str">
        <f>CONCATENATE(U253," ",X253)</f>
        <v>N/A-N/A N/A_N/A</v>
      </c>
      <c r="Z253" s="197" t="str">
        <f>CONCATENATE(P253,Q253,R253,S253,V253)</f>
        <v>NANANAN/AN/A</v>
      </c>
      <c r="AA253" s="186" t="str">
        <f>IFERROR(VLOOKUP(Y253,TD!$K$47:$L$65,2,0)," ")</f>
        <v>N/A</v>
      </c>
      <c r="AB253" s="125" t="s">
        <v>452</v>
      </c>
      <c r="AC253" s="188" t="s">
        <v>204</v>
      </c>
    </row>
    <row r="254" spans="2:29" s="28" customFormat="1" ht="56" x14ac:dyDescent="0.35">
      <c r="B254" s="77">
        <v>20250224</v>
      </c>
      <c r="C254" s="50" t="s">
        <v>209</v>
      </c>
      <c r="D254" s="184" t="s">
        <v>167</v>
      </c>
      <c r="E254" s="51" t="s">
        <v>505</v>
      </c>
      <c r="F254" s="184" t="s">
        <v>371</v>
      </c>
      <c r="G254" s="184" t="s">
        <v>109</v>
      </c>
      <c r="H254" s="93" t="s">
        <v>918</v>
      </c>
      <c r="I254" s="185">
        <v>1</v>
      </c>
      <c r="J254" s="185">
        <v>3</v>
      </c>
      <c r="K254" s="52">
        <v>0</v>
      </c>
      <c r="L254" s="53">
        <v>6756685</v>
      </c>
      <c r="M254" s="184" t="s">
        <v>464</v>
      </c>
      <c r="N254" s="53" t="s">
        <v>506</v>
      </c>
      <c r="O254" s="51" t="s">
        <v>221</v>
      </c>
      <c r="P254" s="186" t="str">
        <f>IFERROR(VLOOKUP(C254,TD!$B$33:$F$37,2,0)," ")</f>
        <v>O230117</v>
      </c>
      <c r="Q254" s="186" t="str">
        <f>IFERROR(VLOOKUP(C254,TD!$B$33:$F$37,3,0)," ")</f>
        <v>4503</v>
      </c>
      <c r="R254" s="186">
        <f>IFERROR(VLOOKUP(C254,TD!$B$33:$F$37,4,0)," ")</f>
        <v>20240255</v>
      </c>
      <c r="S254" s="51" t="s">
        <v>177</v>
      </c>
      <c r="T254" s="186" t="str">
        <f>IFERROR(VLOOKUP(S254,TD!$J$34:$K$44,2,0)," ")</f>
        <v>Servicio de capacitaciones en gestión del riesgo de incendios  a la ciudadania.</v>
      </c>
      <c r="U254" s="187" t="str">
        <f>CONCATENATE(S254,"-",T254)</f>
        <v>05-Servicio de capacitaciones en gestión del riesgo de incendios  a la ciudadania.</v>
      </c>
      <c r="V254" s="51" t="s">
        <v>234</v>
      </c>
      <c r="W254" s="186" t="str">
        <f>IFERROR(VLOOKUP(V254,TD!$N$34:$O$46,2,0)," ")</f>
        <v>Servicio prevención y control de incendios</v>
      </c>
      <c r="X254" s="187" t="str">
        <f>CONCATENATE(V254,"_",W254)</f>
        <v>035_Servicio prevención y control de incendios</v>
      </c>
      <c r="Y254" s="187" t="str">
        <f>CONCATENATE(U254," ",X254)</f>
        <v>05-Servicio de capacitaciones en gestión del riesgo de incendios  a la ciudadania. 035_Servicio prevención y control de incendios</v>
      </c>
      <c r="Z254" s="186" t="str">
        <f>CONCATENATE(P254,Q254,R254,S254,V254)</f>
        <v>O23011745032024025505035</v>
      </c>
      <c r="AA254" s="186" t="str">
        <f>IFERROR(VLOOKUP(Y254,TD!$K$47:$L$65,2,0)," ")</f>
        <v>PM/0131/0105/45030350255</v>
      </c>
      <c r="AB254" s="53" t="s">
        <v>138</v>
      </c>
      <c r="AC254" s="188" t="s">
        <v>204</v>
      </c>
    </row>
    <row r="255" spans="2:29" s="28" customFormat="1" ht="70" x14ac:dyDescent="0.35">
      <c r="B255" s="77">
        <v>20250225</v>
      </c>
      <c r="C255" s="50" t="s">
        <v>209</v>
      </c>
      <c r="D255" s="184" t="s">
        <v>167</v>
      </c>
      <c r="E255" s="51" t="s">
        <v>505</v>
      </c>
      <c r="F255" s="184" t="s">
        <v>825</v>
      </c>
      <c r="G255" s="184" t="s">
        <v>109</v>
      </c>
      <c r="H255" s="93" t="s">
        <v>919</v>
      </c>
      <c r="I255" s="185">
        <v>1</v>
      </c>
      <c r="J255" s="185">
        <v>3</v>
      </c>
      <c r="K255" s="52">
        <v>0</v>
      </c>
      <c r="L255" s="53">
        <v>33000000</v>
      </c>
      <c r="M255" s="184" t="s">
        <v>464</v>
      </c>
      <c r="N255" s="53" t="s">
        <v>507</v>
      </c>
      <c r="O255" s="51" t="s">
        <v>221</v>
      </c>
      <c r="P255" s="186" t="str">
        <f>IFERROR(VLOOKUP(C255,TD!$B$33:$F$37,2,0)," ")</f>
        <v>O230117</v>
      </c>
      <c r="Q255" s="186" t="str">
        <f>IFERROR(VLOOKUP(C255,TD!$B$33:$F$37,3,0)," ")</f>
        <v>4503</v>
      </c>
      <c r="R255" s="186">
        <f>IFERROR(VLOOKUP(C255,TD!$B$33:$F$37,4,0)," ")</f>
        <v>20240255</v>
      </c>
      <c r="S255" s="51" t="s">
        <v>179</v>
      </c>
      <c r="T255" s="186" t="str">
        <f>IFERROR(VLOOKUP(S255,TD!$J$34:$K$44,2,0)," ")</f>
        <v>Infraestructura Tecnológica   (Sistemas de Información y Tecnologia)</v>
      </c>
      <c r="U255" s="187" t="str">
        <f>CONCATENATE(S255,"-",T255)</f>
        <v>11-Infraestructura Tecnológica   (Sistemas de Información y Tecnologia)</v>
      </c>
      <c r="V255" s="51" t="s">
        <v>235</v>
      </c>
      <c r="W255" s="186" t="str">
        <f>IFERROR(VLOOKUP(V255,TD!$N$34:$O$46,2,0)," ")</f>
        <v>"Servicio de monitoreo y seguimiento para la gestión del riesgo"</v>
      </c>
      <c r="X255" s="187" t="str">
        <f>CONCATENATE(V255,"_",W255)</f>
        <v>018_"Servicio de monitoreo y seguimiento para la gestión del riesgo"</v>
      </c>
      <c r="Y255" s="187" t="str">
        <f>CONCATENATE(U255," ",X255)</f>
        <v>11-Infraestructura Tecnológica   (Sistemas de Información y Tecnologia) 018_"Servicio de monitoreo y seguimiento para la gestión del riesgo"</v>
      </c>
      <c r="Z255" s="186" t="str">
        <f>CONCATENATE(P255,Q255,R255,S255,V255)</f>
        <v>O23011745032024025511018</v>
      </c>
      <c r="AA255" s="186" t="str">
        <f>IFERROR(VLOOKUP(Y255,TD!$K$47:$L$65,2,0)," ")</f>
        <v>PM/0131/0111/45030180255</v>
      </c>
      <c r="AB255" s="53" t="s">
        <v>138</v>
      </c>
      <c r="AC255" s="188" t="s">
        <v>204</v>
      </c>
    </row>
    <row r="256" spans="2:29" s="28" customFormat="1" ht="84" x14ac:dyDescent="0.35">
      <c r="B256" s="77">
        <v>20250226</v>
      </c>
      <c r="C256" s="50" t="s">
        <v>209</v>
      </c>
      <c r="D256" s="184" t="s">
        <v>167</v>
      </c>
      <c r="E256" s="51" t="s">
        <v>505</v>
      </c>
      <c r="F256" s="184" t="s">
        <v>678</v>
      </c>
      <c r="G256" s="184" t="s">
        <v>155</v>
      </c>
      <c r="H256" s="93">
        <v>80111600</v>
      </c>
      <c r="I256" s="185">
        <v>1</v>
      </c>
      <c r="J256" s="191">
        <v>10</v>
      </c>
      <c r="K256" s="126">
        <v>0</v>
      </c>
      <c r="L256" s="125">
        <f>100000000-36300000</f>
        <v>63700000</v>
      </c>
      <c r="M256" s="184" t="s">
        <v>464</v>
      </c>
      <c r="N256" s="53" t="s">
        <v>113</v>
      </c>
      <c r="O256" s="51" t="s">
        <v>221</v>
      </c>
      <c r="P256" s="186" t="str">
        <f>IFERROR(VLOOKUP(C256,TD!$B$33:$F$37,2,0)," ")</f>
        <v>O230117</v>
      </c>
      <c r="Q256" s="186" t="str">
        <f>IFERROR(VLOOKUP(C256,TD!$B$33:$F$37,3,0)," ")</f>
        <v>4503</v>
      </c>
      <c r="R256" s="186">
        <f>IFERROR(VLOOKUP(C256,TD!$B$33:$F$37,4,0)," ")</f>
        <v>20240255</v>
      </c>
      <c r="S256" s="51" t="s">
        <v>181</v>
      </c>
      <c r="T256" s="186" t="str">
        <f>IFERROR(VLOOKUP(S256,TD!$J$34:$K$44,2,0)," ")</f>
        <v>Servicio de inspecciones técnicas realizadas</v>
      </c>
      <c r="U256" s="187" t="str">
        <f>CONCATENATE(S256,"-",T256)</f>
        <v>06-Servicio de inspecciones técnicas realizadas</v>
      </c>
      <c r="V256" s="51" t="s">
        <v>234</v>
      </c>
      <c r="W256" s="186" t="str">
        <f>IFERROR(VLOOKUP(V256,TD!$N$34:$O$46,2,0)," ")</f>
        <v>Servicio prevención y control de incendios</v>
      </c>
      <c r="X256" s="187" t="str">
        <f>CONCATENATE(V256,"_",W256)</f>
        <v>035_Servicio prevención y control de incendios</v>
      </c>
      <c r="Y256" s="187" t="str">
        <f>CONCATENATE(U256," ",X256)</f>
        <v>06-Servicio de inspecciones técnicas realizadas 035_Servicio prevención y control de incendios</v>
      </c>
      <c r="Z256" s="186" t="str">
        <f>CONCATENATE(P256,Q256,R256,S256,V256)</f>
        <v>O23011745032024025506035</v>
      </c>
      <c r="AA256" s="186" t="str">
        <f>IFERROR(VLOOKUP(Y256,TD!$K$47:$L$65,2,0)," ")</f>
        <v>PM/0131/0106/45030350255</v>
      </c>
      <c r="AB256" s="53" t="s">
        <v>138</v>
      </c>
      <c r="AC256" s="188" t="s">
        <v>204</v>
      </c>
    </row>
    <row r="257" spans="2:29" s="28" customFormat="1" ht="56" x14ac:dyDescent="0.35">
      <c r="B257" s="77">
        <v>20250229</v>
      </c>
      <c r="C257" s="50" t="s">
        <v>209</v>
      </c>
      <c r="D257" s="184" t="s">
        <v>167</v>
      </c>
      <c r="E257" s="51" t="s">
        <v>505</v>
      </c>
      <c r="F257" s="184" t="s">
        <v>509</v>
      </c>
      <c r="G257" s="184" t="s">
        <v>155</v>
      </c>
      <c r="H257" s="93">
        <v>80111600</v>
      </c>
      <c r="I257" s="185">
        <v>1</v>
      </c>
      <c r="J257" s="191">
        <v>10</v>
      </c>
      <c r="K257" s="126">
        <v>0</v>
      </c>
      <c r="L257" s="125">
        <v>93000000</v>
      </c>
      <c r="M257" s="184" t="s">
        <v>464</v>
      </c>
      <c r="N257" s="53" t="s">
        <v>508</v>
      </c>
      <c r="O257" s="51" t="s">
        <v>225</v>
      </c>
      <c r="P257" s="186" t="str">
        <f>IFERROR(VLOOKUP(C257,TD!$B$33:$F$37,2,0)," ")</f>
        <v>O230117</v>
      </c>
      <c r="Q257" s="186" t="str">
        <f>IFERROR(VLOOKUP(C257,TD!$B$33:$F$37,3,0)," ")</f>
        <v>4503</v>
      </c>
      <c r="R257" s="186">
        <f>IFERROR(VLOOKUP(C257,TD!$B$33:$F$37,4,0)," ")</f>
        <v>20240255</v>
      </c>
      <c r="S257" s="51" t="s">
        <v>179</v>
      </c>
      <c r="T257" s="186" t="str">
        <f>IFERROR(VLOOKUP(S257,TD!$J$34:$K$44,2,0)," ")</f>
        <v>Infraestructura Tecnológica   (Sistemas de Información y Tecnologia)</v>
      </c>
      <c r="U257" s="187" t="str">
        <f>CONCATENATE(S257,"-",T257)</f>
        <v>11-Infraestructura Tecnológica   (Sistemas de Información y Tecnologia)</v>
      </c>
      <c r="V257" s="51" t="s">
        <v>235</v>
      </c>
      <c r="W257" s="186" t="str">
        <f>IFERROR(VLOOKUP(V257,TD!$N$34:$O$46,2,0)," ")</f>
        <v>"Servicio de monitoreo y seguimiento para la gestión del riesgo"</v>
      </c>
      <c r="X257" s="187" t="str">
        <f>CONCATENATE(V257,"_",W257)</f>
        <v>018_"Servicio de monitoreo y seguimiento para la gestión del riesgo"</v>
      </c>
      <c r="Y257" s="187" t="str">
        <f>CONCATENATE(U257," ",X257)</f>
        <v>11-Infraestructura Tecnológica   (Sistemas de Información y Tecnologia) 018_"Servicio de monitoreo y seguimiento para la gestión del riesgo"</v>
      </c>
      <c r="Z257" s="186" t="str">
        <f>CONCATENATE(P257,Q257,R257,S257,V257)</f>
        <v>O23011745032024025511018</v>
      </c>
      <c r="AA257" s="186" t="str">
        <f>IFERROR(VLOOKUP(Y257,TD!$K$47:$L$65,2,0)," ")</f>
        <v>PM/0131/0111/45030180255</v>
      </c>
      <c r="AB257" s="53" t="s">
        <v>138</v>
      </c>
      <c r="AC257" s="188" t="s">
        <v>204</v>
      </c>
    </row>
    <row r="258" spans="2:29" s="28" customFormat="1" ht="56" x14ac:dyDescent="0.35">
      <c r="B258" s="77">
        <v>20250230</v>
      </c>
      <c r="C258" s="50" t="s">
        <v>209</v>
      </c>
      <c r="D258" s="184" t="s">
        <v>167</v>
      </c>
      <c r="E258" s="51" t="s">
        <v>505</v>
      </c>
      <c r="F258" s="184" t="s">
        <v>679</v>
      </c>
      <c r="G258" s="184" t="s">
        <v>155</v>
      </c>
      <c r="H258" s="93">
        <v>80111600</v>
      </c>
      <c r="I258" s="185">
        <v>1</v>
      </c>
      <c r="J258" s="191">
        <v>10</v>
      </c>
      <c r="K258" s="126">
        <v>0</v>
      </c>
      <c r="L258" s="125">
        <v>41860000</v>
      </c>
      <c r="M258" s="184" t="s">
        <v>464</v>
      </c>
      <c r="N258" s="53" t="s">
        <v>508</v>
      </c>
      <c r="O258" s="51" t="s">
        <v>221</v>
      </c>
      <c r="P258" s="186" t="str">
        <f>IFERROR(VLOOKUP(C258,TD!$B$33:$F$37,2,0)," ")</f>
        <v>O230117</v>
      </c>
      <c r="Q258" s="186" t="str">
        <f>IFERROR(VLOOKUP(C258,TD!$B$33:$F$37,3,0)," ")</f>
        <v>4503</v>
      </c>
      <c r="R258" s="186">
        <f>IFERROR(VLOOKUP(C258,TD!$B$33:$F$37,4,0)," ")</f>
        <v>20240255</v>
      </c>
      <c r="S258" s="51" t="s">
        <v>177</v>
      </c>
      <c r="T258" s="186" t="str">
        <f>IFERROR(VLOOKUP(S258,TD!$J$34:$K$44,2,0)," ")</f>
        <v>Servicio de capacitaciones en gestión del riesgo de incendios  a la ciudadania.</v>
      </c>
      <c r="U258" s="187" t="str">
        <f>CONCATENATE(S258,"-",T258)</f>
        <v>05-Servicio de capacitaciones en gestión del riesgo de incendios  a la ciudadania.</v>
      </c>
      <c r="V258" s="51" t="s">
        <v>233</v>
      </c>
      <c r="W258" s="186" t="str">
        <f>IFERROR(VLOOKUP(V258,TD!$N$34:$O$46,2,0)," ")</f>
        <v>Servicio de educación informal</v>
      </c>
      <c r="X258" s="187" t="str">
        <f>CONCATENATE(V258,"_",W258)</f>
        <v>002_Servicio de educación informal</v>
      </c>
      <c r="Y258" s="187" t="str">
        <f>CONCATENATE(U258," ",X258)</f>
        <v>05-Servicio de capacitaciones en gestión del riesgo de incendios  a la ciudadania. 002_Servicio de educación informal</v>
      </c>
      <c r="Z258" s="186" t="str">
        <f>CONCATENATE(P258,Q258,R258,S258,V258)</f>
        <v>O23011745032024025505002</v>
      </c>
      <c r="AA258" s="186" t="str">
        <f>IFERROR(VLOOKUP(Y258,TD!$K$47:$L$65,2,0)," ")</f>
        <v>PM/0131/0105/45030020255</v>
      </c>
      <c r="AB258" s="53" t="s">
        <v>138</v>
      </c>
      <c r="AC258" s="188" t="s">
        <v>204</v>
      </c>
    </row>
    <row r="259" spans="2:29" s="28" customFormat="1" ht="56" x14ac:dyDescent="0.35">
      <c r="B259" s="77">
        <v>20250231</v>
      </c>
      <c r="C259" s="50" t="s">
        <v>209</v>
      </c>
      <c r="D259" s="184" t="s">
        <v>167</v>
      </c>
      <c r="E259" s="51" t="s">
        <v>505</v>
      </c>
      <c r="F259" s="184" t="s">
        <v>680</v>
      </c>
      <c r="G259" s="184" t="s">
        <v>155</v>
      </c>
      <c r="H259" s="93">
        <v>80111600</v>
      </c>
      <c r="I259" s="185">
        <v>1</v>
      </c>
      <c r="J259" s="191">
        <v>10</v>
      </c>
      <c r="K259" s="126">
        <v>0</v>
      </c>
      <c r="L259" s="125">
        <v>70000000</v>
      </c>
      <c r="M259" s="184" t="s">
        <v>464</v>
      </c>
      <c r="N259" s="53" t="s">
        <v>508</v>
      </c>
      <c r="O259" s="51" t="s">
        <v>221</v>
      </c>
      <c r="P259" s="186" t="str">
        <f>IFERROR(VLOOKUP(C259,TD!$B$33:$F$37,2,0)," ")</f>
        <v>O230117</v>
      </c>
      <c r="Q259" s="186" t="str">
        <f>IFERROR(VLOOKUP(C259,TD!$B$33:$F$37,3,0)," ")</f>
        <v>4503</v>
      </c>
      <c r="R259" s="186">
        <f>IFERROR(VLOOKUP(C259,TD!$B$33:$F$37,4,0)," ")</f>
        <v>20240255</v>
      </c>
      <c r="S259" s="51" t="s">
        <v>177</v>
      </c>
      <c r="T259" s="186" t="str">
        <f>IFERROR(VLOOKUP(S259,TD!$J$34:$K$44,2,0)," ")</f>
        <v>Servicio de capacitaciones en gestión del riesgo de incendios  a la ciudadania.</v>
      </c>
      <c r="U259" s="187" t="str">
        <f>CONCATENATE(S259,"-",T259)</f>
        <v>05-Servicio de capacitaciones en gestión del riesgo de incendios  a la ciudadania.</v>
      </c>
      <c r="V259" s="51" t="s">
        <v>234</v>
      </c>
      <c r="W259" s="186" t="str">
        <f>IFERROR(VLOOKUP(V259,TD!$N$34:$O$46,2,0)," ")</f>
        <v>Servicio prevención y control de incendios</v>
      </c>
      <c r="X259" s="187" t="str">
        <f>CONCATENATE(V259,"_",W259)</f>
        <v>035_Servicio prevención y control de incendios</v>
      </c>
      <c r="Y259" s="187" t="str">
        <f>CONCATENATE(U259," ",X259)</f>
        <v>05-Servicio de capacitaciones en gestión del riesgo de incendios  a la ciudadania. 035_Servicio prevención y control de incendios</v>
      </c>
      <c r="Z259" s="186" t="str">
        <f>CONCATENATE(P259,Q259,R259,S259,V259)</f>
        <v>O23011745032024025505035</v>
      </c>
      <c r="AA259" s="186" t="str">
        <f>IFERROR(VLOOKUP(Y259,TD!$K$47:$L$65,2,0)," ")</f>
        <v>PM/0131/0105/45030350255</v>
      </c>
      <c r="AB259" s="53" t="s">
        <v>138</v>
      </c>
      <c r="AC259" s="188" t="s">
        <v>204</v>
      </c>
    </row>
    <row r="260" spans="2:29" s="28" customFormat="1" ht="56" x14ac:dyDescent="0.35">
      <c r="B260" s="77">
        <v>20250232</v>
      </c>
      <c r="C260" s="50" t="s">
        <v>209</v>
      </c>
      <c r="D260" s="184" t="s">
        <v>167</v>
      </c>
      <c r="E260" s="51" t="s">
        <v>505</v>
      </c>
      <c r="F260" s="184" t="s">
        <v>377</v>
      </c>
      <c r="G260" s="184" t="s">
        <v>155</v>
      </c>
      <c r="H260" s="93">
        <v>80111600</v>
      </c>
      <c r="I260" s="185">
        <v>1</v>
      </c>
      <c r="J260" s="191">
        <v>10</v>
      </c>
      <c r="K260" s="126">
        <v>0</v>
      </c>
      <c r="L260" s="125">
        <v>70000000</v>
      </c>
      <c r="M260" s="184" t="s">
        <v>464</v>
      </c>
      <c r="N260" s="53" t="s">
        <v>508</v>
      </c>
      <c r="O260" s="51" t="s">
        <v>221</v>
      </c>
      <c r="P260" s="186" t="str">
        <f>IFERROR(VLOOKUP(C260,TD!$B$33:$F$37,2,0)," ")</f>
        <v>O230117</v>
      </c>
      <c r="Q260" s="186" t="str">
        <f>IFERROR(VLOOKUP(C260,TD!$B$33:$F$37,3,0)," ")</f>
        <v>4503</v>
      </c>
      <c r="R260" s="186">
        <f>IFERROR(VLOOKUP(C260,TD!$B$33:$F$37,4,0)," ")</f>
        <v>20240255</v>
      </c>
      <c r="S260" s="51" t="s">
        <v>177</v>
      </c>
      <c r="T260" s="186" t="str">
        <f>IFERROR(VLOOKUP(S260,TD!$J$34:$K$44,2,0)," ")</f>
        <v>Servicio de capacitaciones en gestión del riesgo de incendios  a la ciudadania.</v>
      </c>
      <c r="U260" s="187" t="str">
        <f>CONCATENATE(S260,"-",T260)</f>
        <v>05-Servicio de capacitaciones en gestión del riesgo de incendios  a la ciudadania.</v>
      </c>
      <c r="V260" s="51" t="s">
        <v>233</v>
      </c>
      <c r="W260" s="186" t="str">
        <f>IFERROR(VLOOKUP(V260,TD!$N$34:$O$46,2,0)," ")</f>
        <v>Servicio de educación informal</v>
      </c>
      <c r="X260" s="187" t="str">
        <f>CONCATENATE(V260,"_",W260)</f>
        <v>002_Servicio de educación informal</v>
      </c>
      <c r="Y260" s="187" t="str">
        <f>CONCATENATE(U260," ",X260)</f>
        <v>05-Servicio de capacitaciones en gestión del riesgo de incendios  a la ciudadania. 002_Servicio de educación informal</v>
      </c>
      <c r="Z260" s="186" t="str">
        <f>CONCATENATE(P260,Q260,R260,S260,V260)</f>
        <v>O23011745032024025505002</v>
      </c>
      <c r="AA260" s="186" t="str">
        <f>IFERROR(VLOOKUP(Y260,TD!$K$47:$L$65,2,0)," ")</f>
        <v>PM/0131/0105/45030020255</v>
      </c>
      <c r="AB260" s="53" t="s">
        <v>120</v>
      </c>
      <c r="AC260" s="188" t="s">
        <v>204</v>
      </c>
    </row>
    <row r="261" spans="2:29" s="28" customFormat="1" ht="56" x14ac:dyDescent="0.35">
      <c r="B261" s="77">
        <v>20250233</v>
      </c>
      <c r="C261" s="50" t="s">
        <v>209</v>
      </c>
      <c r="D261" s="184" t="s">
        <v>167</v>
      </c>
      <c r="E261" s="51" t="s">
        <v>505</v>
      </c>
      <c r="F261" s="184" t="s">
        <v>681</v>
      </c>
      <c r="G261" s="184" t="s">
        <v>155</v>
      </c>
      <c r="H261" s="93">
        <v>80111600</v>
      </c>
      <c r="I261" s="185">
        <v>1</v>
      </c>
      <c r="J261" s="191">
        <v>10</v>
      </c>
      <c r="K261" s="126">
        <v>0</v>
      </c>
      <c r="L261" s="125">
        <f>70000000-21000000</f>
        <v>49000000</v>
      </c>
      <c r="M261" s="184" t="s">
        <v>464</v>
      </c>
      <c r="N261" s="53" t="s">
        <v>508</v>
      </c>
      <c r="O261" s="51" t="s">
        <v>221</v>
      </c>
      <c r="P261" s="186" t="str">
        <f>IFERROR(VLOOKUP(C261,TD!$B$33:$F$37,2,0)," ")</f>
        <v>O230117</v>
      </c>
      <c r="Q261" s="186" t="str">
        <f>IFERROR(VLOOKUP(C261,TD!$B$33:$F$37,3,0)," ")</f>
        <v>4503</v>
      </c>
      <c r="R261" s="186">
        <f>IFERROR(VLOOKUP(C261,TD!$B$33:$F$37,4,0)," ")</f>
        <v>20240255</v>
      </c>
      <c r="S261" s="51" t="s">
        <v>177</v>
      </c>
      <c r="T261" s="186" t="str">
        <f>IFERROR(VLOOKUP(S261,TD!$J$34:$K$44,2,0)," ")</f>
        <v>Servicio de capacitaciones en gestión del riesgo de incendios  a la ciudadania.</v>
      </c>
      <c r="U261" s="187" t="str">
        <f>CONCATENATE(S261,"-",T261)</f>
        <v>05-Servicio de capacitaciones en gestión del riesgo de incendios  a la ciudadania.</v>
      </c>
      <c r="V261" s="51" t="s">
        <v>233</v>
      </c>
      <c r="W261" s="186" t="str">
        <f>IFERROR(VLOOKUP(V261,TD!$N$34:$O$46,2,0)," ")</f>
        <v>Servicio de educación informal</v>
      </c>
      <c r="X261" s="187" t="str">
        <f>CONCATENATE(V261,"_",W261)</f>
        <v>002_Servicio de educación informal</v>
      </c>
      <c r="Y261" s="187" t="str">
        <f>CONCATENATE(U261," ",X261)</f>
        <v>05-Servicio de capacitaciones en gestión del riesgo de incendios  a la ciudadania. 002_Servicio de educación informal</v>
      </c>
      <c r="Z261" s="186" t="str">
        <f>CONCATENATE(P261,Q261,R261,S261,V261)</f>
        <v>O23011745032024025505002</v>
      </c>
      <c r="AA261" s="186" t="str">
        <f>IFERROR(VLOOKUP(Y261,TD!$K$47:$L$65,2,0)," ")</f>
        <v>PM/0131/0105/45030020255</v>
      </c>
      <c r="AB261" s="53" t="s">
        <v>138</v>
      </c>
      <c r="AC261" s="188" t="s">
        <v>204</v>
      </c>
    </row>
    <row r="262" spans="2:29" s="28" customFormat="1" ht="56" x14ac:dyDescent="0.35">
      <c r="B262" s="77">
        <v>20250234</v>
      </c>
      <c r="C262" s="50" t="s">
        <v>209</v>
      </c>
      <c r="D262" s="184" t="s">
        <v>167</v>
      </c>
      <c r="E262" s="51" t="s">
        <v>505</v>
      </c>
      <c r="F262" s="184" t="s">
        <v>510</v>
      </c>
      <c r="G262" s="184" t="s">
        <v>155</v>
      </c>
      <c r="H262" s="93">
        <v>80111600</v>
      </c>
      <c r="I262" s="185">
        <v>1</v>
      </c>
      <c r="J262" s="191">
        <v>10</v>
      </c>
      <c r="K262" s="126">
        <v>0</v>
      </c>
      <c r="L262" s="125">
        <f>60000000-10000000-14000000</f>
        <v>36000000</v>
      </c>
      <c r="M262" s="184" t="s">
        <v>464</v>
      </c>
      <c r="N262" s="53" t="s">
        <v>508</v>
      </c>
      <c r="O262" s="51" t="s">
        <v>221</v>
      </c>
      <c r="P262" s="186" t="str">
        <f>IFERROR(VLOOKUP(C262,TD!$B$33:$F$37,2,0)," ")</f>
        <v>O230117</v>
      </c>
      <c r="Q262" s="186" t="str">
        <f>IFERROR(VLOOKUP(C262,TD!$B$33:$F$37,3,0)," ")</f>
        <v>4503</v>
      </c>
      <c r="R262" s="186">
        <f>IFERROR(VLOOKUP(C262,TD!$B$33:$F$37,4,0)," ")</f>
        <v>20240255</v>
      </c>
      <c r="S262" s="51" t="s">
        <v>177</v>
      </c>
      <c r="T262" s="186" t="str">
        <f>IFERROR(VLOOKUP(S262,TD!$J$34:$K$44,2,0)," ")</f>
        <v>Servicio de capacitaciones en gestión del riesgo de incendios  a la ciudadania.</v>
      </c>
      <c r="U262" s="187" t="str">
        <f>CONCATENATE(S262,"-",T262)</f>
        <v>05-Servicio de capacitaciones en gestión del riesgo de incendios  a la ciudadania.</v>
      </c>
      <c r="V262" s="51" t="s">
        <v>233</v>
      </c>
      <c r="W262" s="186" t="str">
        <f>IFERROR(VLOOKUP(V262,TD!$N$34:$O$46,2,0)," ")</f>
        <v>Servicio de educación informal</v>
      </c>
      <c r="X262" s="187" t="str">
        <f>CONCATENATE(V262,"_",W262)</f>
        <v>002_Servicio de educación informal</v>
      </c>
      <c r="Y262" s="187" t="str">
        <f>CONCATENATE(U262," ",X262)</f>
        <v>05-Servicio de capacitaciones en gestión del riesgo de incendios  a la ciudadania. 002_Servicio de educación informal</v>
      </c>
      <c r="Z262" s="186" t="str">
        <f>CONCATENATE(P262,Q262,R262,S262,V262)</f>
        <v>O23011745032024025505002</v>
      </c>
      <c r="AA262" s="186" t="str">
        <f>IFERROR(VLOOKUP(Y262,TD!$K$47:$L$65,2,0)," ")</f>
        <v>PM/0131/0105/45030020255</v>
      </c>
      <c r="AB262" s="53" t="s">
        <v>120</v>
      </c>
      <c r="AC262" s="188" t="s">
        <v>204</v>
      </c>
    </row>
    <row r="263" spans="2:29" s="28" customFormat="1" ht="56" x14ac:dyDescent="0.35">
      <c r="B263" s="77">
        <v>20250235</v>
      </c>
      <c r="C263" s="50" t="s">
        <v>209</v>
      </c>
      <c r="D263" s="184" t="s">
        <v>167</v>
      </c>
      <c r="E263" s="51" t="s">
        <v>505</v>
      </c>
      <c r="F263" s="184" t="s">
        <v>701</v>
      </c>
      <c r="G263" s="184" t="s">
        <v>155</v>
      </c>
      <c r="H263" s="93">
        <v>80111600</v>
      </c>
      <c r="I263" s="185">
        <v>1</v>
      </c>
      <c r="J263" s="191">
        <v>10</v>
      </c>
      <c r="K263" s="126">
        <v>0</v>
      </c>
      <c r="L263" s="125">
        <v>10500000</v>
      </c>
      <c r="M263" s="184" t="s">
        <v>464</v>
      </c>
      <c r="N263" s="53" t="s">
        <v>508</v>
      </c>
      <c r="O263" s="51" t="s">
        <v>221</v>
      </c>
      <c r="P263" s="186" t="str">
        <f>IFERROR(VLOOKUP(C263,TD!$B$33:$F$37,2,0)," ")</f>
        <v>O230117</v>
      </c>
      <c r="Q263" s="186" t="str">
        <f>IFERROR(VLOOKUP(C263,TD!$B$33:$F$37,3,0)," ")</f>
        <v>4503</v>
      </c>
      <c r="R263" s="186">
        <f>IFERROR(VLOOKUP(C263,TD!$B$33:$F$37,4,0)," ")</f>
        <v>20240255</v>
      </c>
      <c r="S263" s="51" t="s">
        <v>177</v>
      </c>
      <c r="T263" s="186" t="str">
        <f>IFERROR(VLOOKUP(S263,TD!$J$34:$K$44,2,0)," ")</f>
        <v>Servicio de capacitaciones en gestión del riesgo de incendios  a la ciudadania.</v>
      </c>
      <c r="U263" s="187" t="str">
        <f>CONCATENATE(S263,"-",T263)</f>
        <v>05-Servicio de capacitaciones en gestión del riesgo de incendios  a la ciudadania.</v>
      </c>
      <c r="V263" s="51" t="s">
        <v>233</v>
      </c>
      <c r="W263" s="186" t="str">
        <f>IFERROR(VLOOKUP(V263,TD!$N$34:$O$46,2,0)," ")</f>
        <v>Servicio de educación informal</v>
      </c>
      <c r="X263" s="187" t="str">
        <f>CONCATENATE(V263,"_",W263)</f>
        <v>002_Servicio de educación informal</v>
      </c>
      <c r="Y263" s="187" t="str">
        <f>CONCATENATE(U263," ",X263)</f>
        <v>05-Servicio de capacitaciones en gestión del riesgo de incendios  a la ciudadania. 002_Servicio de educación informal</v>
      </c>
      <c r="Z263" s="186" t="str">
        <f>CONCATENATE(P263,Q263,R263,S263,V263)</f>
        <v>O23011745032024025505002</v>
      </c>
      <c r="AA263" s="186" t="str">
        <f>IFERROR(VLOOKUP(Y263,TD!$K$47:$L$65,2,0)," ")</f>
        <v>PM/0131/0105/45030020255</v>
      </c>
      <c r="AB263" s="53" t="s">
        <v>138</v>
      </c>
      <c r="AC263" s="188" t="s">
        <v>204</v>
      </c>
    </row>
    <row r="264" spans="2:29" s="28" customFormat="1" ht="56" x14ac:dyDescent="0.35">
      <c r="B264" s="127">
        <v>20250236</v>
      </c>
      <c r="C264" s="129" t="s">
        <v>209</v>
      </c>
      <c r="D264" s="189" t="s">
        <v>167</v>
      </c>
      <c r="E264" s="190" t="s">
        <v>505</v>
      </c>
      <c r="F264" s="189" t="s">
        <v>511</v>
      </c>
      <c r="G264" s="189" t="s">
        <v>155</v>
      </c>
      <c r="H264" s="130">
        <v>80111600</v>
      </c>
      <c r="I264" s="191">
        <v>1</v>
      </c>
      <c r="J264" s="191">
        <v>10</v>
      </c>
      <c r="K264" s="126">
        <v>0</v>
      </c>
      <c r="L264" s="125">
        <v>35000000</v>
      </c>
      <c r="M264" s="189" t="s">
        <v>464</v>
      </c>
      <c r="N264" s="125" t="s">
        <v>508</v>
      </c>
      <c r="O264" s="190" t="s">
        <v>221</v>
      </c>
      <c r="P264" s="192" t="str">
        <f>IFERROR(VLOOKUP(C264,TD!$B$33:$F$37,2,0)," ")</f>
        <v>O230117</v>
      </c>
      <c r="Q264" s="192" t="str">
        <f>IFERROR(VLOOKUP(C264,TD!$B$33:$F$37,3,0)," ")</f>
        <v>4503</v>
      </c>
      <c r="R264" s="192">
        <f>IFERROR(VLOOKUP(C264,TD!$B$33:$F$37,4,0)," ")</f>
        <v>20240255</v>
      </c>
      <c r="S264" s="190" t="s">
        <v>177</v>
      </c>
      <c r="T264" s="192" t="str">
        <f>IFERROR(VLOOKUP(S264,TD!$J$34:$K$44,2,0)," ")</f>
        <v>Servicio de capacitaciones en gestión del riesgo de incendios  a la ciudadania.</v>
      </c>
      <c r="U264" s="187" t="str">
        <f>CONCATENATE(S264,"-",T264)</f>
        <v>05-Servicio de capacitaciones en gestión del riesgo de incendios  a la ciudadania.</v>
      </c>
      <c r="V264" s="190" t="s">
        <v>233</v>
      </c>
      <c r="W264" s="192" t="str">
        <f>IFERROR(VLOOKUP(V264,TD!$N$34:$O$46,2,0)," ")</f>
        <v>Servicio de educación informal</v>
      </c>
      <c r="X264" s="187" t="str">
        <f>CONCATENATE(V264,"_",W264)</f>
        <v>002_Servicio de educación informal</v>
      </c>
      <c r="Y264" s="187" t="str">
        <f>CONCATENATE(U264," ",X264)</f>
        <v>05-Servicio de capacitaciones en gestión del riesgo de incendios  a la ciudadania. 002_Servicio de educación informal</v>
      </c>
      <c r="Z264" s="192" t="str">
        <f>CONCATENATE(P264,Q264,R264,S264,V264)</f>
        <v>O23011745032024025505002</v>
      </c>
      <c r="AA264" s="192" t="str">
        <f>IFERROR(VLOOKUP(Y264,TD!$K$47:$L$65,2,0)," ")</f>
        <v>PM/0131/0105/45030020255</v>
      </c>
      <c r="AB264" s="125" t="s">
        <v>138</v>
      </c>
      <c r="AC264" s="193" t="s">
        <v>204</v>
      </c>
    </row>
    <row r="265" spans="2:29" s="28" customFormat="1" ht="56" x14ac:dyDescent="0.35">
      <c r="B265" s="77">
        <v>20250237</v>
      </c>
      <c r="C265" s="50" t="s">
        <v>209</v>
      </c>
      <c r="D265" s="184" t="s">
        <v>167</v>
      </c>
      <c r="E265" s="51" t="s">
        <v>505</v>
      </c>
      <c r="F265" s="184" t="s">
        <v>512</v>
      </c>
      <c r="G265" s="184" t="s">
        <v>155</v>
      </c>
      <c r="H265" s="93">
        <v>80111600</v>
      </c>
      <c r="I265" s="185">
        <v>1</v>
      </c>
      <c r="J265" s="191">
        <v>10</v>
      </c>
      <c r="K265" s="126">
        <v>0</v>
      </c>
      <c r="L265" s="125">
        <v>35000000</v>
      </c>
      <c r="M265" s="184" t="s">
        <v>464</v>
      </c>
      <c r="N265" s="53" t="s">
        <v>508</v>
      </c>
      <c r="O265" s="51" t="s">
        <v>221</v>
      </c>
      <c r="P265" s="186" t="str">
        <f>IFERROR(VLOOKUP(C265,TD!$B$33:$F$37,2,0)," ")</f>
        <v>O230117</v>
      </c>
      <c r="Q265" s="186" t="str">
        <f>IFERROR(VLOOKUP(C265,TD!$B$33:$F$37,3,0)," ")</f>
        <v>4503</v>
      </c>
      <c r="R265" s="186">
        <f>IFERROR(VLOOKUP(C265,TD!$B$33:$F$37,4,0)," ")</f>
        <v>20240255</v>
      </c>
      <c r="S265" s="51" t="s">
        <v>177</v>
      </c>
      <c r="T265" s="186" t="str">
        <f>IFERROR(VLOOKUP(S265,TD!$J$34:$K$44,2,0)," ")</f>
        <v>Servicio de capacitaciones en gestión del riesgo de incendios  a la ciudadania.</v>
      </c>
      <c r="U265" s="187" t="str">
        <f>CONCATENATE(S265,"-",T265)</f>
        <v>05-Servicio de capacitaciones en gestión del riesgo de incendios  a la ciudadania.</v>
      </c>
      <c r="V265" s="51" t="s">
        <v>233</v>
      </c>
      <c r="W265" s="186" t="str">
        <f>IFERROR(VLOOKUP(V265,TD!$N$34:$O$46,2,0)," ")</f>
        <v>Servicio de educación informal</v>
      </c>
      <c r="X265" s="187" t="str">
        <f>CONCATENATE(V265,"_",W265)</f>
        <v>002_Servicio de educación informal</v>
      </c>
      <c r="Y265" s="187" t="str">
        <f>CONCATENATE(U265," ",X265)</f>
        <v>05-Servicio de capacitaciones en gestión del riesgo de incendios  a la ciudadania. 002_Servicio de educación informal</v>
      </c>
      <c r="Z265" s="186" t="str">
        <f>CONCATENATE(P265,Q265,R265,S265,V265)</f>
        <v>O23011745032024025505002</v>
      </c>
      <c r="AA265" s="186" t="str">
        <f>IFERROR(VLOOKUP(Y265,TD!$K$47:$L$65,2,0)," ")</f>
        <v>PM/0131/0105/45030020255</v>
      </c>
      <c r="AB265" s="53" t="s">
        <v>138</v>
      </c>
      <c r="AC265" s="188" t="s">
        <v>204</v>
      </c>
    </row>
    <row r="266" spans="2:29" s="28" customFormat="1" ht="56" x14ac:dyDescent="0.35">
      <c r="B266" s="77">
        <v>20250238</v>
      </c>
      <c r="C266" s="50" t="s">
        <v>209</v>
      </c>
      <c r="D266" s="184" t="s">
        <v>167</v>
      </c>
      <c r="E266" s="51" t="s">
        <v>505</v>
      </c>
      <c r="F266" s="184" t="s">
        <v>513</v>
      </c>
      <c r="G266" s="184" t="s">
        <v>156</v>
      </c>
      <c r="H266" s="93">
        <v>80111600</v>
      </c>
      <c r="I266" s="185">
        <v>1</v>
      </c>
      <c r="J266" s="191">
        <v>10</v>
      </c>
      <c r="K266" s="126">
        <v>0</v>
      </c>
      <c r="L266" s="125">
        <v>33750000</v>
      </c>
      <c r="M266" s="184" t="s">
        <v>464</v>
      </c>
      <c r="N266" s="53" t="s">
        <v>508</v>
      </c>
      <c r="O266" s="51" t="s">
        <v>221</v>
      </c>
      <c r="P266" s="186" t="str">
        <f>IFERROR(VLOOKUP(C266,TD!$B$33:$F$37,2,0)," ")</f>
        <v>O230117</v>
      </c>
      <c r="Q266" s="186" t="str">
        <f>IFERROR(VLOOKUP(C266,TD!$B$33:$F$37,3,0)," ")</f>
        <v>4503</v>
      </c>
      <c r="R266" s="186">
        <f>IFERROR(VLOOKUP(C266,TD!$B$33:$F$37,4,0)," ")</f>
        <v>20240255</v>
      </c>
      <c r="S266" s="51" t="s">
        <v>179</v>
      </c>
      <c r="T266" s="186" t="str">
        <f>IFERROR(VLOOKUP(S266,TD!$J$34:$K$44,2,0)," ")</f>
        <v>Infraestructura Tecnológica   (Sistemas de Información y Tecnologia)</v>
      </c>
      <c r="U266" s="187" t="str">
        <f>CONCATENATE(S266,"-",T266)</f>
        <v>11-Infraestructura Tecnológica   (Sistemas de Información y Tecnologia)</v>
      </c>
      <c r="V266" s="51" t="s">
        <v>235</v>
      </c>
      <c r="W266" s="186" t="str">
        <f>IFERROR(VLOOKUP(V266,TD!$N$34:$O$46,2,0)," ")</f>
        <v>"Servicio de monitoreo y seguimiento para la gestión del riesgo"</v>
      </c>
      <c r="X266" s="187" t="str">
        <f>CONCATENATE(V266,"_",W266)</f>
        <v>018_"Servicio de monitoreo y seguimiento para la gestión del riesgo"</v>
      </c>
      <c r="Y266" s="187" t="str">
        <f>CONCATENATE(U266," ",X266)</f>
        <v>11-Infraestructura Tecnológica   (Sistemas de Información y Tecnologia) 018_"Servicio de monitoreo y seguimiento para la gestión del riesgo"</v>
      </c>
      <c r="Z266" s="186" t="str">
        <f>CONCATENATE(P266,Q266,R266,S266,V266)</f>
        <v>O23011745032024025511018</v>
      </c>
      <c r="AA266" s="186" t="str">
        <f>IFERROR(VLOOKUP(Y266,TD!$K$47:$L$65,2,0)," ")</f>
        <v>PM/0131/0111/45030180255</v>
      </c>
      <c r="AB266" s="53" t="s">
        <v>138</v>
      </c>
      <c r="AC266" s="188" t="s">
        <v>204</v>
      </c>
    </row>
    <row r="267" spans="2:29" s="28" customFormat="1" ht="56" x14ac:dyDescent="0.35">
      <c r="B267" s="127">
        <v>20250239</v>
      </c>
      <c r="C267" s="129" t="s">
        <v>209</v>
      </c>
      <c r="D267" s="189" t="s">
        <v>167</v>
      </c>
      <c r="E267" s="190" t="s">
        <v>505</v>
      </c>
      <c r="F267" s="189" t="s">
        <v>514</v>
      </c>
      <c r="G267" s="189" t="s">
        <v>156</v>
      </c>
      <c r="H267" s="130">
        <v>80111600</v>
      </c>
      <c r="I267" s="191">
        <v>1</v>
      </c>
      <c r="J267" s="191">
        <v>10</v>
      </c>
      <c r="K267" s="126">
        <v>0</v>
      </c>
      <c r="L267" s="125">
        <f>44000000-9000000-7000000</f>
        <v>28000000</v>
      </c>
      <c r="M267" s="189" t="s">
        <v>464</v>
      </c>
      <c r="N267" s="125" t="s">
        <v>508</v>
      </c>
      <c r="O267" s="190" t="s">
        <v>221</v>
      </c>
      <c r="P267" s="192" t="str">
        <f>IFERROR(VLOOKUP(C267,TD!$B$33:$F$37,2,0)," ")</f>
        <v>O230117</v>
      </c>
      <c r="Q267" s="192" t="str">
        <f>IFERROR(VLOOKUP(C267,TD!$B$33:$F$37,3,0)," ")</f>
        <v>4503</v>
      </c>
      <c r="R267" s="192">
        <f>IFERROR(VLOOKUP(C267,TD!$B$33:$F$37,4,0)," ")</f>
        <v>20240255</v>
      </c>
      <c r="S267" s="190" t="s">
        <v>177</v>
      </c>
      <c r="T267" s="192" t="str">
        <f>IFERROR(VLOOKUP(S267,TD!$J$34:$K$44,2,0)," ")</f>
        <v>Servicio de capacitaciones en gestión del riesgo de incendios  a la ciudadania.</v>
      </c>
      <c r="U267" s="187" t="str">
        <f>CONCATENATE(S267,"-",T267)</f>
        <v>05-Servicio de capacitaciones en gestión del riesgo de incendios  a la ciudadania.</v>
      </c>
      <c r="V267" s="190" t="s">
        <v>233</v>
      </c>
      <c r="W267" s="192" t="str">
        <f>IFERROR(VLOOKUP(V267,TD!$N$34:$O$46,2,0)," ")</f>
        <v>Servicio de educación informal</v>
      </c>
      <c r="X267" s="187" t="str">
        <f>CONCATENATE(V267,"_",W267)</f>
        <v>002_Servicio de educación informal</v>
      </c>
      <c r="Y267" s="187" t="str">
        <f>CONCATENATE(U267," ",X267)</f>
        <v>05-Servicio de capacitaciones en gestión del riesgo de incendios  a la ciudadania. 002_Servicio de educación informal</v>
      </c>
      <c r="Z267" s="192" t="str">
        <f>CONCATENATE(P267,Q267,R267,S267,V267)</f>
        <v>O23011745032024025505002</v>
      </c>
      <c r="AA267" s="192" t="str">
        <f>IFERROR(VLOOKUP(Y267,TD!$K$47:$L$65,2,0)," ")</f>
        <v>PM/0131/0105/45030020255</v>
      </c>
      <c r="AB267" s="125" t="s">
        <v>138</v>
      </c>
      <c r="AC267" s="193" t="s">
        <v>204</v>
      </c>
    </row>
    <row r="268" spans="2:29" s="28" customFormat="1" ht="56" x14ac:dyDescent="0.35">
      <c r="B268" s="77">
        <v>20250240</v>
      </c>
      <c r="C268" s="50" t="s">
        <v>209</v>
      </c>
      <c r="D268" s="184" t="s">
        <v>167</v>
      </c>
      <c r="E268" s="51" t="s">
        <v>505</v>
      </c>
      <c r="F268" s="184" t="s">
        <v>515</v>
      </c>
      <c r="G268" s="184" t="s">
        <v>155</v>
      </c>
      <c r="H268" s="93">
        <v>80111600</v>
      </c>
      <c r="I268" s="185">
        <v>1</v>
      </c>
      <c r="J268" s="191">
        <v>10</v>
      </c>
      <c r="K268" s="126">
        <v>0</v>
      </c>
      <c r="L268" s="125">
        <f>77000000+3000000</f>
        <v>80000000</v>
      </c>
      <c r="M268" s="184" t="s">
        <v>464</v>
      </c>
      <c r="N268" s="53" t="s">
        <v>508</v>
      </c>
      <c r="O268" s="51" t="s">
        <v>225</v>
      </c>
      <c r="P268" s="186" t="str">
        <f>IFERROR(VLOOKUP(C268,TD!$B$33:$F$37,2,0)," ")</f>
        <v>O230117</v>
      </c>
      <c r="Q268" s="186" t="str">
        <f>IFERROR(VLOOKUP(C268,TD!$B$33:$F$37,3,0)," ")</f>
        <v>4503</v>
      </c>
      <c r="R268" s="186">
        <f>IFERROR(VLOOKUP(C268,TD!$B$33:$F$37,4,0)," ")</f>
        <v>20240255</v>
      </c>
      <c r="S268" s="51" t="s">
        <v>179</v>
      </c>
      <c r="T268" s="186" t="str">
        <f>IFERROR(VLOOKUP(S268,TD!$J$34:$K$44,2,0)," ")</f>
        <v>Infraestructura Tecnológica   (Sistemas de Información y Tecnologia)</v>
      </c>
      <c r="U268" s="187" t="str">
        <f>CONCATENATE(S268,"-",T268)</f>
        <v>11-Infraestructura Tecnológica   (Sistemas de Información y Tecnologia)</v>
      </c>
      <c r="V268" s="51" t="s">
        <v>235</v>
      </c>
      <c r="W268" s="186" t="str">
        <f>IFERROR(VLOOKUP(V268,TD!$N$34:$O$46,2,0)," ")</f>
        <v>"Servicio de monitoreo y seguimiento para la gestión del riesgo"</v>
      </c>
      <c r="X268" s="187" t="str">
        <f>CONCATENATE(V268,"_",W268)</f>
        <v>018_"Servicio de monitoreo y seguimiento para la gestión del riesgo"</v>
      </c>
      <c r="Y268" s="187" t="str">
        <f>CONCATENATE(U268," ",X268)</f>
        <v>11-Infraestructura Tecnológica   (Sistemas de Información y Tecnologia) 018_"Servicio de monitoreo y seguimiento para la gestión del riesgo"</v>
      </c>
      <c r="Z268" s="186" t="str">
        <f>CONCATENATE(P268,Q268,R268,S268,V268)</f>
        <v>O23011745032024025511018</v>
      </c>
      <c r="AA268" s="186" t="str">
        <f>IFERROR(VLOOKUP(Y268,TD!$K$47:$L$65,2,0)," ")</f>
        <v>PM/0131/0111/45030180255</v>
      </c>
      <c r="AB268" s="53" t="s">
        <v>138</v>
      </c>
      <c r="AC268" s="188" t="s">
        <v>204</v>
      </c>
    </row>
    <row r="269" spans="2:29" s="28" customFormat="1" ht="56" x14ac:dyDescent="0.35">
      <c r="B269" s="77">
        <v>20250241</v>
      </c>
      <c r="C269" s="50" t="s">
        <v>209</v>
      </c>
      <c r="D269" s="184" t="s">
        <v>167</v>
      </c>
      <c r="E269" s="51" t="s">
        <v>505</v>
      </c>
      <c r="F269" s="184" t="s">
        <v>515</v>
      </c>
      <c r="G269" s="184" t="s">
        <v>155</v>
      </c>
      <c r="H269" s="93">
        <v>80111600</v>
      </c>
      <c r="I269" s="185">
        <v>1</v>
      </c>
      <c r="J269" s="191">
        <v>10</v>
      </c>
      <c r="K269" s="126">
        <v>0</v>
      </c>
      <c r="L269" s="125">
        <f>77000000+3000000-24000000</f>
        <v>56000000</v>
      </c>
      <c r="M269" s="184" t="s">
        <v>464</v>
      </c>
      <c r="N269" s="53" t="s">
        <v>508</v>
      </c>
      <c r="O269" s="51" t="s">
        <v>225</v>
      </c>
      <c r="P269" s="186" t="str">
        <f>IFERROR(VLOOKUP(C269,TD!$B$33:$F$37,2,0)," ")</f>
        <v>O230117</v>
      </c>
      <c r="Q269" s="186" t="str">
        <f>IFERROR(VLOOKUP(C269,TD!$B$33:$F$37,3,0)," ")</f>
        <v>4503</v>
      </c>
      <c r="R269" s="186">
        <f>IFERROR(VLOOKUP(C269,TD!$B$33:$F$37,4,0)," ")</f>
        <v>20240255</v>
      </c>
      <c r="S269" s="51" t="s">
        <v>179</v>
      </c>
      <c r="T269" s="186" t="str">
        <f>IFERROR(VLOOKUP(S269,TD!$J$34:$K$44,2,0)," ")</f>
        <v>Infraestructura Tecnológica   (Sistemas de Información y Tecnologia)</v>
      </c>
      <c r="U269" s="187" t="str">
        <f>CONCATENATE(S269,"-",T269)</f>
        <v>11-Infraestructura Tecnológica   (Sistemas de Información y Tecnologia)</v>
      </c>
      <c r="V269" s="51" t="s">
        <v>235</v>
      </c>
      <c r="W269" s="186" t="str">
        <f>IFERROR(VLOOKUP(V269,TD!$N$34:$O$46,2,0)," ")</f>
        <v>"Servicio de monitoreo y seguimiento para la gestión del riesgo"</v>
      </c>
      <c r="X269" s="187" t="str">
        <f>CONCATENATE(V269,"_",W269)</f>
        <v>018_"Servicio de monitoreo y seguimiento para la gestión del riesgo"</v>
      </c>
      <c r="Y269" s="187" t="str">
        <f>CONCATENATE(U269," ",X269)</f>
        <v>11-Infraestructura Tecnológica   (Sistemas de Información y Tecnologia) 018_"Servicio de monitoreo y seguimiento para la gestión del riesgo"</v>
      </c>
      <c r="Z269" s="186" t="str">
        <f>CONCATENATE(P269,Q269,R269,S269,V269)</f>
        <v>O23011745032024025511018</v>
      </c>
      <c r="AA269" s="186" t="str">
        <f>IFERROR(VLOOKUP(Y269,TD!$K$47:$L$65,2,0)," ")</f>
        <v>PM/0131/0111/45030180255</v>
      </c>
      <c r="AB269" s="53" t="s">
        <v>138</v>
      </c>
      <c r="AC269" s="188" t="s">
        <v>204</v>
      </c>
    </row>
    <row r="270" spans="2:29" s="28" customFormat="1" ht="56" x14ac:dyDescent="0.35">
      <c r="B270" s="77">
        <v>20250242</v>
      </c>
      <c r="C270" s="50" t="s">
        <v>209</v>
      </c>
      <c r="D270" s="184" t="s">
        <v>167</v>
      </c>
      <c r="E270" s="51" t="s">
        <v>505</v>
      </c>
      <c r="F270" s="184" t="s">
        <v>515</v>
      </c>
      <c r="G270" s="184" t="s">
        <v>155</v>
      </c>
      <c r="H270" s="93">
        <v>80111600</v>
      </c>
      <c r="I270" s="185">
        <v>1</v>
      </c>
      <c r="J270" s="191">
        <v>10</v>
      </c>
      <c r="K270" s="126">
        <v>0</v>
      </c>
      <c r="L270" s="125">
        <f>77000000+3000000-24000000</f>
        <v>56000000</v>
      </c>
      <c r="M270" s="184" t="s">
        <v>464</v>
      </c>
      <c r="N270" s="53" t="s">
        <v>508</v>
      </c>
      <c r="O270" s="51" t="s">
        <v>225</v>
      </c>
      <c r="P270" s="186" t="str">
        <f>IFERROR(VLOOKUP(C270,TD!$B$33:$F$37,2,0)," ")</f>
        <v>O230117</v>
      </c>
      <c r="Q270" s="186" t="str">
        <f>IFERROR(VLOOKUP(C270,TD!$B$33:$F$37,3,0)," ")</f>
        <v>4503</v>
      </c>
      <c r="R270" s="186">
        <f>IFERROR(VLOOKUP(C270,TD!$B$33:$F$37,4,0)," ")</f>
        <v>20240255</v>
      </c>
      <c r="S270" s="51" t="s">
        <v>179</v>
      </c>
      <c r="T270" s="186" t="str">
        <f>IFERROR(VLOOKUP(S270,TD!$J$34:$K$44,2,0)," ")</f>
        <v>Infraestructura Tecnológica   (Sistemas de Información y Tecnologia)</v>
      </c>
      <c r="U270" s="187" t="str">
        <f>CONCATENATE(S270,"-",T270)</f>
        <v>11-Infraestructura Tecnológica   (Sistemas de Información y Tecnologia)</v>
      </c>
      <c r="V270" s="51" t="s">
        <v>235</v>
      </c>
      <c r="W270" s="186" t="str">
        <f>IFERROR(VLOOKUP(V270,TD!$N$34:$O$46,2,0)," ")</f>
        <v>"Servicio de monitoreo y seguimiento para la gestión del riesgo"</v>
      </c>
      <c r="X270" s="187" t="str">
        <f>CONCATENATE(V270,"_",W270)</f>
        <v>018_"Servicio de monitoreo y seguimiento para la gestión del riesgo"</v>
      </c>
      <c r="Y270" s="187" t="str">
        <f>CONCATENATE(U270," ",X270)</f>
        <v>11-Infraestructura Tecnológica   (Sistemas de Información y Tecnologia) 018_"Servicio de monitoreo y seguimiento para la gestión del riesgo"</v>
      </c>
      <c r="Z270" s="186" t="str">
        <f>CONCATENATE(P270,Q270,R270,S270,V270)</f>
        <v>O23011745032024025511018</v>
      </c>
      <c r="AA270" s="186" t="str">
        <f>IFERROR(VLOOKUP(Y270,TD!$K$47:$L$65,2,0)," ")</f>
        <v>PM/0131/0111/45030180255</v>
      </c>
      <c r="AB270" s="53" t="s">
        <v>138</v>
      </c>
      <c r="AC270" s="188" t="s">
        <v>204</v>
      </c>
    </row>
    <row r="271" spans="2:29" s="28" customFormat="1" ht="56" x14ac:dyDescent="0.35">
      <c r="B271" s="77">
        <v>20250243</v>
      </c>
      <c r="C271" s="50" t="s">
        <v>209</v>
      </c>
      <c r="D271" s="184" t="s">
        <v>167</v>
      </c>
      <c r="E271" s="51" t="s">
        <v>505</v>
      </c>
      <c r="F271" s="184" t="s">
        <v>373</v>
      </c>
      <c r="G271" s="184" t="s">
        <v>155</v>
      </c>
      <c r="H271" s="93">
        <v>80111600</v>
      </c>
      <c r="I271" s="185">
        <v>1</v>
      </c>
      <c r="J271" s="191">
        <v>10</v>
      </c>
      <c r="K271" s="126">
        <v>0</v>
      </c>
      <c r="L271" s="125">
        <v>49000000</v>
      </c>
      <c r="M271" s="184" t="s">
        <v>464</v>
      </c>
      <c r="N271" s="53" t="s">
        <v>508</v>
      </c>
      <c r="O271" s="51" t="s">
        <v>221</v>
      </c>
      <c r="P271" s="186" t="str">
        <f>IFERROR(VLOOKUP(C271,TD!$B$33:$F$37,2,0)," ")</f>
        <v>O230117</v>
      </c>
      <c r="Q271" s="186" t="str">
        <f>IFERROR(VLOOKUP(C271,TD!$B$33:$F$37,3,0)," ")</f>
        <v>4503</v>
      </c>
      <c r="R271" s="186">
        <f>IFERROR(VLOOKUP(C271,TD!$B$33:$F$37,4,0)," ")</f>
        <v>20240255</v>
      </c>
      <c r="S271" s="51" t="s">
        <v>181</v>
      </c>
      <c r="T271" s="186" t="str">
        <f>IFERROR(VLOOKUP(S271,TD!$J$34:$K$44,2,0)," ")</f>
        <v>Servicio de inspecciones técnicas realizadas</v>
      </c>
      <c r="U271" s="187" t="str">
        <f>CONCATENATE(S271,"-",T271)</f>
        <v>06-Servicio de inspecciones técnicas realizadas</v>
      </c>
      <c r="V271" s="51" t="s">
        <v>234</v>
      </c>
      <c r="W271" s="186" t="str">
        <f>IFERROR(VLOOKUP(V271,TD!$N$34:$O$46,2,0)," ")</f>
        <v>Servicio prevención y control de incendios</v>
      </c>
      <c r="X271" s="187" t="str">
        <f>CONCATENATE(V271,"_",W271)</f>
        <v>035_Servicio prevención y control de incendios</v>
      </c>
      <c r="Y271" s="187" t="str">
        <f>CONCATENATE(U271," ",X271)</f>
        <v>06-Servicio de inspecciones técnicas realizadas 035_Servicio prevención y control de incendios</v>
      </c>
      <c r="Z271" s="186" t="str">
        <f>CONCATENATE(P271,Q271,R271,S271,V271)</f>
        <v>O23011745032024025506035</v>
      </c>
      <c r="AA271" s="186" t="str">
        <f>IFERROR(VLOOKUP(Y271,TD!$K$47:$L$65,2,0)," ")</f>
        <v>PM/0131/0106/45030350255</v>
      </c>
      <c r="AB271" s="53" t="s">
        <v>138</v>
      </c>
      <c r="AC271" s="188" t="s">
        <v>204</v>
      </c>
    </row>
    <row r="272" spans="2:29" s="28" customFormat="1" ht="56" x14ac:dyDescent="0.35">
      <c r="B272" s="127">
        <v>20250244</v>
      </c>
      <c r="C272" s="129" t="s">
        <v>209</v>
      </c>
      <c r="D272" s="189" t="s">
        <v>167</v>
      </c>
      <c r="E272" s="190" t="s">
        <v>505</v>
      </c>
      <c r="F272" s="189" t="s">
        <v>373</v>
      </c>
      <c r="G272" s="189" t="s">
        <v>155</v>
      </c>
      <c r="H272" s="130">
        <v>80111600</v>
      </c>
      <c r="I272" s="191">
        <v>1</v>
      </c>
      <c r="J272" s="191">
        <v>10</v>
      </c>
      <c r="K272" s="126">
        <v>0</v>
      </c>
      <c r="L272" s="125">
        <f>55000000+15000000-21000000</f>
        <v>49000000</v>
      </c>
      <c r="M272" s="189" t="s">
        <v>464</v>
      </c>
      <c r="N272" s="125" t="s">
        <v>508</v>
      </c>
      <c r="O272" s="190" t="s">
        <v>221</v>
      </c>
      <c r="P272" s="192" t="str">
        <f>IFERROR(VLOOKUP(C272,TD!$B$33:$F$37,2,0)," ")</f>
        <v>O230117</v>
      </c>
      <c r="Q272" s="192" t="str">
        <f>IFERROR(VLOOKUP(C272,TD!$B$33:$F$37,3,0)," ")</f>
        <v>4503</v>
      </c>
      <c r="R272" s="192">
        <f>IFERROR(VLOOKUP(C272,TD!$B$33:$F$37,4,0)," ")</f>
        <v>20240255</v>
      </c>
      <c r="S272" s="190" t="s">
        <v>181</v>
      </c>
      <c r="T272" s="192" t="str">
        <f>IFERROR(VLOOKUP(S272,TD!$J$34:$K$44,2,0)," ")</f>
        <v>Servicio de inspecciones técnicas realizadas</v>
      </c>
      <c r="U272" s="187" t="str">
        <f>CONCATENATE(S272,"-",T272)</f>
        <v>06-Servicio de inspecciones técnicas realizadas</v>
      </c>
      <c r="V272" s="190" t="s">
        <v>234</v>
      </c>
      <c r="W272" s="192" t="str">
        <f>IFERROR(VLOOKUP(V272,TD!$N$34:$O$46,2,0)," ")</f>
        <v>Servicio prevención y control de incendios</v>
      </c>
      <c r="X272" s="187" t="str">
        <f>CONCATENATE(V272,"_",W272)</f>
        <v>035_Servicio prevención y control de incendios</v>
      </c>
      <c r="Y272" s="187" t="str">
        <f>CONCATENATE(U272," ",X272)</f>
        <v>06-Servicio de inspecciones técnicas realizadas 035_Servicio prevención y control de incendios</v>
      </c>
      <c r="Z272" s="192" t="str">
        <f>CONCATENATE(P272,Q272,R272,S272,V272)</f>
        <v>O23011745032024025506035</v>
      </c>
      <c r="AA272" s="192" t="str">
        <f>IFERROR(VLOOKUP(Y272,TD!$K$47:$L$65,2,0)," ")</f>
        <v>PM/0131/0106/45030350255</v>
      </c>
      <c r="AB272" s="125" t="s">
        <v>138</v>
      </c>
      <c r="AC272" s="193" t="s">
        <v>204</v>
      </c>
    </row>
    <row r="273" spans="2:29" s="28" customFormat="1" ht="56" x14ac:dyDescent="0.35">
      <c r="B273" s="77">
        <v>20250245</v>
      </c>
      <c r="C273" s="50" t="s">
        <v>209</v>
      </c>
      <c r="D273" s="184" t="s">
        <v>167</v>
      </c>
      <c r="E273" s="51" t="s">
        <v>505</v>
      </c>
      <c r="F273" s="184" t="s">
        <v>515</v>
      </c>
      <c r="G273" s="184" t="s">
        <v>155</v>
      </c>
      <c r="H273" s="93">
        <v>80111600</v>
      </c>
      <c r="I273" s="185">
        <v>1</v>
      </c>
      <c r="J273" s="191">
        <v>10</v>
      </c>
      <c r="K273" s="126">
        <v>0</v>
      </c>
      <c r="L273" s="125">
        <v>42000000</v>
      </c>
      <c r="M273" s="184" t="s">
        <v>464</v>
      </c>
      <c r="N273" s="53" t="s">
        <v>508</v>
      </c>
      <c r="O273" s="51" t="s">
        <v>225</v>
      </c>
      <c r="P273" s="186" t="str">
        <f>IFERROR(VLOOKUP(C273,TD!$B$33:$F$37,2,0)," ")</f>
        <v>O230117</v>
      </c>
      <c r="Q273" s="186" t="str">
        <f>IFERROR(VLOOKUP(C273,TD!$B$33:$F$37,3,0)," ")</f>
        <v>4503</v>
      </c>
      <c r="R273" s="186">
        <f>IFERROR(VLOOKUP(C273,TD!$B$33:$F$37,4,0)," ")</f>
        <v>20240255</v>
      </c>
      <c r="S273" s="51" t="s">
        <v>179</v>
      </c>
      <c r="T273" s="186" t="str">
        <f>IFERROR(VLOOKUP(S273,TD!$J$34:$K$44,2,0)," ")</f>
        <v>Infraestructura Tecnológica   (Sistemas de Información y Tecnologia)</v>
      </c>
      <c r="U273" s="187" t="str">
        <f>CONCATENATE(S273,"-",T273)</f>
        <v>11-Infraestructura Tecnológica   (Sistemas de Información y Tecnologia)</v>
      </c>
      <c r="V273" s="51" t="s">
        <v>235</v>
      </c>
      <c r="W273" s="186" t="str">
        <f>IFERROR(VLOOKUP(V273,TD!$N$34:$O$46,2,0)," ")</f>
        <v>"Servicio de monitoreo y seguimiento para la gestión del riesgo"</v>
      </c>
      <c r="X273" s="187" t="str">
        <f>CONCATENATE(V273,"_",W273)</f>
        <v>018_"Servicio de monitoreo y seguimiento para la gestión del riesgo"</v>
      </c>
      <c r="Y273" s="187" t="str">
        <f>CONCATENATE(U273," ",X273)</f>
        <v>11-Infraestructura Tecnológica   (Sistemas de Información y Tecnologia) 018_"Servicio de monitoreo y seguimiento para la gestión del riesgo"</v>
      </c>
      <c r="Z273" s="186" t="str">
        <f>CONCATENATE(P273,Q273,R273,S273,V273)</f>
        <v>O23011745032024025511018</v>
      </c>
      <c r="AA273" s="186" t="str">
        <f>IFERROR(VLOOKUP(Y273,TD!$K$47:$L$65,2,0)," ")</f>
        <v>PM/0131/0111/45030180255</v>
      </c>
      <c r="AB273" s="53" t="s">
        <v>138</v>
      </c>
      <c r="AC273" s="188" t="s">
        <v>204</v>
      </c>
    </row>
    <row r="274" spans="2:29" s="28" customFormat="1" ht="56" x14ac:dyDescent="0.35">
      <c r="B274" s="127">
        <v>20250246</v>
      </c>
      <c r="C274" s="129" t="s">
        <v>209</v>
      </c>
      <c r="D274" s="189" t="s">
        <v>167</v>
      </c>
      <c r="E274" s="190" t="s">
        <v>505</v>
      </c>
      <c r="F274" s="189" t="s">
        <v>516</v>
      </c>
      <c r="G274" s="189" t="s">
        <v>155</v>
      </c>
      <c r="H274" s="130">
        <v>80111600</v>
      </c>
      <c r="I274" s="191">
        <v>1</v>
      </c>
      <c r="J274" s="191">
        <v>10</v>
      </c>
      <c r="K274" s="126">
        <v>0</v>
      </c>
      <c r="L274" s="125">
        <f>77000000-17000000-11000000</f>
        <v>49000000</v>
      </c>
      <c r="M274" s="189" t="s">
        <v>464</v>
      </c>
      <c r="N274" s="125" t="s">
        <v>508</v>
      </c>
      <c r="O274" s="190" t="s">
        <v>226</v>
      </c>
      <c r="P274" s="192" t="str">
        <f>IFERROR(VLOOKUP(C274,TD!$B$33:$F$37,2,0)," ")</f>
        <v>O230117</v>
      </c>
      <c r="Q274" s="192" t="str">
        <f>IFERROR(VLOOKUP(C274,TD!$B$33:$F$37,3,0)," ")</f>
        <v>4503</v>
      </c>
      <c r="R274" s="192">
        <f>IFERROR(VLOOKUP(C274,TD!$B$33:$F$37,4,0)," ")</f>
        <v>20240255</v>
      </c>
      <c r="S274" s="190" t="s">
        <v>179</v>
      </c>
      <c r="T274" s="192" t="str">
        <f>IFERROR(VLOOKUP(S274,TD!$J$34:$K$44,2,0)," ")</f>
        <v>Infraestructura Tecnológica   (Sistemas de Información y Tecnologia)</v>
      </c>
      <c r="U274" s="187" t="str">
        <f>CONCATENATE(S274,"-",T274)</f>
        <v>11-Infraestructura Tecnológica   (Sistemas de Información y Tecnologia)</v>
      </c>
      <c r="V274" s="190" t="s">
        <v>235</v>
      </c>
      <c r="W274" s="192" t="str">
        <f>IFERROR(VLOOKUP(V274,TD!$N$34:$O$46,2,0)," ")</f>
        <v>"Servicio de monitoreo y seguimiento para la gestión del riesgo"</v>
      </c>
      <c r="X274" s="187" t="str">
        <f>CONCATENATE(V274,"_",W274)</f>
        <v>018_"Servicio de monitoreo y seguimiento para la gestión del riesgo"</v>
      </c>
      <c r="Y274" s="187" t="str">
        <f>CONCATENATE(U274," ",X274)</f>
        <v>11-Infraestructura Tecnológica   (Sistemas de Información y Tecnologia) 018_"Servicio de monitoreo y seguimiento para la gestión del riesgo"</v>
      </c>
      <c r="Z274" s="192" t="str">
        <f>CONCATENATE(P274,Q274,R274,S274,V274)</f>
        <v>O23011745032024025511018</v>
      </c>
      <c r="AA274" s="192" t="str">
        <f>IFERROR(VLOOKUP(Y274,TD!$K$47:$L$65,2,0)," ")</f>
        <v>PM/0131/0111/45030180255</v>
      </c>
      <c r="AB274" s="125" t="s">
        <v>138</v>
      </c>
      <c r="AC274" s="193" t="s">
        <v>204</v>
      </c>
    </row>
    <row r="275" spans="2:29" s="28" customFormat="1" ht="56" x14ac:dyDescent="0.35">
      <c r="B275" s="127">
        <v>20250247</v>
      </c>
      <c r="C275" s="129" t="s">
        <v>209</v>
      </c>
      <c r="D275" s="189" t="s">
        <v>167</v>
      </c>
      <c r="E275" s="190" t="s">
        <v>505</v>
      </c>
      <c r="F275" s="189" t="s">
        <v>516</v>
      </c>
      <c r="G275" s="189" t="s">
        <v>155</v>
      </c>
      <c r="H275" s="130">
        <v>80111600</v>
      </c>
      <c r="I275" s="191">
        <v>1</v>
      </c>
      <c r="J275" s="191">
        <v>10</v>
      </c>
      <c r="K275" s="126">
        <v>0</v>
      </c>
      <c r="L275" s="125">
        <f>77000000-27000000-11500000</f>
        <v>38500000</v>
      </c>
      <c r="M275" s="189" t="s">
        <v>464</v>
      </c>
      <c r="N275" s="125" t="s">
        <v>508</v>
      </c>
      <c r="O275" s="190" t="s">
        <v>226</v>
      </c>
      <c r="P275" s="192" t="str">
        <f>IFERROR(VLOOKUP(C275,TD!$B$33:$F$37,2,0)," ")</f>
        <v>O230117</v>
      </c>
      <c r="Q275" s="192" t="str">
        <f>IFERROR(VLOOKUP(C275,TD!$B$33:$F$37,3,0)," ")</f>
        <v>4503</v>
      </c>
      <c r="R275" s="192">
        <f>IFERROR(VLOOKUP(C275,TD!$B$33:$F$37,4,0)," ")</f>
        <v>20240255</v>
      </c>
      <c r="S275" s="190" t="s">
        <v>179</v>
      </c>
      <c r="T275" s="192" t="str">
        <f>IFERROR(VLOOKUP(S275,TD!$J$34:$K$44,2,0)," ")</f>
        <v>Infraestructura Tecnológica   (Sistemas de Información y Tecnologia)</v>
      </c>
      <c r="U275" s="187" t="str">
        <f>CONCATENATE(S275,"-",T275)</f>
        <v>11-Infraestructura Tecnológica   (Sistemas de Información y Tecnologia)</v>
      </c>
      <c r="V275" s="190" t="s">
        <v>235</v>
      </c>
      <c r="W275" s="192" t="str">
        <f>IFERROR(VLOOKUP(V275,TD!$N$34:$O$46,2,0)," ")</f>
        <v>"Servicio de monitoreo y seguimiento para la gestión del riesgo"</v>
      </c>
      <c r="X275" s="187" t="str">
        <f>CONCATENATE(V275,"_",W275)</f>
        <v>018_"Servicio de monitoreo y seguimiento para la gestión del riesgo"</v>
      </c>
      <c r="Y275" s="187" t="str">
        <f>CONCATENATE(U275," ",X275)</f>
        <v>11-Infraestructura Tecnológica   (Sistemas de Información y Tecnologia) 018_"Servicio de monitoreo y seguimiento para la gestión del riesgo"</v>
      </c>
      <c r="Z275" s="192" t="str">
        <f>CONCATENATE(P275,Q275,R275,S275,V275)</f>
        <v>O23011745032024025511018</v>
      </c>
      <c r="AA275" s="192" t="str">
        <f>IFERROR(VLOOKUP(Y275,TD!$K$47:$L$65,2,0)," ")</f>
        <v>PM/0131/0111/45030180255</v>
      </c>
      <c r="AB275" s="125" t="s">
        <v>138</v>
      </c>
      <c r="AC275" s="193" t="s">
        <v>204</v>
      </c>
    </row>
    <row r="276" spans="2:29" s="28" customFormat="1" ht="56" x14ac:dyDescent="0.35">
      <c r="B276" s="127">
        <v>20250248</v>
      </c>
      <c r="C276" s="129" t="s">
        <v>209</v>
      </c>
      <c r="D276" s="189" t="s">
        <v>167</v>
      </c>
      <c r="E276" s="190" t="s">
        <v>505</v>
      </c>
      <c r="F276" s="189" t="s">
        <v>826</v>
      </c>
      <c r="G276" s="189" t="s">
        <v>156</v>
      </c>
      <c r="H276" s="130">
        <v>80111600</v>
      </c>
      <c r="I276" s="191">
        <v>1</v>
      </c>
      <c r="J276" s="191">
        <v>10</v>
      </c>
      <c r="K276" s="126">
        <v>0</v>
      </c>
      <c r="L276" s="125">
        <v>14400017</v>
      </c>
      <c r="M276" s="189" t="s">
        <v>464</v>
      </c>
      <c r="N276" s="125" t="s">
        <v>508</v>
      </c>
      <c r="O276" s="190" t="s">
        <v>226</v>
      </c>
      <c r="P276" s="192" t="str">
        <f>IFERROR(VLOOKUP(C276,TD!$B$33:$F$37,2,0)," ")</f>
        <v>O230117</v>
      </c>
      <c r="Q276" s="192" t="str">
        <f>IFERROR(VLOOKUP(C276,TD!$B$33:$F$37,3,0)," ")</f>
        <v>4503</v>
      </c>
      <c r="R276" s="192">
        <f>IFERROR(VLOOKUP(C276,TD!$B$33:$F$37,4,0)," ")</f>
        <v>20240255</v>
      </c>
      <c r="S276" s="190" t="s">
        <v>179</v>
      </c>
      <c r="T276" s="192" t="str">
        <f>IFERROR(VLOOKUP(S276,TD!$J$34:$K$44,2,0)," ")</f>
        <v>Infraestructura Tecnológica   (Sistemas de Información y Tecnologia)</v>
      </c>
      <c r="U276" s="187" t="str">
        <f>CONCATENATE(S276,"-",T276)</f>
        <v>11-Infraestructura Tecnológica   (Sistemas de Información y Tecnologia)</v>
      </c>
      <c r="V276" s="190" t="s">
        <v>235</v>
      </c>
      <c r="W276" s="192" t="str">
        <f>IFERROR(VLOOKUP(V276,TD!$N$34:$O$46,2,0)," ")</f>
        <v>"Servicio de monitoreo y seguimiento para la gestión del riesgo"</v>
      </c>
      <c r="X276" s="187" t="str">
        <f>CONCATENATE(V276,"_",W276)</f>
        <v>018_"Servicio de monitoreo y seguimiento para la gestión del riesgo"</v>
      </c>
      <c r="Y276" s="187" t="str">
        <f>CONCATENATE(U276," ",X276)</f>
        <v>11-Infraestructura Tecnológica   (Sistemas de Información y Tecnologia) 018_"Servicio de monitoreo y seguimiento para la gestión del riesgo"</v>
      </c>
      <c r="Z276" s="192" t="str">
        <f>CONCATENATE(P276,Q276,R276,S276,V276)</f>
        <v>O23011745032024025511018</v>
      </c>
      <c r="AA276" s="192" t="str">
        <f>IFERROR(VLOOKUP(Y276,TD!$K$47:$L$65,2,0)," ")</f>
        <v>PM/0131/0111/45030180255</v>
      </c>
      <c r="AB276" s="125" t="s">
        <v>138</v>
      </c>
      <c r="AC276" s="193" t="s">
        <v>204</v>
      </c>
    </row>
    <row r="277" spans="2:29" s="28" customFormat="1" ht="56" x14ac:dyDescent="0.35">
      <c r="B277" s="127">
        <v>20250249</v>
      </c>
      <c r="C277" s="129" t="s">
        <v>209</v>
      </c>
      <c r="D277" s="189" t="s">
        <v>167</v>
      </c>
      <c r="E277" s="190" t="s">
        <v>505</v>
      </c>
      <c r="F277" s="189" t="s">
        <v>516</v>
      </c>
      <c r="G277" s="189" t="s">
        <v>155</v>
      </c>
      <c r="H277" s="130">
        <v>80111600</v>
      </c>
      <c r="I277" s="191">
        <v>1</v>
      </c>
      <c r="J277" s="191">
        <v>10</v>
      </c>
      <c r="K277" s="126">
        <v>0</v>
      </c>
      <c r="L277" s="125">
        <f>49500000+500000-15000000</f>
        <v>35000000</v>
      </c>
      <c r="M277" s="189" t="s">
        <v>464</v>
      </c>
      <c r="N277" s="125" t="s">
        <v>508</v>
      </c>
      <c r="O277" s="190" t="s">
        <v>226</v>
      </c>
      <c r="P277" s="192" t="str">
        <f>IFERROR(VLOOKUP(C277,TD!$B$33:$F$37,2,0)," ")</f>
        <v>O230117</v>
      </c>
      <c r="Q277" s="192" t="str">
        <f>IFERROR(VLOOKUP(C277,TD!$B$33:$F$37,3,0)," ")</f>
        <v>4503</v>
      </c>
      <c r="R277" s="192">
        <f>IFERROR(VLOOKUP(C277,TD!$B$33:$F$37,4,0)," ")</f>
        <v>20240255</v>
      </c>
      <c r="S277" s="190" t="s">
        <v>179</v>
      </c>
      <c r="T277" s="192" t="str">
        <f>IFERROR(VLOOKUP(S277,TD!$J$34:$K$44,2,0)," ")</f>
        <v>Infraestructura Tecnológica   (Sistemas de Información y Tecnologia)</v>
      </c>
      <c r="U277" s="187" t="str">
        <f>CONCATENATE(S277,"-",T277)</f>
        <v>11-Infraestructura Tecnológica   (Sistemas de Información y Tecnologia)</v>
      </c>
      <c r="V277" s="190" t="s">
        <v>235</v>
      </c>
      <c r="W277" s="192" t="str">
        <f>IFERROR(VLOOKUP(V277,TD!$N$34:$O$46,2,0)," ")</f>
        <v>"Servicio de monitoreo y seguimiento para la gestión del riesgo"</v>
      </c>
      <c r="X277" s="187" t="str">
        <f>CONCATENATE(V277,"_",W277)</f>
        <v>018_"Servicio de monitoreo y seguimiento para la gestión del riesgo"</v>
      </c>
      <c r="Y277" s="187" t="str">
        <f>CONCATENATE(U277," ",X277)</f>
        <v>11-Infraestructura Tecnológica   (Sistemas de Información y Tecnologia) 018_"Servicio de monitoreo y seguimiento para la gestión del riesgo"</v>
      </c>
      <c r="Z277" s="192" t="str">
        <f>CONCATENATE(P277,Q277,R277,S277,V277)</f>
        <v>O23011745032024025511018</v>
      </c>
      <c r="AA277" s="192" t="str">
        <f>IFERROR(VLOOKUP(Y277,TD!$K$47:$L$65,2,0)," ")</f>
        <v>PM/0131/0111/45030180255</v>
      </c>
      <c r="AB277" s="125" t="s">
        <v>138</v>
      </c>
      <c r="AC277" s="193" t="s">
        <v>204</v>
      </c>
    </row>
    <row r="278" spans="2:29" s="28" customFormat="1" ht="70" x14ac:dyDescent="0.35">
      <c r="B278" s="77">
        <v>20250250</v>
      </c>
      <c r="C278" s="50" t="s">
        <v>209</v>
      </c>
      <c r="D278" s="184" t="s">
        <v>167</v>
      </c>
      <c r="E278" s="51" t="s">
        <v>505</v>
      </c>
      <c r="F278" s="184" t="s">
        <v>372</v>
      </c>
      <c r="G278" s="184" t="s">
        <v>156</v>
      </c>
      <c r="H278" s="93">
        <v>80111600</v>
      </c>
      <c r="I278" s="185">
        <v>1</v>
      </c>
      <c r="J278" s="191">
        <v>10</v>
      </c>
      <c r="K278" s="126">
        <v>0</v>
      </c>
      <c r="L278" s="125">
        <v>30800000</v>
      </c>
      <c r="M278" s="184" t="s">
        <v>464</v>
      </c>
      <c r="N278" s="53" t="s">
        <v>508</v>
      </c>
      <c r="O278" s="51" t="s">
        <v>221</v>
      </c>
      <c r="P278" s="186" t="str">
        <f>IFERROR(VLOOKUP(C278,TD!$B$33:$F$37,2,0)," ")</f>
        <v>O230117</v>
      </c>
      <c r="Q278" s="186" t="str">
        <f>IFERROR(VLOOKUP(C278,TD!$B$33:$F$37,3,0)," ")</f>
        <v>4503</v>
      </c>
      <c r="R278" s="186">
        <f>IFERROR(VLOOKUP(C278,TD!$B$33:$F$37,4,0)," ")</f>
        <v>20240255</v>
      </c>
      <c r="S278" s="51" t="s">
        <v>181</v>
      </c>
      <c r="T278" s="186" t="str">
        <f>IFERROR(VLOOKUP(S278,TD!$J$34:$K$44,2,0)," ")</f>
        <v>Servicio de inspecciones técnicas realizadas</v>
      </c>
      <c r="U278" s="187" t="str">
        <f>CONCATENATE(S278,"-",T278)</f>
        <v>06-Servicio de inspecciones técnicas realizadas</v>
      </c>
      <c r="V278" s="51" t="s">
        <v>234</v>
      </c>
      <c r="W278" s="186" t="str">
        <f>IFERROR(VLOOKUP(V278,TD!$N$34:$O$46,2,0)," ")</f>
        <v>Servicio prevención y control de incendios</v>
      </c>
      <c r="X278" s="187" t="str">
        <f>CONCATENATE(V278,"_",W278)</f>
        <v>035_Servicio prevención y control de incendios</v>
      </c>
      <c r="Y278" s="187" t="str">
        <f>CONCATENATE(U278," ",X278)</f>
        <v>06-Servicio de inspecciones técnicas realizadas 035_Servicio prevención y control de incendios</v>
      </c>
      <c r="Z278" s="186" t="str">
        <f>CONCATENATE(P278,Q278,R278,S278,V278)</f>
        <v>O23011745032024025506035</v>
      </c>
      <c r="AA278" s="186" t="str">
        <f>IFERROR(VLOOKUP(Y278,TD!$K$47:$L$65,2,0)," ")</f>
        <v>PM/0131/0106/45030350255</v>
      </c>
      <c r="AB278" s="53" t="s">
        <v>138</v>
      </c>
      <c r="AC278" s="188" t="s">
        <v>204</v>
      </c>
    </row>
    <row r="279" spans="2:29" s="28" customFormat="1" ht="70" x14ac:dyDescent="0.35">
      <c r="B279" s="127">
        <v>20250251</v>
      </c>
      <c r="C279" s="129" t="s">
        <v>209</v>
      </c>
      <c r="D279" s="189" t="s">
        <v>167</v>
      </c>
      <c r="E279" s="190" t="s">
        <v>505</v>
      </c>
      <c r="F279" s="189" t="s">
        <v>682</v>
      </c>
      <c r="G279" s="189" t="s">
        <v>155</v>
      </c>
      <c r="H279" s="130">
        <v>80111600</v>
      </c>
      <c r="I279" s="191">
        <v>1</v>
      </c>
      <c r="J279" s="191">
        <v>10</v>
      </c>
      <c r="K279" s="126">
        <v>0</v>
      </c>
      <c r="L279" s="125">
        <f>55000000+35000000-26300000</f>
        <v>63700000</v>
      </c>
      <c r="M279" s="189" t="s">
        <v>464</v>
      </c>
      <c r="N279" s="125" t="s">
        <v>508</v>
      </c>
      <c r="O279" s="190" t="s">
        <v>226</v>
      </c>
      <c r="P279" s="192" t="str">
        <f>IFERROR(VLOOKUP(C279,TD!$B$33:$F$37,2,0)," ")</f>
        <v>O230117</v>
      </c>
      <c r="Q279" s="192" t="str">
        <f>IFERROR(VLOOKUP(C279,TD!$B$33:$F$37,3,0)," ")</f>
        <v>4503</v>
      </c>
      <c r="R279" s="192">
        <f>IFERROR(VLOOKUP(C279,TD!$B$33:$F$37,4,0)," ")</f>
        <v>20240255</v>
      </c>
      <c r="S279" s="190" t="s">
        <v>179</v>
      </c>
      <c r="T279" s="192" t="str">
        <f>IFERROR(VLOOKUP(S279,TD!$J$34:$K$44,2,0)," ")</f>
        <v>Infraestructura Tecnológica   (Sistemas de Información y Tecnologia)</v>
      </c>
      <c r="U279" s="187" t="str">
        <f>CONCATENATE(S279,"-",T279)</f>
        <v>11-Infraestructura Tecnológica   (Sistemas de Información y Tecnologia)</v>
      </c>
      <c r="V279" s="190" t="s">
        <v>235</v>
      </c>
      <c r="W279" s="192" t="str">
        <f>IFERROR(VLOOKUP(V279,TD!$N$34:$O$46,2,0)," ")</f>
        <v>"Servicio de monitoreo y seguimiento para la gestión del riesgo"</v>
      </c>
      <c r="X279" s="187" t="str">
        <f>CONCATENATE(V279,"_",W279)</f>
        <v>018_"Servicio de monitoreo y seguimiento para la gestión del riesgo"</v>
      </c>
      <c r="Y279" s="187" t="str">
        <f>CONCATENATE(U279," ",X279)</f>
        <v>11-Infraestructura Tecnológica   (Sistemas de Información y Tecnologia) 018_"Servicio de monitoreo y seguimiento para la gestión del riesgo"</v>
      </c>
      <c r="Z279" s="192" t="str">
        <f>CONCATENATE(P279,Q279,R279,S279,V279)</f>
        <v>O23011745032024025511018</v>
      </c>
      <c r="AA279" s="192" t="str">
        <f>IFERROR(VLOOKUP(Y279,TD!$K$47:$L$65,2,0)," ")</f>
        <v>PM/0131/0111/45030180255</v>
      </c>
      <c r="AB279" s="125" t="s">
        <v>138</v>
      </c>
      <c r="AC279" s="193" t="s">
        <v>204</v>
      </c>
    </row>
    <row r="280" spans="2:29" s="28" customFormat="1" ht="70" x14ac:dyDescent="0.35">
      <c r="B280" s="77">
        <v>20250252</v>
      </c>
      <c r="C280" s="50" t="s">
        <v>209</v>
      </c>
      <c r="D280" s="184" t="s">
        <v>167</v>
      </c>
      <c r="E280" s="51" t="s">
        <v>505</v>
      </c>
      <c r="F280" s="184" t="s">
        <v>517</v>
      </c>
      <c r="G280" s="184" t="s">
        <v>155</v>
      </c>
      <c r="H280" s="93">
        <v>80111600</v>
      </c>
      <c r="I280" s="185">
        <v>1</v>
      </c>
      <c r="J280" s="191">
        <v>10</v>
      </c>
      <c r="K280" s="126">
        <v>0</v>
      </c>
      <c r="L280" s="125">
        <v>42000000</v>
      </c>
      <c r="M280" s="184" t="s">
        <v>464</v>
      </c>
      <c r="N280" s="53" t="s">
        <v>508</v>
      </c>
      <c r="O280" s="51" t="s">
        <v>226</v>
      </c>
      <c r="P280" s="186" t="str">
        <f>IFERROR(VLOOKUP(C280,TD!$B$33:$F$37,2,0)," ")</f>
        <v>O230117</v>
      </c>
      <c r="Q280" s="186" t="str">
        <f>IFERROR(VLOOKUP(C280,TD!$B$33:$F$37,3,0)," ")</f>
        <v>4503</v>
      </c>
      <c r="R280" s="186">
        <f>IFERROR(VLOOKUP(C280,TD!$B$33:$F$37,4,0)," ")</f>
        <v>20240255</v>
      </c>
      <c r="S280" s="51" t="s">
        <v>179</v>
      </c>
      <c r="T280" s="186" t="str">
        <f>IFERROR(VLOOKUP(S280,TD!$J$34:$K$44,2,0)," ")</f>
        <v>Infraestructura Tecnológica   (Sistemas de Información y Tecnologia)</v>
      </c>
      <c r="U280" s="187" t="str">
        <f>CONCATENATE(S280,"-",T280)</f>
        <v>11-Infraestructura Tecnológica   (Sistemas de Información y Tecnologia)</v>
      </c>
      <c r="V280" s="51" t="s">
        <v>235</v>
      </c>
      <c r="W280" s="186" t="str">
        <f>IFERROR(VLOOKUP(V280,TD!$N$34:$O$46,2,0)," ")</f>
        <v>"Servicio de monitoreo y seguimiento para la gestión del riesgo"</v>
      </c>
      <c r="X280" s="187" t="str">
        <f>CONCATENATE(V280,"_",W280)</f>
        <v>018_"Servicio de monitoreo y seguimiento para la gestión del riesgo"</v>
      </c>
      <c r="Y280" s="187" t="str">
        <f>CONCATENATE(U280," ",X280)</f>
        <v>11-Infraestructura Tecnológica   (Sistemas de Información y Tecnologia) 018_"Servicio de monitoreo y seguimiento para la gestión del riesgo"</v>
      </c>
      <c r="Z280" s="186" t="str">
        <f>CONCATENATE(P280,Q280,R280,S280,V280)</f>
        <v>O23011745032024025511018</v>
      </c>
      <c r="AA280" s="186" t="str">
        <f>IFERROR(VLOOKUP(Y280,TD!$K$47:$L$65,2,0)," ")</f>
        <v>PM/0131/0111/45030180255</v>
      </c>
      <c r="AB280" s="53" t="s">
        <v>138</v>
      </c>
      <c r="AC280" s="188" t="s">
        <v>204</v>
      </c>
    </row>
    <row r="281" spans="2:29" s="28" customFormat="1" ht="70" x14ac:dyDescent="0.35">
      <c r="B281" s="77">
        <v>20250253</v>
      </c>
      <c r="C281" s="50" t="s">
        <v>209</v>
      </c>
      <c r="D281" s="184" t="s">
        <v>167</v>
      </c>
      <c r="E281" s="51" t="s">
        <v>505</v>
      </c>
      <c r="F281" s="184" t="s">
        <v>517</v>
      </c>
      <c r="G281" s="184" t="s">
        <v>155</v>
      </c>
      <c r="H281" s="93">
        <v>80111600</v>
      </c>
      <c r="I281" s="185">
        <v>1</v>
      </c>
      <c r="J281" s="191">
        <v>10</v>
      </c>
      <c r="K281" s="126">
        <v>0</v>
      </c>
      <c r="L281" s="125">
        <v>35000000</v>
      </c>
      <c r="M281" s="184" t="s">
        <v>464</v>
      </c>
      <c r="N281" s="53" t="s">
        <v>508</v>
      </c>
      <c r="O281" s="51" t="s">
        <v>226</v>
      </c>
      <c r="P281" s="186" t="str">
        <f>IFERROR(VLOOKUP(C281,TD!$B$33:$F$37,2,0)," ")</f>
        <v>O230117</v>
      </c>
      <c r="Q281" s="186" t="str">
        <f>IFERROR(VLOOKUP(C281,TD!$B$33:$F$37,3,0)," ")</f>
        <v>4503</v>
      </c>
      <c r="R281" s="186">
        <f>IFERROR(VLOOKUP(C281,TD!$B$33:$F$37,4,0)," ")</f>
        <v>20240255</v>
      </c>
      <c r="S281" s="51" t="s">
        <v>179</v>
      </c>
      <c r="T281" s="186" t="str">
        <f>IFERROR(VLOOKUP(S281,TD!$J$34:$K$44,2,0)," ")</f>
        <v>Infraestructura Tecnológica   (Sistemas de Información y Tecnologia)</v>
      </c>
      <c r="U281" s="187" t="str">
        <f>CONCATENATE(S281,"-",T281)</f>
        <v>11-Infraestructura Tecnológica   (Sistemas de Información y Tecnologia)</v>
      </c>
      <c r="V281" s="51" t="s">
        <v>235</v>
      </c>
      <c r="W281" s="186" t="str">
        <f>IFERROR(VLOOKUP(V281,TD!$N$34:$O$46,2,0)," ")</f>
        <v>"Servicio de monitoreo y seguimiento para la gestión del riesgo"</v>
      </c>
      <c r="X281" s="187" t="str">
        <f>CONCATENATE(V281,"_",W281)</f>
        <v>018_"Servicio de monitoreo y seguimiento para la gestión del riesgo"</v>
      </c>
      <c r="Y281" s="187" t="str">
        <f>CONCATENATE(U281," ",X281)</f>
        <v>11-Infraestructura Tecnológica   (Sistemas de Información y Tecnologia) 018_"Servicio de monitoreo y seguimiento para la gestión del riesgo"</v>
      </c>
      <c r="Z281" s="186" t="str">
        <f>CONCATENATE(P281,Q281,R281,S281,V281)</f>
        <v>O23011745032024025511018</v>
      </c>
      <c r="AA281" s="186" t="str">
        <f>IFERROR(VLOOKUP(Y281,TD!$K$47:$L$65,2,0)," ")</f>
        <v>PM/0131/0111/45030180255</v>
      </c>
      <c r="AB281" s="53" t="s">
        <v>138</v>
      </c>
      <c r="AC281" s="188" t="s">
        <v>204</v>
      </c>
    </row>
    <row r="282" spans="2:29" s="28" customFormat="1" ht="70" x14ac:dyDescent="0.35">
      <c r="B282" s="77">
        <v>20250254</v>
      </c>
      <c r="C282" s="50" t="s">
        <v>209</v>
      </c>
      <c r="D282" s="184" t="s">
        <v>167</v>
      </c>
      <c r="E282" s="51" t="s">
        <v>505</v>
      </c>
      <c r="F282" s="184" t="s">
        <v>517</v>
      </c>
      <c r="G282" s="184" t="s">
        <v>155</v>
      </c>
      <c r="H282" s="93">
        <v>80111600</v>
      </c>
      <c r="I282" s="185">
        <v>1</v>
      </c>
      <c r="J282" s="191">
        <v>10</v>
      </c>
      <c r="K282" s="126">
        <v>0</v>
      </c>
      <c r="L282" s="125">
        <v>35000000</v>
      </c>
      <c r="M282" s="184" t="s">
        <v>464</v>
      </c>
      <c r="N282" s="53" t="s">
        <v>508</v>
      </c>
      <c r="O282" s="51" t="s">
        <v>226</v>
      </c>
      <c r="P282" s="186" t="str">
        <f>IFERROR(VLOOKUP(C282,TD!$B$33:$F$37,2,0)," ")</f>
        <v>O230117</v>
      </c>
      <c r="Q282" s="186" t="str">
        <f>IFERROR(VLOOKUP(C282,TD!$B$33:$F$37,3,0)," ")</f>
        <v>4503</v>
      </c>
      <c r="R282" s="186">
        <f>IFERROR(VLOOKUP(C282,TD!$B$33:$F$37,4,0)," ")</f>
        <v>20240255</v>
      </c>
      <c r="S282" s="51" t="s">
        <v>179</v>
      </c>
      <c r="T282" s="186" t="str">
        <f>IFERROR(VLOOKUP(S282,TD!$J$34:$K$44,2,0)," ")</f>
        <v>Infraestructura Tecnológica   (Sistemas de Información y Tecnologia)</v>
      </c>
      <c r="U282" s="187" t="str">
        <f>CONCATENATE(S282,"-",T282)</f>
        <v>11-Infraestructura Tecnológica   (Sistemas de Información y Tecnologia)</v>
      </c>
      <c r="V282" s="51" t="s">
        <v>235</v>
      </c>
      <c r="W282" s="186" t="str">
        <f>IFERROR(VLOOKUP(V282,TD!$N$34:$O$46,2,0)," ")</f>
        <v>"Servicio de monitoreo y seguimiento para la gestión del riesgo"</v>
      </c>
      <c r="X282" s="187" t="str">
        <f>CONCATENATE(V282,"_",W282)</f>
        <v>018_"Servicio de monitoreo y seguimiento para la gestión del riesgo"</v>
      </c>
      <c r="Y282" s="187" t="str">
        <f>CONCATENATE(U282," ",X282)</f>
        <v>11-Infraestructura Tecnológica   (Sistemas de Información y Tecnologia) 018_"Servicio de monitoreo y seguimiento para la gestión del riesgo"</v>
      </c>
      <c r="Z282" s="186" t="str">
        <f>CONCATENATE(P282,Q282,R282,S282,V282)</f>
        <v>O23011745032024025511018</v>
      </c>
      <c r="AA282" s="186" t="str">
        <f>IFERROR(VLOOKUP(Y282,TD!$K$47:$L$65,2,0)," ")</f>
        <v>PM/0131/0111/45030180255</v>
      </c>
      <c r="AB282" s="53" t="s">
        <v>138</v>
      </c>
      <c r="AC282" s="188" t="s">
        <v>204</v>
      </c>
    </row>
    <row r="283" spans="2:29" s="28" customFormat="1" ht="70" x14ac:dyDescent="0.35">
      <c r="B283" s="77">
        <v>20250259</v>
      </c>
      <c r="C283" s="50" t="s">
        <v>209</v>
      </c>
      <c r="D283" s="184" t="s">
        <v>167</v>
      </c>
      <c r="E283" s="51" t="s">
        <v>505</v>
      </c>
      <c r="F283" s="184" t="s">
        <v>374</v>
      </c>
      <c r="G283" s="184" t="s">
        <v>156</v>
      </c>
      <c r="H283" s="93">
        <v>80111600</v>
      </c>
      <c r="I283" s="185">
        <v>1</v>
      </c>
      <c r="J283" s="191">
        <v>10</v>
      </c>
      <c r="K283" s="126">
        <v>0</v>
      </c>
      <c r="L283" s="125">
        <v>28000000</v>
      </c>
      <c r="M283" s="184" t="s">
        <v>464</v>
      </c>
      <c r="N283" s="53" t="s">
        <v>508</v>
      </c>
      <c r="O283" s="51" t="s">
        <v>226</v>
      </c>
      <c r="P283" s="186" t="str">
        <f>IFERROR(VLOOKUP(C283,TD!$B$33:$F$37,2,0)," ")</f>
        <v>O230117</v>
      </c>
      <c r="Q283" s="186" t="str">
        <f>IFERROR(VLOOKUP(C283,TD!$B$33:$F$37,3,0)," ")</f>
        <v>4503</v>
      </c>
      <c r="R283" s="186">
        <f>IFERROR(VLOOKUP(C283,TD!$B$33:$F$37,4,0)," ")</f>
        <v>20240255</v>
      </c>
      <c r="S283" s="51" t="s">
        <v>179</v>
      </c>
      <c r="T283" s="186" t="str">
        <f>IFERROR(VLOOKUP(S283,TD!$J$34:$K$44,2,0)," ")</f>
        <v>Infraestructura Tecnológica   (Sistemas de Información y Tecnologia)</v>
      </c>
      <c r="U283" s="187" t="str">
        <f>CONCATENATE(S283,"-",T283)</f>
        <v>11-Infraestructura Tecnológica   (Sistemas de Información y Tecnologia)</v>
      </c>
      <c r="V283" s="51" t="s">
        <v>235</v>
      </c>
      <c r="W283" s="186" t="str">
        <f>IFERROR(VLOOKUP(V283,TD!$N$34:$O$46,2,0)," ")</f>
        <v>"Servicio de monitoreo y seguimiento para la gestión del riesgo"</v>
      </c>
      <c r="X283" s="187" t="str">
        <f>CONCATENATE(V283,"_",W283)</f>
        <v>018_"Servicio de monitoreo y seguimiento para la gestión del riesgo"</v>
      </c>
      <c r="Y283" s="187" t="str">
        <f>CONCATENATE(U283," ",X283)</f>
        <v>11-Infraestructura Tecnológica   (Sistemas de Información y Tecnologia) 018_"Servicio de monitoreo y seguimiento para la gestión del riesgo"</v>
      </c>
      <c r="Z283" s="186" t="str">
        <f>CONCATENATE(P283,Q283,R283,S283,V283)</f>
        <v>O23011745032024025511018</v>
      </c>
      <c r="AA283" s="186" t="str">
        <f>IFERROR(VLOOKUP(Y283,TD!$K$47:$L$65,2,0)," ")</f>
        <v>PM/0131/0111/45030180255</v>
      </c>
      <c r="AB283" s="53" t="s">
        <v>138</v>
      </c>
      <c r="AC283" s="188" t="s">
        <v>204</v>
      </c>
    </row>
    <row r="284" spans="2:29" s="28" customFormat="1" ht="56" x14ac:dyDescent="0.35">
      <c r="B284" s="77">
        <v>20250260</v>
      </c>
      <c r="C284" s="50" t="s">
        <v>209</v>
      </c>
      <c r="D284" s="184" t="s">
        <v>167</v>
      </c>
      <c r="E284" s="51" t="s">
        <v>505</v>
      </c>
      <c r="F284" s="184" t="s">
        <v>683</v>
      </c>
      <c r="G284" s="184" t="s">
        <v>155</v>
      </c>
      <c r="H284" s="93">
        <v>80111600</v>
      </c>
      <c r="I284" s="185">
        <v>1</v>
      </c>
      <c r="J284" s="191">
        <v>11</v>
      </c>
      <c r="K284" s="126">
        <v>0</v>
      </c>
      <c r="L284" s="125">
        <f>77000000+11000000</f>
        <v>88000000</v>
      </c>
      <c r="M284" s="184" t="s">
        <v>464</v>
      </c>
      <c r="N284" s="53" t="s">
        <v>508</v>
      </c>
      <c r="O284" s="51" t="s">
        <v>221</v>
      </c>
      <c r="P284" s="186" t="str">
        <f>IFERROR(VLOOKUP(C284,TD!$B$33:$F$37,2,0)," ")</f>
        <v>O230117</v>
      </c>
      <c r="Q284" s="186" t="str">
        <f>IFERROR(VLOOKUP(C284,TD!$B$33:$F$37,3,0)," ")</f>
        <v>4503</v>
      </c>
      <c r="R284" s="186">
        <f>IFERROR(VLOOKUP(C284,TD!$B$33:$F$37,4,0)," ")</f>
        <v>20240255</v>
      </c>
      <c r="S284" s="51" t="s">
        <v>177</v>
      </c>
      <c r="T284" s="186" t="str">
        <f>IFERROR(VLOOKUP(S284,TD!$J$34:$K$44,2,0)," ")</f>
        <v>Servicio de capacitaciones en gestión del riesgo de incendios  a la ciudadania.</v>
      </c>
      <c r="U284" s="187" t="str">
        <f>CONCATENATE(S284,"-",T284)</f>
        <v>05-Servicio de capacitaciones en gestión del riesgo de incendios  a la ciudadania.</v>
      </c>
      <c r="V284" s="51" t="s">
        <v>234</v>
      </c>
      <c r="W284" s="186" t="str">
        <f>IFERROR(VLOOKUP(V284,TD!$N$34:$O$46,2,0)," ")</f>
        <v>Servicio prevención y control de incendios</v>
      </c>
      <c r="X284" s="187" t="str">
        <f>CONCATENATE(V284,"_",W284)</f>
        <v>035_Servicio prevención y control de incendios</v>
      </c>
      <c r="Y284" s="187" t="str">
        <f>CONCATENATE(U284," ",X284)</f>
        <v>05-Servicio de capacitaciones en gestión del riesgo de incendios  a la ciudadania. 035_Servicio prevención y control de incendios</v>
      </c>
      <c r="Z284" s="186" t="str">
        <f>CONCATENATE(P284,Q284,R284,S284,V284)</f>
        <v>O23011745032024025505035</v>
      </c>
      <c r="AA284" s="186" t="str">
        <f>IFERROR(VLOOKUP(Y284,TD!$K$47:$L$65,2,0)," ")</f>
        <v>PM/0131/0105/45030350255</v>
      </c>
      <c r="AB284" s="53" t="s">
        <v>138</v>
      </c>
      <c r="AC284" s="188" t="s">
        <v>204</v>
      </c>
    </row>
    <row r="285" spans="2:29" s="28" customFormat="1" ht="56" x14ac:dyDescent="0.35">
      <c r="B285" s="77">
        <v>20250261</v>
      </c>
      <c r="C285" s="50" t="s">
        <v>209</v>
      </c>
      <c r="D285" s="184" t="s">
        <v>167</v>
      </c>
      <c r="E285" s="51" t="s">
        <v>505</v>
      </c>
      <c r="F285" s="184" t="s">
        <v>518</v>
      </c>
      <c r="G285" s="184" t="s">
        <v>155</v>
      </c>
      <c r="H285" s="93">
        <v>80111600</v>
      </c>
      <c r="I285" s="185">
        <v>1</v>
      </c>
      <c r="J285" s="191">
        <v>10</v>
      </c>
      <c r="K285" s="126">
        <v>0</v>
      </c>
      <c r="L285" s="125">
        <v>35000000</v>
      </c>
      <c r="M285" s="184" t="s">
        <v>464</v>
      </c>
      <c r="N285" s="53" t="s">
        <v>508</v>
      </c>
      <c r="O285" s="51" t="s">
        <v>221</v>
      </c>
      <c r="P285" s="186" t="str">
        <f>IFERROR(VLOOKUP(C285,TD!$B$33:$F$37,2,0)," ")</f>
        <v>O230117</v>
      </c>
      <c r="Q285" s="186" t="str">
        <f>IFERROR(VLOOKUP(C285,TD!$B$33:$F$37,3,0)," ")</f>
        <v>4503</v>
      </c>
      <c r="R285" s="186">
        <f>IFERROR(VLOOKUP(C285,TD!$B$33:$F$37,4,0)," ")</f>
        <v>20240255</v>
      </c>
      <c r="S285" s="51" t="s">
        <v>177</v>
      </c>
      <c r="T285" s="186" t="str">
        <f>IFERROR(VLOOKUP(S285,TD!$J$34:$K$44,2,0)," ")</f>
        <v>Servicio de capacitaciones en gestión del riesgo de incendios  a la ciudadania.</v>
      </c>
      <c r="U285" s="187" t="str">
        <f>CONCATENATE(S285,"-",T285)</f>
        <v>05-Servicio de capacitaciones en gestión del riesgo de incendios  a la ciudadania.</v>
      </c>
      <c r="V285" s="51" t="s">
        <v>234</v>
      </c>
      <c r="W285" s="186" t="str">
        <f>IFERROR(VLOOKUP(V285,TD!$N$34:$O$46,2,0)," ")</f>
        <v>Servicio prevención y control de incendios</v>
      </c>
      <c r="X285" s="187" t="str">
        <f>CONCATENATE(V285,"_",W285)</f>
        <v>035_Servicio prevención y control de incendios</v>
      </c>
      <c r="Y285" s="187" t="str">
        <f>CONCATENATE(U285," ",X285)</f>
        <v>05-Servicio de capacitaciones en gestión del riesgo de incendios  a la ciudadania. 035_Servicio prevención y control de incendios</v>
      </c>
      <c r="Z285" s="186" t="str">
        <f>CONCATENATE(P285,Q285,R285,S285,V285)</f>
        <v>O23011745032024025505035</v>
      </c>
      <c r="AA285" s="186" t="str">
        <f>IFERROR(VLOOKUP(Y285,TD!$K$47:$L$65,2,0)," ")</f>
        <v>PM/0131/0105/45030350255</v>
      </c>
      <c r="AB285" s="53" t="s">
        <v>138</v>
      </c>
      <c r="AC285" s="188" t="s">
        <v>204</v>
      </c>
    </row>
    <row r="286" spans="2:29" s="28" customFormat="1" ht="56" x14ac:dyDescent="0.35">
      <c r="B286" s="127">
        <v>20250262</v>
      </c>
      <c r="C286" s="129" t="s">
        <v>209</v>
      </c>
      <c r="D286" s="189" t="s">
        <v>167</v>
      </c>
      <c r="E286" s="190" t="s">
        <v>505</v>
      </c>
      <c r="F286" s="189" t="s">
        <v>518</v>
      </c>
      <c r="G286" s="189" t="s">
        <v>155</v>
      </c>
      <c r="H286" s="130">
        <v>80111600</v>
      </c>
      <c r="I286" s="191">
        <v>1</v>
      </c>
      <c r="J286" s="191">
        <v>10</v>
      </c>
      <c r="K286" s="126">
        <v>0</v>
      </c>
      <c r="L286" s="125">
        <f>55000000-5000000-15000000</f>
        <v>35000000</v>
      </c>
      <c r="M286" s="189" t="s">
        <v>464</v>
      </c>
      <c r="N286" s="125" t="s">
        <v>508</v>
      </c>
      <c r="O286" s="190" t="s">
        <v>221</v>
      </c>
      <c r="P286" s="192" t="str">
        <f>IFERROR(VLOOKUP(C286,TD!$B$33:$F$37,2,0)," ")</f>
        <v>O230117</v>
      </c>
      <c r="Q286" s="192" t="str">
        <f>IFERROR(VLOOKUP(C286,TD!$B$33:$F$37,3,0)," ")</f>
        <v>4503</v>
      </c>
      <c r="R286" s="192">
        <f>IFERROR(VLOOKUP(C286,TD!$B$33:$F$37,4,0)," ")</f>
        <v>20240255</v>
      </c>
      <c r="S286" s="190" t="s">
        <v>177</v>
      </c>
      <c r="T286" s="192" t="str">
        <f>IFERROR(VLOOKUP(S286,TD!$J$34:$K$44,2,0)," ")</f>
        <v>Servicio de capacitaciones en gestión del riesgo de incendios  a la ciudadania.</v>
      </c>
      <c r="U286" s="187" t="str">
        <f>CONCATENATE(S286,"-",T286)</f>
        <v>05-Servicio de capacitaciones en gestión del riesgo de incendios  a la ciudadania.</v>
      </c>
      <c r="V286" s="190" t="s">
        <v>234</v>
      </c>
      <c r="W286" s="192" t="str">
        <f>IFERROR(VLOOKUP(V286,TD!$N$34:$O$46,2,0)," ")</f>
        <v>Servicio prevención y control de incendios</v>
      </c>
      <c r="X286" s="187" t="str">
        <f>CONCATENATE(V286,"_",W286)</f>
        <v>035_Servicio prevención y control de incendios</v>
      </c>
      <c r="Y286" s="187" t="str">
        <f>CONCATENATE(U286," ",X286)</f>
        <v>05-Servicio de capacitaciones en gestión del riesgo de incendios  a la ciudadania. 035_Servicio prevención y control de incendios</v>
      </c>
      <c r="Z286" s="192" t="str">
        <f>CONCATENATE(P286,Q286,R286,S286,V286)</f>
        <v>O23011745032024025505035</v>
      </c>
      <c r="AA286" s="192" t="str">
        <f>IFERROR(VLOOKUP(Y286,TD!$K$47:$L$65,2,0)," ")</f>
        <v>PM/0131/0105/45030350255</v>
      </c>
      <c r="AB286" s="125" t="s">
        <v>138</v>
      </c>
      <c r="AC286" s="193" t="s">
        <v>204</v>
      </c>
    </row>
    <row r="287" spans="2:29" s="28" customFormat="1" ht="56" x14ac:dyDescent="0.35">
      <c r="B287" s="77">
        <v>20250263</v>
      </c>
      <c r="C287" s="50" t="s">
        <v>209</v>
      </c>
      <c r="D287" s="184" t="s">
        <v>167</v>
      </c>
      <c r="E287" s="51" t="s">
        <v>505</v>
      </c>
      <c r="F287" s="184" t="s">
        <v>519</v>
      </c>
      <c r="G287" s="184" t="s">
        <v>156</v>
      </c>
      <c r="H287" s="93">
        <v>80111600</v>
      </c>
      <c r="I287" s="185">
        <v>1</v>
      </c>
      <c r="J287" s="191">
        <v>10</v>
      </c>
      <c r="K287" s="126">
        <v>0</v>
      </c>
      <c r="L287" s="125">
        <v>24500000</v>
      </c>
      <c r="M287" s="184" t="s">
        <v>464</v>
      </c>
      <c r="N287" s="53" t="s">
        <v>508</v>
      </c>
      <c r="O287" s="51" t="s">
        <v>221</v>
      </c>
      <c r="P287" s="186" t="str">
        <f>IFERROR(VLOOKUP(C287,TD!$B$33:$F$37,2,0)," ")</f>
        <v>O230117</v>
      </c>
      <c r="Q287" s="186" t="str">
        <f>IFERROR(VLOOKUP(C287,TD!$B$33:$F$37,3,0)," ")</f>
        <v>4503</v>
      </c>
      <c r="R287" s="186">
        <f>IFERROR(VLOOKUP(C287,TD!$B$33:$F$37,4,0)," ")</f>
        <v>20240255</v>
      </c>
      <c r="S287" s="51" t="s">
        <v>177</v>
      </c>
      <c r="T287" s="186" t="str">
        <f>IFERROR(VLOOKUP(S287,TD!$J$34:$K$44,2,0)," ")</f>
        <v>Servicio de capacitaciones en gestión del riesgo de incendios  a la ciudadania.</v>
      </c>
      <c r="U287" s="187" t="str">
        <f>CONCATENATE(S287,"-",T287)</f>
        <v>05-Servicio de capacitaciones en gestión del riesgo de incendios  a la ciudadania.</v>
      </c>
      <c r="V287" s="51" t="s">
        <v>234</v>
      </c>
      <c r="W287" s="186" t="str">
        <f>IFERROR(VLOOKUP(V287,TD!$N$34:$O$46,2,0)," ")</f>
        <v>Servicio prevención y control de incendios</v>
      </c>
      <c r="X287" s="187" t="str">
        <f>CONCATENATE(V287,"_",W287)</f>
        <v>035_Servicio prevención y control de incendios</v>
      </c>
      <c r="Y287" s="187" t="str">
        <f>CONCATENATE(U287," ",X287)</f>
        <v>05-Servicio de capacitaciones en gestión del riesgo de incendios  a la ciudadania. 035_Servicio prevención y control de incendios</v>
      </c>
      <c r="Z287" s="186" t="str">
        <f>CONCATENATE(P287,Q287,R287,S287,V287)</f>
        <v>O23011745032024025505035</v>
      </c>
      <c r="AA287" s="186" t="str">
        <f>IFERROR(VLOOKUP(Y287,TD!$K$47:$L$65,2,0)," ")</f>
        <v>PM/0131/0105/45030350255</v>
      </c>
      <c r="AB287" s="53" t="s">
        <v>138</v>
      </c>
      <c r="AC287" s="188" t="s">
        <v>204</v>
      </c>
    </row>
    <row r="288" spans="2:29" s="28" customFormat="1" ht="56" x14ac:dyDescent="0.35">
      <c r="B288" s="77">
        <v>20250264</v>
      </c>
      <c r="C288" s="50" t="s">
        <v>209</v>
      </c>
      <c r="D288" s="184" t="s">
        <v>167</v>
      </c>
      <c r="E288" s="51" t="s">
        <v>505</v>
      </c>
      <c r="F288" s="184" t="s">
        <v>519</v>
      </c>
      <c r="G288" s="184" t="s">
        <v>156</v>
      </c>
      <c r="H288" s="93">
        <v>80111600</v>
      </c>
      <c r="I288" s="185">
        <v>1</v>
      </c>
      <c r="J288" s="191">
        <v>10</v>
      </c>
      <c r="K288" s="126">
        <v>0</v>
      </c>
      <c r="L288" s="125">
        <v>33750000</v>
      </c>
      <c r="M288" s="184" t="s">
        <v>464</v>
      </c>
      <c r="N288" s="53" t="s">
        <v>508</v>
      </c>
      <c r="O288" s="51" t="s">
        <v>221</v>
      </c>
      <c r="P288" s="186" t="str">
        <f>IFERROR(VLOOKUP(C288,TD!$B$33:$F$37,2,0)," ")</f>
        <v>O230117</v>
      </c>
      <c r="Q288" s="186" t="str">
        <f>IFERROR(VLOOKUP(C288,TD!$B$33:$F$37,3,0)," ")</f>
        <v>4503</v>
      </c>
      <c r="R288" s="186">
        <f>IFERROR(VLOOKUP(C288,TD!$B$33:$F$37,4,0)," ")</f>
        <v>20240255</v>
      </c>
      <c r="S288" s="51" t="s">
        <v>177</v>
      </c>
      <c r="T288" s="186" t="str">
        <f>IFERROR(VLOOKUP(S288,TD!$J$34:$K$44,2,0)," ")</f>
        <v>Servicio de capacitaciones en gestión del riesgo de incendios  a la ciudadania.</v>
      </c>
      <c r="U288" s="187" t="str">
        <f>CONCATENATE(S288,"-",T288)</f>
        <v>05-Servicio de capacitaciones en gestión del riesgo de incendios  a la ciudadania.</v>
      </c>
      <c r="V288" s="51" t="s">
        <v>234</v>
      </c>
      <c r="W288" s="186" t="str">
        <f>IFERROR(VLOOKUP(V288,TD!$N$34:$O$46,2,0)," ")</f>
        <v>Servicio prevención y control de incendios</v>
      </c>
      <c r="X288" s="187" t="str">
        <f>CONCATENATE(V288,"_",W288)</f>
        <v>035_Servicio prevención y control de incendios</v>
      </c>
      <c r="Y288" s="187" t="str">
        <f>CONCATENATE(U288," ",X288)</f>
        <v>05-Servicio de capacitaciones en gestión del riesgo de incendios  a la ciudadania. 035_Servicio prevención y control de incendios</v>
      </c>
      <c r="Z288" s="186" t="str">
        <f>CONCATENATE(P288,Q288,R288,S288,V288)</f>
        <v>O23011745032024025505035</v>
      </c>
      <c r="AA288" s="186" t="str">
        <f>IFERROR(VLOOKUP(Y288,TD!$K$47:$L$65,2,0)," ")</f>
        <v>PM/0131/0105/45030350255</v>
      </c>
      <c r="AB288" s="53" t="s">
        <v>138</v>
      </c>
      <c r="AC288" s="188" t="s">
        <v>204</v>
      </c>
    </row>
    <row r="289" spans="2:29" s="28" customFormat="1" ht="56" x14ac:dyDescent="0.35">
      <c r="B289" s="77">
        <v>20250265</v>
      </c>
      <c r="C289" s="50" t="s">
        <v>209</v>
      </c>
      <c r="D289" s="184" t="s">
        <v>167</v>
      </c>
      <c r="E289" s="51" t="s">
        <v>505</v>
      </c>
      <c r="F289" s="184" t="s">
        <v>519</v>
      </c>
      <c r="G289" s="184" t="s">
        <v>156</v>
      </c>
      <c r="H289" s="93">
        <v>80111600</v>
      </c>
      <c r="I289" s="185">
        <v>1</v>
      </c>
      <c r="J289" s="191">
        <v>10</v>
      </c>
      <c r="K289" s="126">
        <v>0</v>
      </c>
      <c r="L289" s="125">
        <v>8400000</v>
      </c>
      <c r="M289" s="184" t="s">
        <v>464</v>
      </c>
      <c r="N289" s="53" t="s">
        <v>508</v>
      </c>
      <c r="O289" s="51" t="s">
        <v>221</v>
      </c>
      <c r="P289" s="186" t="str">
        <f>IFERROR(VLOOKUP(C289,TD!$B$33:$F$37,2,0)," ")</f>
        <v>O230117</v>
      </c>
      <c r="Q289" s="186" t="str">
        <f>IFERROR(VLOOKUP(C289,TD!$B$33:$F$37,3,0)," ")</f>
        <v>4503</v>
      </c>
      <c r="R289" s="186">
        <f>IFERROR(VLOOKUP(C289,TD!$B$33:$F$37,4,0)," ")</f>
        <v>20240255</v>
      </c>
      <c r="S289" s="51" t="s">
        <v>177</v>
      </c>
      <c r="T289" s="186" t="str">
        <f>IFERROR(VLOOKUP(S289,TD!$J$34:$K$44,2,0)," ")</f>
        <v>Servicio de capacitaciones en gestión del riesgo de incendios  a la ciudadania.</v>
      </c>
      <c r="U289" s="187" t="str">
        <f>CONCATENATE(S289,"-",T289)</f>
        <v>05-Servicio de capacitaciones en gestión del riesgo de incendios  a la ciudadania.</v>
      </c>
      <c r="V289" s="51" t="s">
        <v>234</v>
      </c>
      <c r="W289" s="186" t="str">
        <f>IFERROR(VLOOKUP(V289,TD!$N$34:$O$46,2,0)," ")</f>
        <v>Servicio prevención y control de incendios</v>
      </c>
      <c r="X289" s="187" t="str">
        <f>CONCATENATE(V289,"_",W289)</f>
        <v>035_Servicio prevención y control de incendios</v>
      </c>
      <c r="Y289" s="187" t="str">
        <f>CONCATENATE(U289," ",X289)</f>
        <v>05-Servicio de capacitaciones en gestión del riesgo de incendios  a la ciudadania. 035_Servicio prevención y control de incendios</v>
      </c>
      <c r="Z289" s="186" t="str">
        <f>CONCATENATE(P289,Q289,R289,S289,V289)</f>
        <v>O23011745032024025505035</v>
      </c>
      <c r="AA289" s="186" t="str">
        <f>IFERROR(VLOOKUP(Y289,TD!$K$47:$L$65,2,0)," ")</f>
        <v>PM/0131/0105/45030350255</v>
      </c>
      <c r="AB289" s="53" t="s">
        <v>138</v>
      </c>
      <c r="AC289" s="188" t="s">
        <v>204</v>
      </c>
    </row>
    <row r="290" spans="2:29" s="28" customFormat="1" ht="56" x14ac:dyDescent="0.35">
      <c r="B290" s="77">
        <v>20250266</v>
      </c>
      <c r="C290" s="50" t="s">
        <v>209</v>
      </c>
      <c r="D290" s="184" t="s">
        <v>167</v>
      </c>
      <c r="E290" s="51" t="s">
        <v>505</v>
      </c>
      <c r="F290" s="184" t="s">
        <v>369</v>
      </c>
      <c r="G290" s="184" t="s">
        <v>133</v>
      </c>
      <c r="H290" s="93" t="s">
        <v>375</v>
      </c>
      <c r="I290" s="185">
        <v>1</v>
      </c>
      <c r="J290" s="191">
        <v>10</v>
      </c>
      <c r="K290" s="126">
        <v>0</v>
      </c>
      <c r="L290" s="125">
        <f>500000000+356000000-210000000-6000000</f>
        <v>640000000</v>
      </c>
      <c r="M290" s="184" t="s">
        <v>464</v>
      </c>
      <c r="N290" s="53" t="s">
        <v>90</v>
      </c>
      <c r="O290" s="51" t="s">
        <v>221</v>
      </c>
      <c r="P290" s="186" t="str">
        <f>IFERROR(VLOOKUP(C290,TD!$B$33:$F$37,2,0)," ")</f>
        <v>O230117</v>
      </c>
      <c r="Q290" s="186" t="str">
        <f>IFERROR(VLOOKUP(C290,TD!$B$33:$F$37,3,0)," ")</f>
        <v>4503</v>
      </c>
      <c r="R290" s="186">
        <f>IFERROR(VLOOKUP(C290,TD!$B$33:$F$37,4,0)," ")</f>
        <v>20240255</v>
      </c>
      <c r="S290" s="51" t="s">
        <v>177</v>
      </c>
      <c r="T290" s="186" t="str">
        <f>IFERROR(VLOOKUP(S290,TD!$J$34:$K$44,2,0)," ")</f>
        <v>Servicio de capacitaciones en gestión del riesgo de incendios  a la ciudadania.</v>
      </c>
      <c r="U290" s="187" t="str">
        <f>CONCATENATE(S290,"-",T290)</f>
        <v>05-Servicio de capacitaciones en gestión del riesgo de incendios  a la ciudadania.</v>
      </c>
      <c r="V290" s="51" t="s">
        <v>233</v>
      </c>
      <c r="W290" s="186" t="str">
        <f>IFERROR(VLOOKUP(V290,TD!$N$34:$O$46,2,0)," ")</f>
        <v>Servicio de educación informal</v>
      </c>
      <c r="X290" s="187" t="str">
        <f>CONCATENATE(V290,"_",W290)</f>
        <v>002_Servicio de educación informal</v>
      </c>
      <c r="Y290" s="187" t="str">
        <f>CONCATENATE(U290," ",X290)</f>
        <v>05-Servicio de capacitaciones en gestión del riesgo de incendios  a la ciudadania. 002_Servicio de educación informal</v>
      </c>
      <c r="Z290" s="186" t="str">
        <f>CONCATENATE(P290,Q290,R290,S290,V290)</f>
        <v>O23011745032024025505002</v>
      </c>
      <c r="AA290" s="186" t="str">
        <f>IFERROR(VLOOKUP(Y290,TD!$K$47:$L$65,2,0)," ")</f>
        <v>PM/0131/0105/45030020255</v>
      </c>
      <c r="AB290" s="53" t="s">
        <v>138</v>
      </c>
      <c r="AC290" s="188" t="s">
        <v>204</v>
      </c>
    </row>
    <row r="291" spans="2:29" s="28" customFormat="1" ht="56" x14ac:dyDescent="0.35">
      <c r="B291" s="127">
        <v>20250267</v>
      </c>
      <c r="C291" s="129" t="s">
        <v>209</v>
      </c>
      <c r="D291" s="189" t="s">
        <v>167</v>
      </c>
      <c r="E291" s="190" t="s">
        <v>505</v>
      </c>
      <c r="F291" s="189" t="s">
        <v>520</v>
      </c>
      <c r="G291" s="189" t="s">
        <v>133</v>
      </c>
      <c r="H291" s="130" t="s">
        <v>521</v>
      </c>
      <c r="I291" s="191">
        <v>9</v>
      </c>
      <c r="J291" s="191">
        <v>5</v>
      </c>
      <c r="K291" s="126">
        <v>0</v>
      </c>
      <c r="L291" s="125">
        <f>107000000+10000000+120000000+170000000-190000000+6000000</f>
        <v>223000000</v>
      </c>
      <c r="M291" s="189" t="s">
        <v>464</v>
      </c>
      <c r="N291" s="125" t="s">
        <v>90</v>
      </c>
      <c r="O291" s="190" t="s">
        <v>221</v>
      </c>
      <c r="P291" s="192" t="str">
        <f>IFERROR(VLOOKUP(C291,TD!$B$33:$F$37,2,0)," ")</f>
        <v>O230117</v>
      </c>
      <c r="Q291" s="192" t="str">
        <f>IFERROR(VLOOKUP(C291,TD!$B$33:$F$37,3,0)," ")</f>
        <v>4503</v>
      </c>
      <c r="R291" s="192">
        <f>IFERROR(VLOOKUP(C291,TD!$B$33:$F$37,4,0)," ")</f>
        <v>20240255</v>
      </c>
      <c r="S291" s="51" t="s">
        <v>177</v>
      </c>
      <c r="T291" s="192" t="str">
        <f>IFERROR(VLOOKUP(S291,TD!$J$34:$K$44,2,0)," ")</f>
        <v>Servicio de capacitaciones en gestión del riesgo de incendios  a la ciudadania.</v>
      </c>
      <c r="U291" s="187" t="str">
        <f>CONCATENATE(S291,"-",T291)</f>
        <v>05-Servicio de capacitaciones en gestión del riesgo de incendios  a la ciudadania.</v>
      </c>
      <c r="V291" s="190" t="s">
        <v>234</v>
      </c>
      <c r="W291" s="192" t="str">
        <f>IFERROR(VLOOKUP(V291,TD!$N$34:$O$46,2,0)," ")</f>
        <v>Servicio prevención y control de incendios</v>
      </c>
      <c r="X291" s="187" t="str">
        <f>CONCATENATE(V291,"_",W291)</f>
        <v>035_Servicio prevención y control de incendios</v>
      </c>
      <c r="Y291" s="187" t="str">
        <f>CONCATENATE(U291," ",X291)</f>
        <v>05-Servicio de capacitaciones en gestión del riesgo de incendios  a la ciudadania. 035_Servicio prevención y control de incendios</v>
      </c>
      <c r="Z291" s="192" t="str">
        <f>CONCATENATE(P291,Q291,R291,S291,V291)</f>
        <v>O23011745032024025505035</v>
      </c>
      <c r="AA291" s="192" t="str">
        <f>IFERROR(VLOOKUP(Y291,TD!$K$47:$L$65,2,0)," ")</f>
        <v>PM/0131/0105/45030350255</v>
      </c>
      <c r="AB291" s="53" t="s">
        <v>138</v>
      </c>
      <c r="AC291" s="193" t="s">
        <v>204</v>
      </c>
    </row>
    <row r="292" spans="2:29" s="28" customFormat="1" ht="56" x14ac:dyDescent="0.35">
      <c r="B292" s="127">
        <v>20250268</v>
      </c>
      <c r="C292" s="129" t="s">
        <v>209</v>
      </c>
      <c r="D292" s="189" t="s">
        <v>167</v>
      </c>
      <c r="E292" s="190" t="s">
        <v>505</v>
      </c>
      <c r="F292" s="189" t="s">
        <v>900</v>
      </c>
      <c r="G292" s="189" t="s">
        <v>119</v>
      </c>
      <c r="H292" s="130" t="s">
        <v>920</v>
      </c>
      <c r="I292" s="191">
        <v>6</v>
      </c>
      <c r="J292" s="191">
        <v>2</v>
      </c>
      <c r="K292" s="126">
        <v>0</v>
      </c>
      <c r="L292" s="125">
        <v>17430000</v>
      </c>
      <c r="M292" s="189" t="s">
        <v>464</v>
      </c>
      <c r="N292" s="125" t="s">
        <v>100</v>
      </c>
      <c r="O292" s="190" t="s">
        <v>221</v>
      </c>
      <c r="P292" s="192" t="str">
        <f>IFERROR(VLOOKUP(C292,TD!$B$33:$F$37,2,0)," ")</f>
        <v>O230117</v>
      </c>
      <c r="Q292" s="192" t="str">
        <f>IFERROR(VLOOKUP(C292,TD!$B$33:$F$37,3,0)," ")</f>
        <v>4503</v>
      </c>
      <c r="R292" s="192">
        <f>IFERROR(VLOOKUP(C292,TD!$B$33:$F$37,4,0)," ")</f>
        <v>20240255</v>
      </c>
      <c r="S292" s="51" t="s">
        <v>177</v>
      </c>
      <c r="T292" s="192" t="str">
        <f>IFERROR(VLOOKUP(S292,TD!$J$34:$K$44,2,0)," ")</f>
        <v>Servicio de capacitaciones en gestión del riesgo de incendios  a la ciudadania.</v>
      </c>
      <c r="U292" s="187" t="str">
        <f>CONCATENATE(S292,"-",T292)</f>
        <v>05-Servicio de capacitaciones en gestión del riesgo de incendios  a la ciudadania.</v>
      </c>
      <c r="V292" s="190" t="s">
        <v>233</v>
      </c>
      <c r="W292" s="192" t="str">
        <f>IFERROR(VLOOKUP(V292,TD!$N$34:$O$46,2,0)," ")</f>
        <v>Servicio de educación informal</v>
      </c>
      <c r="X292" s="187" t="str">
        <f>CONCATENATE(V292,"_",W292)</f>
        <v>002_Servicio de educación informal</v>
      </c>
      <c r="Y292" s="187" t="str">
        <f>CONCATENATE(U292," ",X292)</f>
        <v>05-Servicio de capacitaciones en gestión del riesgo de incendios  a la ciudadania. 002_Servicio de educación informal</v>
      </c>
      <c r="Z292" s="192" t="str">
        <f>CONCATENATE(P292,Q292,R292,S292,V292)</f>
        <v>O23011745032024025505002</v>
      </c>
      <c r="AA292" s="192" t="str">
        <f>IFERROR(VLOOKUP(Y292,TD!$K$47:$L$65,2,0)," ")</f>
        <v>PM/0131/0105/45030020255</v>
      </c>
      <c r="AB292" s="53" t="s">
        <v>138</v>
      </c>
      <c r="AC292" s="193" t="s">
        <v>204</v>
      </c>
    </row>
    <row r="293" spans="2:29" s="28" customFormat="1" ht="56" x14ac:dyDescent="0.35">
      <c r="B293" s="77">
        <v>20250269</v>
      </c>
      <c r="C293" s="50" t="s">
        <v>209</v>
      </c>
      <c r="D293" s="184" t="s">
        <v>167</v>
      </c>
      <c r="E293" s="51" t="s">
        <v>505</v>
      </c>
      <c r="F293" s="184" t="s">
        <v>376</v>
      </c>
      <c r="G293" s="184" t="s">
        <v>155</v>
      </c>
      <c r="H293" s="93">
        <v>80111600</v>
      </c>
      <c r="I293" s="185">
        <v>1</v>
      </c>
      <c r="J293" s="191">
        <v>10</v>
      </c>
      <c r="K293" s="126">
        <v>0</v>
      </c>
      <c r="L293" s="125">
        <v>49000000</v>
      </c>
      <c r="M293" s="184" t="s">
        <v>464</v>
      </c>
      <c r="N293" s="53" t="s">
        <v>508</v>
      </c>
      <c r="O293" s="51" t="s">
        <v>221</v>
      </c>
      <c r="P293" s="186" t="str">
        <f>IFERROR(VLOOKUP(C293,TD!$B$33:$F$37,2,0)," ")</f>
        <v>O230117</v>
      </c>
      <c r="Q293" s="186" t="str">
        <f>IFERROR(VLOOKUP(C293,TD!$B$33:$F$37,3,0)," ")</f>
        <v>4503</v>
      </c>
      <c r="R293" s="186">
        <f>IFERROR(VLOOKUP(C293,TD!$B$33:$F$37,4,0)," ")</f>
        <v>20240255</v>
      </c>
      <c r="S293" s="51" t="s">
        <v>177</v>
      </c>
      <c r="T293" s="186" t="str">
        <f>IFERROR(VLOOKUP(S293,TD!$J$34:$K$44,2,0)," ")</f>
        <v>Servicio de capacitaciones en gestión del riesgo de incendios  a la ciudadania.</v>
      </c>
      <c r="U293" s="187" t="str">
        <f>CONCATENATE(S293,"-",T293)</f>
        <v>05-Servicio de capacitaciones en gestión del riesgo de incendios  a la ciudadania.</v>
      </c>
      <c r="V293" s="51" t="s">
        <v>233</v>
      </c>
      <c r="W293" s="186" t="str">
        <f>IFERROR(VLOOKUP(V293,TD!$N$34:$O$46,2,0)," ")</f>
        <v>Servicio de educación informal</v>
      </c>
      <c r="X293" s="187" t="str">
        <f>CONCATENATE(V293,"_",W293)</f>
        <v>002_Servicio de educación informal</v>
      </c>
      <c r="Y293" s="187" t="str">
        <f>CONCATENATE(U293," ",X293)</f>
        <v>05-Servicio de capacitaciones en gestión del riesgo de incendios  a la ciudadania. 002_Servicio de educación informal</v>
      </c>
      <c r="Z293" s="186" t="str">
        <f>CONCATENATE(P293,Q293,R293,S293,V293)</f>
        <v>O23011745032024025505002</v>
      </c>
      <c r="AA293" s="186" t="str">
        <f>IFERROR(VLOOKUP(Y293,TD!$K$47:$L$65,2,0)," ")</f>
        <v>PM/0131/0105/45030020255</v>
      </c>
      <c r="AB293" s="53" t="s">
        <v>138</v>
      </c>
      <c r="AC293" s="188" t="s">
        <v>204</v>
      </c>
    </row>
    <row r="294" spans="2:29" s="28" customFormat="1" ht="56" x14ac:dyDescent="0.35">
      <c r="B294" s="127">
        <v>20250270</v>
      </c>
      <c r="C294" s="129" t="s">
        <v>209</v>
      </c>
      <c r="D294" s="189" t="s">
        <v>167</v>
      </c>
      <c r="E294" s="190" t="s">
        <v>505</v>
      </c>
      <c r="F294" s="189" t="s">
        <v>373</v>
      </c>
      <c r="G294" s="189" t="s">
        <v>155</v>
      </c>
      <c r="H294" s="130">
        <v>80111600</v>
      </c>
      <c r="I294" s="191">
        <v>1</v>
      </c>
      <c r="J294" s="191">
        <v>10</v>
      </c>
      <c r="K294" s="126">
        <v>0</v>
      </c>
      <c r="L294" s="125">
        <f>77000000-27000000-15000000</f>
        <v>35000000</v>
      </c>
      <c r="M294" s="189" t="s">
        <v>464</v>
      </c>
      <c r="N294" s="125" t="s">
        <v>508</v>
      </c>
      <c r="O294" s="190" t="s">
        <v>221</v>
      </c>
      <c r="P294" s="192" t="str">
        <f>IFERROR(VLOOKUP(C294,TD!$B$33:$F$37,2,0)," ")</f>
        <v>O230117</v>
      </c>
      <c r="Q294" s="192" t="str">
        <f>IFERROR(VLOOKUP(C294,TD!$B$33:$F$37,3,0)," ")</f>
        <v>4503</v>
      </c>
      <c r="R294" s="192">
        <f>IFERROR(VLOOKUP(C294,TD!$B$33:$F$37,4,0)," ")</f>
        <v>20240255</v>
      </c>
      <c r="S294" s="190" t="s">
        <v>181</v>
      </c>
      <c r="T294" s="192" t="str">
        <f>IFERROR(VLOOKUP(S294,TD!$J$34:$K$44,2,0)," ")</f>
        <v>Servicio de inspecciones técnicas realizadas</v>
      </c>
      <c r="U294" s="187" t="str">
        <f>CONCATENATE(S294,"-",T294)</f>
        <v>06-Servicio de inspecciones técnicas realizadas</v>
      </c>
      <c r="V294" s="190" t="s">
        <v>234</v>
      </c>
      <c r="W294" s="192" t="str">
        <f>IFERROR(VLOOKUP(V294,TD!$N$34:$O$46,2,0)," ")</f>
        <v>Servicio prevención y control de incendios</v>
      </c>
      <c r="X294" s="187" t="str">
        <f>CONCATENATE(V294,"_",W294)</f>
        <v>035_Servicio prevención y control de incendios</v>
      </c>
      <c r="Y294" s="187" t="str">
        <f>CONCATENATE(U294," ",X294)</f>
        <v>06-Servicio de inspecciones técnicas realizadas 035_Servicio prevención y control de incendios</v>
      </c>
      <c r="Z294" s="192" t="str">
        <f>CONCATENATE(P294,Q294,R294,S294,V294)</f>
        <v>O23011745032024025506035</v>
      </c>
      <c r="AA294" s="192" t="str">
        <f>IFERROR(VLOOKUP(Y294,TD!$K$47:$L$65,2,0)," ")</f>
        <v>PM/0131/0106/45030350255</v>
      </c>
      <c r="AB294" s="125" t="s">
        <v>138</v>
      </c>
      <c r="AC294" s="193" t="s">
        <v>204</v>
      </c>
    </row>
    <row r="295" spans="2:29" s="28" customFormat="1" ht="56" x14ac:dyDescent="0.35">
      <c r="B295" s="127">
        <v>20250271</v>
      </c>
      <c r="C295" s="129" t="s">
        <v>209</v>
      </c>
      <c r="D295" s="189" t="s">
        <v>167</v>
      </c>
      <c r="E295" s="190" t="s">
        <v>505</v>
      </c>
      <c r="F295" s="189" t="s">
        <v>734</v>
      </c>
      <c r="G295" s="189" t="s">
        <v>155</v>
      </c>
      <c r="H295" s="130">
        <v>80111600</v>
      </c>
      <c r="I295" s="191">
        <v>1</v>
      </c>
      <c r="J295" s="191">
        <v>10</v>
      </c>
      <c r="K295" s="126">
        <v>0</v>
      </c>
      <c r="L295" s="125">
        <f>77000000-27000000-15000000</f>
        <v>35000000</v>
      </c>
      <c r="M295" s="189" t="s">
        <v>464</v>
      </c>
      <c r="N295" s="125" t="s">
        <v>508</v>
      </c>
      <c r="O295" s="190" t="s">
        <v>221</v>
      </c>
      <c r="P295" s="192" t="str">
        <f>IFERROR(VLOOKUP(C295,TD!$B$33:$F$37,2,0)," ")</f>
        <v>O230117</v>
      </c>
      <c r="Q295" s="192" t="str">
        <f>IFERROR(VLOOKUP(C295,TD!$B$33:$F$37,3,0)," ")</f>
        <v>4503</v>
      </c>
      <c r="R295" s="192">
        <f>IFERROR(VLOOKUP(C295,TD!$B$33:$F$37,4,0)," ")</f>
        <v>20240255</v>
      </c>
      <c r="S295" s="190" t="s">
        <v>181</v>
      </c>
      <c r="T295" s="192" t="str">
        <f>IFERROR(VLOOKUP(S295,TD!$J$34:$K$44,2,0)," ")</f>
        <v>Servicio de inspecciones técnicas realizadas</v>
      </c>
      <c r="U295" s="187" t="str">
        <f>CONCATENATE(S295,"-",T295)</f>
        <v>06-Servicio de inspecciones técnicas realizadas</v>
      </c>
      <c r="V295" s="190" t="s">
        <v>234</v>
      </c>
      <c r="W295" s="192" t="str">
        <f>IFERROR(VLOOKUP(V295,TD!$N$34:$O$46,2,0)," ")</f>
        <v>Servicio prevención y control de incendios</v>
      </c>
      <c r="X295" s="187" t="str">
        <f>CONCATENATE(V295,"_",W295)</f>
        <v>035_Servicio prevención y control de incendios</v>
      </c>
      <c r="Y295" s="187" t="str">
        <f>CONCATENATE(U295," ",X295)</f>
        <v>06-Servicio de inspecciones técnicas realizadas 035_Servicio prevención y control de incendios</v>
      </c>
      <c r="Z295" s="192" t="str">
        <f>CONCATENATE(P295,Q295,R295,S295,V295)</f>
        <v>O23011745032024025506035</v>
      </c>
      <c r="AA295" s="192" t="str">
        <f>IFERROR(VLOOKUP(Y295,TD!$K$47:$L$65,2,0)," ")</f>
        <v>PM/0131/0106/45030350255</v>
      </c>
      <c r="AB295" s="125" t="s">
        <v>138</v>
      </c>
      <c r="AC295" s="193" t="s">
        <v>204</v>
      </c>
    </row>
    <row r="296" spans="2:29" s="28" customFormat="1" ht="56" x14ac:dyDescent="0.35">
      <c r="B296" s="77">
        <v>20250272</v>
      </c>
      <c r="C296" s="50" t="s">
        <v>209</v>
      </c>
      <c r="D296" s="184" t="s">
        <v>167</v>
      </c>
      <c r="E296" s="51" t="s">
        <v>505</v>
      </c>
      <c r="F296" s="184" t="s">
        <v>373</v>
      </c>
      <c r="G296" s="184" t="s">
        <v>155</v>
      </c>
      <c r="H296" s="93">
        <v>80111600</v>
      </c>
      <c r="I296" s="185">
        <v>1</v>
      </c>
      <c r="J296" s="191">
        <v>10</v>
      </c>
      <c r="K296" s="126">
        <v>0</v>
      </c>
      <c r="L296" s="125">
        <v>21000000</v>
      </c>
      <c r="M296" s="184" t="s">
        <v>464</v>
      </c>
      <c r="N296" s="53" t="s">
        <v>508</v>
      </c>
      <c r="O296" s="51" t="s">
        <v>221</v>
      </c>
      <c r="P296" s="186" t="str">
        <f>IFERROR(VLOOKUP(C296,TD!$B$33:$F$37,2,0)," ")</f>
        <v>O230117</v>
      </c>
      <c r="Q296" s="186" t="str">
        <f>IFERROR(VLOOKUP(C296,TD!$B$33:$F$37,3,0)," ")</f>
        <v>4503</v>
      </c>
      <c r="R296" s="186">
        <f>IFERROR(VLOOKUP(C296,TD!$B$33:$F$37,4,0)," ")</f>
        <v>20240255</v>
      </c>
      <c r="S296" s="51" t="s">
        <v>181</v>
      </c>
      <c r="T296" s="186" t="str">
        <f>IFERROR(VLOOKUP(S296,TD!$J$34:$K$44,2,0)," ")</f>
        <v>Servicio de inspecciones técnicas realizadas</v>
      </c>
      <c r="U296" s="187" t="str">
        <f>CONCATENATE(S296,"-",T296)</f>
        <v>06-Servicio de inspecciones técnicas realizadas</v>
      </c>
      <c r="V296" s="51" t="s">
        <v>234</v>
      </c>
      <c r="W296" s="186" t="str">
        <f>IFERROR(VLOOKUP(V296,TD!$N$34:$O$46,2,0)," ")</f>
        <v>Servicio prevención y control de incendios</v>
      </c>
      <c r="X296" s="187" t="str">
        <f>CONCATENATE(V296,"_",W296)</f>
        <v>035_Servicio prevención y control de incendios</v>
      </c>
      <c r="Y296" s="187" t="str">
        <f>CONCATENATE(U296," ",X296)</f>
        <v>06-Servicio de inspecciones técnicas realizadas 035_Servicio prevención y control de incendios</v>
      </c>
      <c r="Z296" s="186" t="str">
        <f>CONCATENATE(P296,Q296,R296,S296,V296)</f>
        <v>O23011745032024025506035</v>
      </c>
      <c r="AA296" s="186" t="str">
        <f>IFERROR(VLOOKUP(Y296,TD!$K$47:$L$65,2,0)," ")</f>
        <v>PM/0131/0106/45030350255</v>
      </c>
      <c r="AB296" s="53" t="s">
        <v>138</v>
      </c>
      <c r="AC296" s="188" t="s">
        <v>204</v>
      </c>
    </row>
    <row r="297" spans="2:29" s="28" customFormat="1" ht="56" x14ac:dyDescent="0.35">
      <c r="B297" s="77">
        <v>20250273</v>
      </c>
      <c r="C297" s="50" t="s">
        <v>209</v>
      </c>
      <c r="D297" s="184" t="s">
        <v>167</v>
      </c>
      <c r="E297" s="51" t="s">
        <v>505</v>
      </c>
      <c r="F297" s="184" t="s">
        <v>373</v>
      </c>
      <c r="G297" s="184" t="s">
        <v>155</v>
      </c>
      <c r="H297" s="93">
        <v>80111600</v>
      </c>
      <c r="I297" s="185">
        <v>1</v>
      </c>
      <c r="J297" s="191">
        <v>10</v>
      </c>
      <c r="K297" s="126">
        <v>0</v>
      </c>
      <c r="L297" s="125">
        <v>42000000</v>
      </c>
      <c r="M297" s="184" t="s">
        <v>464</v>
      </c>
      <c r="N297" s="53" t="s">
        <v>508</v>
      </c>
      <c r="O297" s="51" t="s">
        <v>221</v>
      </c>
      <c r="P297" s="186" t="str">
        <f>IFERROR(VLOOKUP(C297,TD!$B$33:$F$37,2,0)," ")</f>
        <v>O230117</v>
      </c>
      <c r="Q297" s="186" t="str">
        <f>IFERROR(VLOOKUP(C297,TD!$B$33:$F$37,3,0)," ")</f>
        <v>4503</v>
      </c>
      <c r="R297" s="186">
        <f>IFERROR(VLOOKUP(C297,TD!$B$33:$F$37,4,0)," ")</f>
        <v>20240255</v>
      </c>
      <c r="S297" s="51" t="s">
        <v>181</v>
      </c>
      <c r="T297" s="186" t="str">
        <f>IFERROR(VLOOKUP(S297,TD!$J$34:$K$44,2,0)," ")</f>
        <v>Servicio de inspecciones técnicas realizadas</v>
      </c>
      <c r="U297" s="187" t="str">
        <f>CONCATENATE(S297,"-",T297)</f>
        <v>06-Servicio de inspecciones técnicas realizadas</v>
      </c>
      <c r="V297" s="51" t="s">
        <v>234</v>
      </c>
      <c r="W297" s="186" t="str">
        <f>IFERROR(VLOOKUP(V297,TD!$N$34:$O$46,2,0)," ")</f>
        <v>Servicio prevención y control de incendios</v>
      </c>
      <c r="X297" s="187" t="str">
        <f>CONCATENATE(V297,"_",W297)</f>
        <v>035_Servicio prevención y control de incendios</v>
      </c>
      <c r="Y297" s="187" t="str">
        <f>CONCATENATE(U297," ",X297)</f>
        <v>06-Servicio de inspecciones técnicas realizadas 035_Servicio prevención y control de incendios</v>
      </c>
      <c r="Z297" s="186" t="str">
        <f>CONCATENATE(P297,Q297,R297,S297,V297)</f>
        <v>O23011745032024025506035</v>
      </c>
      <c r="AA297" s="186" t="str">
        <f>IFERROR(VLOOKUP(Y297,TD!$K$47:$L$65,2,0)," ")</f>
        <v>PM/0131/0106/45030350255</v>
      </c>
      <c r="AB297" s="53" t="s">
        <v>138</v>
      </c>
      <c r="AC297" s="188" t="s">
        <v>204</v>
      </c>
    </row>
    <row r="298" spans="2:29" s="28" customFormat="1" ht="56" x14ac:dyDescent="0.35">
      <c r="B298" s="77">
        <v>20250274</v>
      </c>
      <c r="C298" s="50" t="s">
        <v>209</v>
      </c>
      <c r="D298" s="184" t="s">
        <v>167</v>
      </c>
      <c r="E298" s="51" t="s">
        <v>505</v>
      </c>
      <c r="F298" s="184" t="s">
        <v>373</v>
      </c>
      <c r="G298" s="184" t="s">
        <v>155</v>
      </c>
      <c r="H298" s="93">
        <v>80111600</v>
      </c>
      <c r="I298" s="185">
        <v>1</v>
      </c>
      <c r="J298" s="191">
        <v>10</v>
      </c>
      <c r="K298" s="126">
        <v>0</v>
      </c>
      <c r="L298" s="125">
        <v>42000000</v>
      </c>
      <c r="M298" s="184" t="s">
        <v>464</v>
      </c>
      <c r="N298" s="53" t="s">
        <v>508</v>
      </c>
      <c r="O298" s="51" t="s">
        <v>221</v>
      </c>
      <c r="P298" s="186" t="str">
        <f>IFERROR(VLOOKUP(C298,TD!$B$33:$F$37,2,0)," ")</f>
        <v>O230117</v>
      </c>
      <c r="Q298" s="186" t="str">
        <f>IFERROR(VLOOKUP(C298,TD!$B$33:$F$37,3,0)," ")</f>
        <v>4503</v>
      </c>
      <c r="R298" s="186">
        <f>IFERROR(VLOOKUP(C298,TD!$B$33:$F$37,4,0)," ")</f>
        <v>20240255</v>
      </c>
      <c r="S298" s="51" t="s">
        <v>181</v>
      </c>
      <c r="T298" s="186" t="str">
        <f>IFERROR(VLOOKUP(S298,TD!$J$34:$K$44,2,0)," ")</f>
        <v>Servicio de inspecciones técnicas realizadas</v>
      </c>
      <c r="U298" s="187" t="str">
        <f>CONCATENATE(S298,"-",T298)</f>
        <v>06-Servicio de inspecciones técnicas realizadas</v>
      </c>
      <c r="V298" s="51" t="s">
        <v>234</v>
      </c>
      <c r="W298" s="186" t="str">
        <f>IFERROR(VLOOKUP(V298,TD!$N$34:$O$46,2,0)," ")</f>
        <v>Servicio prevención y control de incendios</v>
      </c>
      <c r="X298" s="187" t="str">
        <f>CONCATENATE(V298,"_",W298)</f>
        <v>035_Servicio prevención y control de incendios</v>
      </c>
      <c r="Y298" s="187" t="str">
        <f>CONCATENATE(U298," ",X298)</f>
        <v>06-Servicio de inspecciones técnicas realizadas 035_Servicio prevención y control de incendios</v>
      </c>
      <c r="Z298" s="186" t="str">
        <f>CONCATENATE(P298,Q298,R298,S298,V298)</f>
        <v>O23011745032024025506035</v>
      </c>
      <c r="AA298" s="186" t="str">
        <f>IFERROR(VLOOKUP(Y298,TD!$K$47:$L$65,2,0)," ")</f>
        <v>PM/0131/0106/45030350255</v>
      </c>
      <c r="AB298" s="53" t="s">
        <v>138</v>
      </c>
      <c r="AC298" s="188" t="s">
        <v>204</v>
      </c>
    </row>
    <row r="299" spans="2:29" s="28" customFormat="1" ht="56" x14ac:dyDescent="0.35">
      <c r="B299" s="77">
        <v>20250275</v>
      </c>
      <c r="C299" s="50" t="s">
        <v>209</v>
      </c>
      <c r="D299" s="184" t="s">
        <v>167</v>
      </c>
      <c r="E299" s="51" t="s">
        <v>505</v>
      </c>
      <c r="F299" s="184" t="s">
        <v>372</v>
      </c>
      <c r="G299" s="184" t="s">
        <v>156</v>
      </c>
      <c r="H299" s="93">
        <v>80111600</v>
      </c>
      <c r="I299" s="185">
        <v>1</v>
      </c>
      <c r="J299" s="191">
        <v>10</v>
      </c>
      <c r="K299" s="126">
        <v>0</v>
      </c>
      <c r="L299" s="125">
        <f>44000000-4000000</f>
        <v>40000000</v>
      </c>
      <c r="M299" s="184" t="s">
        <v>464</v>
      </c>
      <c r="N299" s="53" t="s">
        <v>508</v>
      </c>
      <c r="O299" s="51" t="s">
        <v>221</v>
      </c>
      <c r="P299" s="186" t="str">
        <f>IFERROR(VLOOKUP(C299,TD!$B$33:$F$37,2,0)," ")</f>
        <v>O230117</v>
      </c>
      <c r="Q299" s="186" t="str">
        <f>IFERROR(VLOOKUP(C299,TD!$B$33:$F$37,3,0)," ")</f>
        <v>4503</v>
      </c>
      <c r="R299" s="186">
        <f>IFERROR(VLOOKUP(C299,TD!$B$33:$F$37,4,0)," ")</f>
        <v>20240255</v>
      </c>
      <c r="S299" s="51" t="s">
        <v>181</v>
      </c>
      <c r="T299" s="186" t="str">
        <f>IFERROR(VLOOKUP(S299,TD!$J$34:$K$44,2,0)," ")</f>
        <v>Servicio de inspecciones técnicas realizadas</v>
      </c>
      <c r="U299" s="187" t="str">
        <f>CONCATENATE(S299,"-",T299)</f>
        <v>06-Servicio de inspecciones técnicas realizadas</v>
      </c>
      <c r="V299" s="51" t="s">
        <v>234</v>
      </c>
      <c r="W299" s="186" t="str">
        <f>IFERROR(VLOOKUP(V299,TD!$N$34:$O$46,2,0)," ")</f>
        <v>Servicio prevención y control de incendios</v>
      </c>
      <c r="X299" s="187" t="str">
        <f>CONCATENATE(V299,"_",W299)</f>
        <v>035_Servicio prevención y control de incendios</v>
      </c>
      <c r="Y299" s="187" t="str">
        <f>CONCATENATE(U299," ",X299)</f>
        <v>06-Servicio de inspecciones técnicas realizadas 035_Servicio prevención y control de incendios</v>
      </c>
      <c r="Z299" s="186" t="str">
        <f>CONCATENATE(P299,Q299,R299,S299,V299)</f>
        <v>O23011745032024025506035</v>
      </c>
      <c r="AA299" s="186" t="str">
        <f>IFERROR(VLOOKUP(Y299,TD!$K$47:$L$65,2,0)," ")</f>
        <v>PM/0131/0106/45030350255</v>
      </c>
      <c r="AB299" s="53" t="s">
        <v>138</v>
      </c>
      <c r="AC299" s="188" t="s">
        <v>204</v>
      </c>
    </row>
    <row r="300" spans="2:29" s="28" customFormat="1" ht="56" x14ac:dyDescent="0.35">
      <c r="B300" s="77">
        <v>20250276</v>
      </c>
      <c r="C300" s="50" t="s">
        <v>209</v>
      </c>
      <c r="D300" s="184" t="s">
        <v>167</v>
      </c>
      <c r="E300" s="51" t="s">
        <v>505</v>
      </c>
      <c r="F300" s="184" t="s">
        <v>372</v>
      </c>
      <c r="G300" s="184" t="s">
        <v>156</v>
      </c>
      <c r="H300" s="93">
        <v>80111600</v>
      </c>
      <c r="I300" s="185">
        <v>1</v>
      </c>
      <c r="J300" s="191">
        <v>10</v>
      </c>
      <c r="K300" s="126">
        <v>0</v>
      </c>
      <c r="L300" s="125">
        <f>44000000-4000000</f>
        <v>40000000</v>
      </c>
      <c r="M300" s="184" t="s">
        <v>464</v>
      </c>
      <c r="N300" s="53" t="s">
        <v>508</v>
      </c>
      <c r="O300" s="51" t="s">
        <v>221</v>
      </c>
      <c r="P300" s="186" t="str">
        <f>IFERROR(VLOOKUP(C300,TD!$B$33:$F$37,2,0)," ")</f>
        <v>O230117</v>
      </c>
      <c r="Q300" s="186" t="str">
        <f>IFERROR(VLOOKUP(C300,TD!$B$33:$F$37,3,0)," ")</f>
        <v>4503</v>
      </c>
      <c r="R300" s="186">
        <f>IFERROR(VLOOKUP(C300,TD!$B$33:$F$37,4,0)," ")</f>
        <v>20240255</v>
      </c>
      <c r="S300" s="51" t="s">
        <v>181</v>
      </c>
      <c r="T300" s="186" t="str">
        <f>IFERROR(VLOOKUP(S300,TD!$J$34:$K$44,2,0)," ")</f>
        <v>Servicio de inspecciones técnicas realizadas</v>
      </c>
      <c r="U300" s="187" t="str">
        <f>CONCATENATE(S300,"-",T300)</f>
        <v>06-Servicio de inspecciones técnicas realizadas</v>
      </c>
      <c r="V300" s="51" t="s">
        <v>234</v>
      </c>
      <c r="W300" s="186" t="str">
        <f>IFERROR(VLOOKUP(V300,TD!$N$34:$O$46,2,0)," ")</f>
        <v>Servicio prevención y control de incendios</v>
      </c>
      <c r="X300" s="187" t="str">
        <f>CONCATENATE(V300,"_",W300)</f>
        <v>035_Servicio prevención y control de incendios</v>
      </c>
      <c r="Y300" s="187" t="str">
        <f>CONCATENATE(U300," ",X300)</f>
        <v>06-Servicio de inspecciones técnicas realizadas 035_Servicio prevención y control de incendios</v>
      </c>
      <c r="Z300" s="186" t="str">
        <f>CONCATENATE(P300,Q300,R300,S300,V300)</f>
        <v>O23011745032024025506035</v>
      </c>
      <c r="AA300" s="186" t="str">
        <f>IFERROR(VLOOKUP(Y300,TD!$K$47:$L$65,2,0)," ")</f>
        <v>PM/0131/0106/45030350255</v>
      </c>
      <c r="AB300" s="53" t="s">
        <v>138</v>
      </c>
      <c r="AC300" s="188" t="s">
        <v>204</v>
      </c>
    </row>
    <row r="301" spans="2:29" s="28" customFormat="1" ht="70" x14ac:dyDescent="0.35">
      <c r="B301" s="77">
        <v>20250277</v>
      </c>
      <c r="C301" s="50" t="s">
        <v>209</v>
      </c>
      <c r="D301" s="184" t="s">
        <v>167</v>
      </c>
      <c r="E301" s="51" t="s">
        <v>505</v>
      </c>
      <c r="F301" s="184" t="s">
        <v>372</v>
      </c>
      <c r="G301" s="184" t="s">
        <v>156</v>
      </c>
      <c r="H301" s="93">
        <v>80111600</v>
      </c>
      <c r="I301" s="185">
        <v>1</v>
      </c>
      <c r="J301" s="191">
        <v>10</v>
      </c>
      <c r="K301" s="126">
        <v>0</v>
      </c>
      <c r="L301" s="125">
        <f>44000000-4000000</f>
        <v>40000000</v>
      </c>
      <c r="M301" s="184" t="s">
        <v>464</v>
      </c>
      <c r="N301" s="53" t="s">
        <v>508</v>
      </c>
      <c r="O301" s="51" t="s">
        <v>221</v>
      </c>
      <c r="P301" s="186" t="str">
        <f>IFERROR(VLOOKUP(C301,TD!$B$33:$F$37,2,0)," ")</f>
        <v>O230117</v>
      </c>
      <c r="Q301" s="186" t="str">
        <f>IFERROR(VLOOKUP(C301,TD!$B$33:$F$37,3,0)," ")</f>
        <v>4503</v>
      </c>
      <c r="R301" s="186">
        <f>IFERROR(VLOOKUP(C301,TD!$B$33:$F$37,4,0)," ")</f>
        <v>20240255</v>
      </c>
      <c r="S301" s="51" t="s">
        <v>181</v>
      </c>
      <c r="T301" s="186" t="str">
        <f>IFERROR(VLOOKUP(S301,TD!$J$34:$K$44,2,0)," ")</f>
        <v>Servicio de inspecciones técnicas realizadas</v>
      </c>
      <c r="U301" s="187" t="str">
        <f>CONCATENATE(S301,"-",T301)</f>
        <v>06-Servicio de inspecciones técnicas realizadas</v>
      </c>
      <c r="V301" s="51" t="s">
        <v>234</v>
      </c>
      <c r="W301" s="186" t="str">
        <f>IFERROR(VLOOKUP(V301,TD!$N$34:$O$46,2,0)," ")</f>
        <v>Servicio prevención y control de incendios</v>
      </c>
      <c r="X301" s="187" t="str">
        <f>CONCATENATE(V301,"_",W301)</f>
        <v>035_Servicio prevención y control de incendios</v>
      </c>
      <c r="Y301" s="187" t="str">
        <f>CONCATENATE(U301," ",X301)</f>
        <v>06-Servicio de inspecciones técnicas realizadas 035_Servicio prevención y control de incendios</v>
      </c>
      <c r="Z301" s="186" t="str">
        <f>CONCATENATE(P301,Q301,R301,S301,V301)</f>
        <v>O23011745032024025506035</v>
      </c>
      <c r="AA301" s="186" t="str">
        <f>IFERROR(VLOOKUP(Y301,TD!$K$47:$L$65,2,0)," ")</f>
        <v>PM/0131/0106/45030350255</v>
      </c>
      <c r="AB301" s="53" t="s">
        <v>138</v>
      </c>
      <c r="AC301" s="188" t="s">
        <v>204</v>
      </c>
    </row>
    <row r="302" spans="2:29" s="28" customFormat="1" ht="70" x14ac:dyDescent="0.35">
      <c r="B302" s="77">
        <v>20250278</v>
      </c>
      <c r="C302" s="50" t="s">
        <v>209</v>
      </c>
      <c r="D302" s="184" t="s">
        <v>167</v>
      </c>
      <c r="E302" s="51" t="s">
        <v>505</v>
      </c>
      <c r="F302" s="184" t="s">
        <v>372</v>
      </c>
      <c r="G302" s="184" t="s">
        <v>156</v>
      </c>
      <c r="H302" s="93">
        <v>80111600</v>
      </c>
      <c r="I302" s="185">
        <v>1</v>
      </c>
      <c r="J302" s="191">
        <v>10</v>
      </c>
      <c r="K302" s="126">
        <v>0</v>
      </c>
      <c r="L302" s="125">
        <f>44000000-4000000</f>
        <v>40000000</v>
      </c>
      <c r="M302" s="184" t="s">
        <v>464</v>
      </c>
      <c r="N302" s="53" t="s">
        <v>508</v>
      </c>
      <c r="O302" s="51" t="s">
        <v>221</v>
      </c>
      <c r="P302" s="186" t="str">
        <f>IFERROR(VLOOKUP(C302,TD!$B$33:$F$37,2,0)," ")</f>
        <v>O230117</v>
      </c>
      <c r="Q302" s="186" t="str">
        <f>IFERROR(VLOOKUP(C302,TD!$B$33:$F$37,3,0)," ")</f>
        <v>4503</v>
      </c>
      <c r="R302" s="186">
        <f>IFERROR(VLOOKUP(C302,TD!$B$33:$F$37,4,0)," ")</f>
        <v>20240255</v>
      </c>
      <c r="S302" s="51" t="s">
        <v>181</v>
      </c>
      <c r="T302" s="186" t="str">
        <f>IFERROR(VLOOKUP(S302,TD!$J$34:$K$44,2,0)," ")</f>
        <v>Servicio de inspecciones técnicas realizadas</v>
      </c>
      <c r="U302" s="187" t="str">
        <f>CONCATENATE(S302,"-",T302)</f>
        <v>06-Servicio de inspecciones técnicas realizadas</v>
      </c>
      <c r="V302" s="51" t="s">
        <v>234</v>
      </c>
      <c r="W302" s="186" t="str">
        <f>IFERROR(VLOOKUP(V302,TD!$N$34:$O$46,2,0)," ")</f>
        <v>Servicio prevención y control de incendios</v>
      </c>
      <c r="X302" s="187" t="str">
        <f>CONCATENATE(V302,"_",W302)</f>
        <v>035_Servicio prevención y control de incendios</v>
      </c>
      <c r="Y302" s="187" t="str">
        <f>CONCATENATE(U302," ",X302)</f>
        <v>06-Servicio de inspecciones técnicas realizadas 035_Servicio prevención y control de incendios</v>
      </c>
      <c r="Z302" s="186" t="str">
        <f>CONCATENATE(P302,Q302,R302,S302,V302)</f>
        <v>O23011745032024025506035</v>
      </c>
      <c r="AA302" s="186" t="str">
        <f>IFERROR(VLOOKUP(Y302,TD!$K$47:$L$65,2,0)," ")</f>
        <v>PM/0131/0106/45030350255</v>
      </c>
      <c r="AB302" s="53" t="s">
        <v>138</v>
      </c>
      <c r="AC302" s="188" t="s">
        <v>204</v>
      </c>
    </row>
    <row r="303" spans="2:29" s="28" customFormat="1" ht="70" x14ac:dyDescent="0.35">
      <c r="B303" s="77">
        <v>20250279</v>
      </c>
      <c r="C303" s="50" t="s">
        <v>209</v>
      </c>
      <c r="D303" s="184" t="s">
        <v>167</v>
      </c>
      <c r="E303" s="51" t="s">
        <v>505</v>
      </c>
      <c r="F303" s="184" t="s">
        <v>372</v>
      </c>
      <c r="G303" s="184" t="s">
        <v>156</v>
      </c>
      <c r="H303" s="93">
        <v>80111600</v>
      </c>
      <c r="I303" s="185">
        <v>1</v>
      </c>
      <c r="J303" s="191">
        <v>10</v>
      </c>
      <c r="K303" s="126">
        <v>0</v>
      </c>
      <c r="L303" s="125">
        <f>44000000-4000000</f>
        <v>40000000</v>
      </c>
      <c r="M303" s="184" t="s">
        <v>464</v>
      </c>
      <c r="N303" s="53" t="s">
        <v>508</v>
      </c>
      <c r="O303" s="51" t="s">
        <v>221</v>
      </c>
      <c r="P303" s="186" t="str">
        <f>IFERROR(VLOOKUP(C303,TD!$B$33:$F$37,2,0)," ")</f>
        <v>O230117</v>
      </c>
      <c r="Q303" s="186" t="str">
        <f>IFERROR(VLOOKUP(C303,TD!$B$33:$F$37,3,0)," ")</f>
        <v>4503</v>
      </c>
      <c r="R303" s="186">
        <f>IFERROR(VLOOKUP(C303,TD!$B$33:$F$37,4,0)," ")</f>
        <v>20240255</v>
      </c>
      <c r="S303" s="51" t="s">
        <v>181</v>
      </c>
      <c r="T303" s="186" t="str">
        <f>IFERROR(VLOOKUP(S303,TD!$J$34:$K$44,2,0)," ")</f>
        <v>Servicio de inspecciones técnicas realizadas</v>
      </c>
      <c r="U303" s="187" t="str">
        <f>CONCATENATE(S303,"-",T303)</f>
        <v>06-Servicio de inspecciones técnicas realizadas</v>
      </c>
      <c r="V303" s="51" t="s">
        <v>234</v>
      </c>
      <c r="W303" s="186" t="str">
        <f>IFERROR(VLOOKUP(V303,TD!$N$34:$O$46,2,0)," ")</f>
        <v>Servicio prevención y control de incendios</v>
      </c>
      <c r="X303" s="187" t="str">
        <f>CONCATENATE(V303,"_",W303)</f>
        <v>035_Servicio prevención y control de incendios</v>
      </c>
      <c r="Y303" s="187" t="str">
        <f>CONCATENATE(U303," ",X303)</f>
        <v>06-Servicio de inspecciones técnicas realizadas 035_Servicio prevención y control de incendios</v>
      </c>
      <c r="Z303" s="186" t="str">
        <f>CONCATENATE(P303,Q303,R303,S303,V303)</f>
        <v>O23011745032024025506035</v>
      </c>
      <c r="AA303" s="186" t="str">
        <f>IFERROR(VLOOKUP(Y303,TD!$K$47:$L$65,2,0)," ")</f>
        <v>PM/0131/0106/45030350255</v>
      </c>
      <c r="AB303" s="53" t="s">
        <v>138</v>
      </c>
      <c r="AC303" s="188" t="s">
        <v>204</v>
      </c>
    </row>
    <row r="304" spans="2:29" s="28" customFormat="1" ht="56" x14ac:dyDescent="0.35">
      <c r="B304" s="77">
        <v>20250280</v>
      </c>
      <c r="C304" s="50" t="s">
        <v>209</v>
      </c>
      <c r="D304" s="184" t="s">
        <v>167</v>
      </c>
      <c r="E304" s="51" t="s">
        <v>505</v>
      </c>
      <c r="F304" s="184" t="s">
        <v>372</v>
      </c>
      <c r="G304" s="184" t="s">
        <v>156</v>
      </c>
      <c r="H304" s="93">
        <v>80111600</v>
      </c>
      <c r="I304" s="185">
        <v>1</v>
      </c>
      <c r="J304" s="191">
        <v>10</v>
      </c>
      <c r="K304" s="126">
        <v>0</v>
      </c>
      <c r="L304" s="125">
        <v>5466667</v>
      </c>
      <c r="M304" s="184" t="s">
        <v>464</v>
      </c>
      <c r="N304" s="53" t="s">
        <v>508</v>
      </c>
      <c r="O304" s="51" t="s">
        <v>221</v>
      </c>
      <c r="P304" s="186" t="str">
        <f>IFERROR(VLOOKUP(C304,TD!$B$33:$F$37,2,0)," ")</f>
        <v>O230117</v>
      </c>
      <c r="Q304" s="186" t="str">
        <f>IFERROR(VLOOKUP(C304,TD!$B$33:$F$37,3,0)," ")</f>
        <v>4503</v>
      </c>
      <c r="R304" s="186">
        <f>IFERROR(VLOOKUP(C304,TD!$B$33:$F$37,4,0)," ")</f>
        <v>20240255</v>
      </c>
      <c r="S304" s="51" t="s">
        <v>181</v>
      </c>
      <c r="T304" s="186" t="str">
        <f>IFERROR(VLOOKUP(S304,TD!$J$34:$K$44,2,0)," ")</f>
        <v>Servicio de inspecciones técnicas realizadas</v>
      </c>
      <c r="U304" s="187" t="str">
        <f>CONCATENATE(S304,"-",T304)</f>
        <v>06-Servicio de inspecciones técnicas realizadas</v>
      </c>
      <c r="V304" s="51" t="s">
        <v>234</v>
      </c>
      <c r="W304" s="186" t="str">
        <f>IFERROR(VLOOKUP(V304,TD!$N$34:$O$46,2,0)," ")</f>
        <v>Servicio prevención y control de incendios</v>
      </c>
      <c r="X304" s="187" t="str">
        <f>CONCATENATE(V304,"_",W304)</f>
        <v>035_Servicio prevención y control de incendios</v>
      </c>
      <c r="Y304" s="187" t="str">
        <f>CONCATENATE(U304," ",X304)</f>
        <v>06-Servicio de inspecciones técnicas realizadas 035_Servicio prevención y control de incendios</v>
      </c>
      <c r="Z304" s="186" t="str">
        <f>CONCATENATE(P304,Q304,R304,S304,V304)</f>
        <v>O23011745032024025506035</v>
      </c>
      <c r="AA304" s="186" t="str">
        <f>IFERROR(VLOOKUP(Y304,TD!$K$47:$L$65,2,0)," ")</f>
        <v>PM/0131/0106/45030350255</v>
      </c>
      <c r="AB304" s="53" t="s">
        <v>138</v>
      </c>
      <c r="AC304" s="188" t="s">
        <v>204</v>
      </c>
    </row>
    <row r="305" spans="2:29" s="28" customFormat="1" ht="70" x14ac:dyDescent="0.35">
      <c r="B305" s="77">
        <v>20250281</v>
      </c>
      <c r="C305" s="50" t="s">
        <v>209</v>
      </c>
      <c r="D305" s="184" t="s">
        <v>167</v>
      </c>
      <c r="E305" s="51" t="s">
        <v>505</v>
      </c>
      <c r="F305" s="184" t="s">
        <v>372</v>
      </c>
      <c r="G305" s="184" t="s">
        <v>156</v>
      </c>
      <c r="H305" s="93">
        <v>80111600</v>
      </c>
      <c r="I305" s="185">
        <v>1</v>
      </c>
      <c r="J305" s="191">
        <v>10</v>
      </c>
      <c r="K305" s="126">
        <v>0</v>
      </c>
      <c r="L305" s="125">
        <f>44000000-4000000</f>
        <v>40000000</v>
      </c>
      <c r="M305" s="184" t="s">
        <v>464</v>
      </c>
      <c r="N305" s="53" t="s">
        <v>508</v>
      </c>
      <c r="O305" s="51" t="s">
        <v>221</v>
      </c>
      <c r="P305" s="186" t="str">
        <f>IFERROR(VLOOKUP(C305,TD!$B$33:$F$37,2,0)," ")</f>
        <v>O230117</v>
      </c>
      <c r="Q305" s="186" t="str">
        <f>IFERROR(VLOOKUP(C305,TD!$B$33:$F$37,3,0)," ")</f>
        <v>4503</v>
      </c>
      <c r="R305" s="186">
        <f>IFERROR(VLOOKUP(C305,TD!$B$33:$F$37,4,0)," ")</f>
        <v>20240255</v>
      </c>
      <c r="S305" s="51" t="s">
        <v>181</v>
      </c>
      <c r="T305" s="186" t="str">
        <f>IFERROR(VLOOKUP(S305,TD!$J$34:$K$44,2,0)," ")</f>
        <v>Servicio de inspecciones técnicas realizadas</v>
      </c>
      <c r="U305" s="187" t="str">
        <f>CONCATENATE(S305,"-",T305)</f>
        <v>06-Servicio de inspecciones técnicas realizadas</v>
      </c>
      <c r="V305" s="51" t="s">
        <v>234</v>
      </c>
      <c r="W305" s="186" t="str">
        <f>IFERROR(VLOOKUP(V305,TD!$N$34:$O$46,2,0)," ")</f>
        <v>Servicio prevención y control de incendios</v>
      </c>
      <c r="X305" s="187" t="str">
        <f>CONCATENATE(V305,"_",W305)</f>
        <v>035_Servicio prevención y control de incendios</v>
      </c>
      <c r="Y305" s="187" t="str">
        <f>CONCATENATE(U305," ",X305)</f>
        <v>06-Servicio de inspecciones técnicas realizadas 035_Servicio prevención y control de incendios</v>
      </c>
      <c r="Z305" s="186" t="str">
        <f>CONCATENATE(P305,Q305,R305,S305,V305)</f>
        <v>O23011745032024025506035</v>
      </c>
      <c r="AA305" s="186" t="str">
        <f>IFERROR(VLOOKUP(Y305,TD!$K$47:$L$65,2,0)," ")</f>
        <v>PM/0131/0106/45030350255</v>
      </c>
      <c r="AB305" s="53" t="s">
        <v>138</v>
      </c>
      <c r="AC305" s="188" t="s">
        <v>204</v>
      </c>
    </row>
    <row r="306" spans="2:29" s="28" customFormat="1" ht="56" x14ac:dyDescent="0.35">
      <c r="B306" s="77">
        <v>20250282</v>
      </c>
      <c r="C306" s="50" t="s">
        <v>209</v>
      </c>
      <c r="D306" s="184" t="s">
        <v>167</v>
      </c>
      <c r="E306" s="51" t="s">
        <v>505</v>
      </c>
      <c r="F306" s="184" t="s">
        <v>372</v>
      </c>
      <c r="G306" s="184" t="s">
        <v>156</v>
      </c>
      <c r="H306" s="93">
        <v>80111600</v>
      </c>
      <c r="I306" s="185">
        <v>1</v>
      </c>
      <c r="J306" s="191">
        <v>10</v>
      </c>
      <c r="K306" s="126">
        <v>0</v>
      </c>
      <c r="L306" s="125">
        <f>44000000-4000000</f>
        <v>40000000</v>
      </c>
      <c r="M306" s="184" t="s">
        <v>464</v>
      </c>
      <c r="N306" s="53" t="s">
        <v>508</v>
      </c>
      <c r="O306" s="51" t="s">
        <v>221</v>
      </c>
      <c r="P306" s="186" t="str">
        <f>IFERROR(VLOOKUP(C306,TD!$B$33:$F$37,2,0)," ")</f>
        <v>O230117</v>
      </c>
      <c r="Q306" s="186" t="str">
        <f>IFERROR(VLOOKUP(C306,TD!$B$33:$F$37,3,0)," ")</f>
        <v>4503</v>
      </c>
      <c r="R306" s="186">
        <f>IFERROR(VLOOKUP(C306,TD!$B$33:$F$37,4,0)," ")</f>
        <v>20240255</v>
      </c>
      <c r="S306" s="51" t="s">
        <v>181</v>
      </c>
      <c r="T306" s="186" t="str">
        <f>IFERROR(VLOOKUP(S306,TD!$J$34:$K$44,2,0)," ")</f>
        <v>Servicio de inspecciones técnicas realizadas</v>
      </c>
      <c r="U306" s="187" t="str">
        <f>CONCATENATE(S306,"-",T306)</f>
        <v>06-Servicio de inspecciones técnicas realizadas</v>
      </c>
      <c r="V306" s="51" t="s">
        <v>234</v>
      </c>
      <c r="W306" s="186" t="str">
        <f>IFERROR(VLOOKUP(V306,TD!$N$34:$O$46,2,0)," ")</f>
        <v>Servicio prevención y control de incendios</v>
      </c>
      <c r="X306" s="187" t="str">
        <f>CONCATENATE(V306,"_",W306)</f>
        <v>035_Servicio prevención y control de incendios</v>
      </c>
      <c r="Y306" s="187" t="str">
        <f>CONCATENATE(U306," ",X306)</f>
        <v>06-Servicio de inspecciones técnicas realizadas 035_Servicio prevención y control de incendios</v>
      </c>
      <c r="Z306" s="186" t="str">
        <f>CONCATENATE(P306,Q306,R306,S306,V306)</f>
        <v>O23011745032024025506035</v>
      </c>
      <c r="AA306" s="186" t="str">
        <f>IFERROR(VLOOKUP(Y306,TD!$K$47:$L$65,2,0)," ")</f>
        <v>PM/0131/0106/45030350255</v>
      </c>
      <c r="AB306" s="53" t="s">
        <v>138</v>
      </c>
      <c r="AC306" s="188" t="s">
        <v>204</v>
      </c>
    </row>
    <row r="307" spans="2:29" s="28" customFormat="1" ht="56" x14ac:dyDescent="0.35">
      <c r="B307" s="77">
        <v>20250283</v>
      </c>
      <c r="C307" s="50" t="s">
        <v>209</v>
      </c>
      <c r="D307" s="184" t="s">
        <v>167</v>
      </c>
      <c r="E307" s="51" t="s">
        <v>505</v>
      </c>
      <c r="F307" s="184" t="s">
        <v>372</v>
      </c>
      <c r="G307" s="184" t="s">
        <v>156</v>
      </c>
      <c r="H307" s="93">
        <v>80111600</v>
      </c>
      <c r="I307" s="185">
        <v>1</v>
      </c>
      <c r="J307" s="191">
        <v>10</v>
      </c>
      <c r="K307" s="126">
        <v>0</v>
      </c>
      <c r="L307" s="125">
        <f>44000000-4000000</f>
        <v>40000000</v>
      </c>
      <c r="M307" s="184" t="s">
        <v>464</v>
      </c>
      <c r="N307" s="53" t="s">
        <v>508</v>
      </c>
      <c r="O307" s="51" t="s">
        <v>221</v>
      </c>
      <c r="P307" s="186" t="str">
        <f>IFERROR(VLOOKUP(C307,TD!$B$33:$F$37,2,0)," ")</f>
        <v>O230117</v>
      </c>
      <c r="Q307" s="186" t="str">
        <f>IFERROR(VLOOKUP(C307,TD!$B$33:$F$37,3,0)," ")</f>
        <v>4503</v>
      </c>
      <c r="R307" s="186">
        <f>IFERROR(VLOOKUP(C307,TD!$B$33:$F$37,4,0)," ")</f>
        <v>20240255</v>
      </c>
      <c r="S307" s="51" t="s">
        <v>181</v>
      </c>
      <c r="T307" s="186" t="str">
        <f>IFERROR(VLOOKUP(S307,TD!$J$34:$K$44,2,0)," ")</f>
        <v>Servicio de inspecciones técnicas realizadas</v>
      </c>
      <c r="U307" s="187" t="str">
        <f>CONCATENATE(S307,"-",T307)</f>
        <v>06-Servicio de inspecciones técnicas realizadas</v>
      </c>
      <c r="V307" s="51" t="s">
        <v>234</v>
      </c>
      <c r="W307" s="186" t="str">
        <f>IFERROR(VLOOKUP(V307,TD!$N$34:$O$46,2,0)," ")</f>
        <v>Servicio prevención y control de incendios</v>
      </c>
      <c r="X307" s="187" t="str">
        <f>CONCATENATE(V307,"_",W307)</f>
        <v>035_Servicio prevención y control de incendios</v>
      </c>
      <c r="Y307" s="187" t="str">
        <f>CONCATENATE(U307," ",X307)</f>
        <v>06-Servicio de inspecciones técnicas realizadas 035_Servicio prevención y control de incendios</v>
      </c>
      <c r="Z307" s="186" t="str">
        <f>CONCATENATE(P307,Q307,R307,S307,V307)</f>
        <v>O23011745032024025506035</v>
      </c>
      <c r="AA307" s="186" t="str">
        <f>IFERROR(VLOOKUP(Y307,TD!$K$47:$L$65,2,0)," ")</f>
        <v>PM/0131/0106/45030350255</v>
      </c>
      <c r="AB307" s="53" t="s">
        <v>138</v>
      </c>
      <c r="AC307" s="188" t="s">
        <v>204</v>
      </c>
    </row>
    <row r="308" spans="2:29" s="28" customFormat="1" ht="70" x14ac:dyDescent="0.35">
      <c r="B308" s="77">
        <v>20250284</v>
      </c>
      <c r="C308" s="50" t="s">
        <v>209</v>
      </c>
      <c r="D308" s="184" t="s">
        <v>167</v>
      </c>
      <c r="E308" s="51" t="s">
        <v>505</v>
      </c>
      <c r="F308" s="184" t="s">
        <v>372</v>
      </c>
      <c r="G308" s="184" t="s">
        <v>156</v>
      </c>
      <c r="H308" s="93">
        <v>80111600</v>
      </c>
      <c r="I308" s="185">
        <v>1</v>
      </c>
      <c r="J308" s="191">
        <v>10</v>
      </c>
      <c r="K308" s="126">
        <v>0</v>
      </c>
      <c r="L308" s="125">
        <v>28000000</v>
      </c>
      <c r="M308" s="184" t="s">
        <v>464</v>
      </c>
      <c r="N308" s="53" t="s">
        <v>508</v>
      </c>
      <c r="O308" s="51" t="s">
        <v>221</v>
      </c>
      <c r="P308" s="186" t="str">
        <f>IFERROR(VLOOKUP(C308,TD!$B$33:$F$37,2,0)," ")</f>
        <v>O230117</v>
      </c>
      <c r="Q308" s="186" t="str">
        <f>IFERROR(VLOOKUP(C308,TD!$B$33:$F$37,3,0)," ")</f>
        <v>4503</v>
      </c>
      <c r="R308" s="186">
        <f>IFERROR(VLOOKUP(C308,TD!$B$33:$F$37,4,0)," ")</f>
        <v>20240255</v>
      </c>
      <c r="S308" s="51" t="s">
        <v>181</v>
      </c>
      <c r="T308" s="186" t="str">
        <f>IFERROR(VLOOKUP(S308,TD!$J$34:$K$44,2,0)," ")</f>
        <v>Servicio de inspecciones técnicas realizadas</v>
      </c>
      <c r="U308" s="187" t="str">
        <f>CONCATENATE(S308,"-",T308)</f>
        <v>06-Servicio de inspecciones técnicas realizadas</v>
      </c>
      <c r="V308" s="51" t="s">
        <v>234</v>
      </c>
      <c r="W308" s="186" t="str">
        <f>IFERROR(VLOOKUP(V308,TD!$N$34:$O$46,2,0)," ")</f>
        <v>Servicio prevención y control de incendios</v>
      </c>
      <c r="X308" s="187" t="str">
        <f>CONCATENATE(V308,"_",W308)</f>
        <v>035_Servicio prevención y control de incendios</v>
      </c>
      <c r="Y308" s="187" t="str">
        <f>CONCATENATE(U308," ",X308)</f>
        <v>06-Servicio de inspecciones técnicas realizadas 035_Servicio prevención y control de incendios</v>
      </c>
      <c r="Z308" s="186" t="str">
        <f>CONCATENATE(P308,Q308,R308,S308,V308)</f>
        <v>O23011745032024025506035</v>
      </c>
      <c r="AA308" s="186" t="str">
        <f>IFERROR(VLOOKUP(Y308,TD!$K$47:$L$65,2,0)," ")</f>
        <v>PM/0131/0106/45030350255</v>
      </c>
      <c r="AB308" s="53" t="s">
        <v>138</v>
      </c>
      <c r="AC308" s="188" t="s">
        <v>204</v>
      </c>
    </row>
    <row r="309" spans="2:29" s="28" customFormat="1" ht="70" x14ac:dyDescent="0.35">
      <c r="B309" s="77">
        <v>20250285</v>
      </c>
      <c r="C309" s="50" t="s">
        <v>209</v>
      </c>
      <c r="D309" s="184" t="s">
        <v>167</v>
      </c>
      <c r="E309" s="51" t="s">
        <v>505</v>
      </c>
      <c r="F309" s="184" t="s">
        <v>372</v>
      </c>
      <c r="G309" s="184" t="s">
        <v>156</v>
      </c>
      <c r="H309" s="93">
        <v>80111600</v>
      </c>
      <c r="I309" s="185">
        <v>1</v>
      </c>
      <c r="J309" s="191">
        <v>10</v>
      </c>
      <c r="K309" s="126">
        <v>0</v>
      </c>
      <c r="L309" s="125">
        <v>28000000</v>
      </c>
      <c r="M309" s="184" t="s">
        <v>464</v>
      </c>
      <c r="N309" s="53" t="s">
        <v>508</v>
      </c>
      <c r="O309" s="51" t="s">
        <v>221</v>
      </c>
      <c r="P309" s="186" t="str">
        <f>IFERROR(VLOOKUP(C309,TD!$B$33:$F$37,2,0)," ")</f>
        <v>O230117</v>
      </c>
      <c r="Q309" s="186" t="str">
        <f>IFERROR(VLOOKUP(C309,TD!$B$33:$F$37,3,0)," ")</f>
        <v>4503</v>
      </c>
      <c r="R309" s="186">
        <f>IFERROR(VLOOKUP(C309,TD!$B$33:$F$37,4,0)," ")</f>
        <v>20240255</v>
      </c>
      <c r="S309" s="51" t="s">
        <v>181</v>
      </c>
      <c r="T309" s="186" t="str">
        <f>IFERROR(VLOOKUP(S309,TD!$J$34:$K$44,2,0)," ")</f>
        <v>Servicio de inspecciones técnicas realizadas</v>
      </c>
      <c r="U309" s="187" t="str">
        <f>CONCATENATE(S309,"-",T309)</f>
        <v>06-Servicio de inspecciones técnicas realizadas</v>
      </c>
      <c r="V309" s="51" t="s">
        <v>234</v>
      </c>
      <c r="W309" s="186" t="str">
        <f>IFERROR(VLOOKUP(V309,TD!$N$34:$O$46,2,0)," ")</f>
        <v>Servicio prevención y control de incendios</v>
      </c>
      <c r="X309" s="187" t="str">
        <f>CONCATENATE(V309,"_",W309)</f>
        <v>035_Servicio prevención y control de incendios</v>
      </c>
      <c r="Y309" s="187" t="str">
        <f>CONCATENATE(U309," ",X309)</f>
        <v>06-Servicio de inspecciones técnicas realizadas 035_Servicio prevención y control de incendios</v>
      </c>
      <c r="Z309" s="186" t="str">
        <f>CONCATENATE(P309,Q309,R309,S309,V309)</f>
        <v>O23011745032024025506035</v>
      </c>
      <c r="AA309" s="186" t="str">
        <f>IFERROR(VLOOKUP(Y309,TD!$K$47:$L$65,2,0)," ")</f>
        <v>PM/0131/0106/45030350255</v>
      </c>
      <c r="AB309" s="53" t="s">
        <v>138</v>
      </c>
      <c r="AC309" s="188" t="s">
        <v>204</v>
      </c>
    </row>
    <row r="310" spans="2:29" s="28" customFormat="1" ht="56" x14ac:dyDescent="0.35">
      <c r="B310" s="77">
        <v>20250286</v>
      </c>
      <c r="C310" s="50" t="s">
        <v>209</v>
      </c>
      <c r="D310" s="184" t="s">
        <v>167</v>
      </c>
      <c r="E310" s="51" t="s">
        <v>505</v>
      </c>
      <c r="F310" s="184" t="s">
        <v>372</v>
      </c>
      <c r="G310" s="184" t="s">
        <v>156</v>
      </c>
      <c r="H310" s="93">
        <v>80111600</v>
      </c>
      <c r="I310" s="185">
        <v>1</v>
      </c>
      <c r="J310" s="191">
        <v>10</v>
      </c>
      <c r="K310" s="126">
        <v>0</v>
      </c>
      <c r="L310" s="125">
        <v>28000000</v>
      </c>
      <c r="M310" s="184" t="s">
        <v>464</v>
      </c>
      <c r="N310" s="53" t="s">
        <v>508</v>
      </c>
      <c r="O310" s="51" t="s">
        <v>221</v>
      </c>
      <c r="P310" s="186" t="str">
        <f>IFERROR(VLOOKUP(C310,TD!$B$33:$F$37,2,0)," ")</f>
        <v>O230117</v>
      </c>
      <c r="Q310" s="186" t="str">
        <f>IFERROR(VLOOKUP(C310,TD!$B$33:$F$37,3,0)," ")</f>
        <v>4503</v>
      </c>
      <c r="R310" s="186">
        <f>IFERROR(VLOOKUP(C310,TD!$B$33:$F$37,4,0)," ")</f>
        <v>20240255</v>
      </c>
      <c r="S310" s="51" t="s">
        <v>181</v>
      </c>
      <c r="T310" s="186" t="str">
        <f>IFERROR(VLOOKUP(S310,TD!$J$34:$K$44,2,0)," ")</f>
        <v>Servicio de inspecciones técnicas realizadas</v>
      </c>
      <c r="U310" s="187" t="str">
        <f>CONCATENATE(S310,"-",T310)</f>
        <v>06-Servicio de inspecciones técnicas realizadas</v>
      </c>
      <c r="V310" s="51" t="s">
        <v>234</v>
      </c>
      <c r="W310" s="186" t="str">
        <f>IFERROR(VLOOKUP(V310,TD!$N$34:$O$46,2,0)," ")</f>
        <v>Servicio prevención y control de incendios</v>
      </c>
      <c r="X310" s="187" t="str">
        <f>CONCATENATE(V310,"_",W310)</f>
        <v>035_Servicio prevención y control de incendios</v>
      </c>
      <c r="Y310" s="187" t="str">
        <f>CONCATENATE(U310," ",X310)</f>
        <v>06-Servicio de inspecciones técnicas realizadas 035_Servicio prevención y control de incendios</v>
      </c>
      <c r="Z310" s="186" t="str">
        <f>CONCATENATE(P310,Q310,R310,S310,V310)</f>
        <v>O23011745032024025506035</v>
      </c>
      <c r="AA310" s="186" t="str">
        <f>IFERROR(VLOOKUP(Y310,TD!$K$47:$L$65,2,0)," ")</f>
        <v>PM/0131/0106/45030350255</v>
      </c>
      <c r="AB310" s="53" t="s">
        <v>138</v>
      </c>
      <c r="AC310" s="188" t="s">
        <v>204</v>
      </c>
    </row>
    <row r="311" spans="2:29" s="28" customFormat="1" ht="56" x14ac:dyDescent="0.35">
      <c r="B311" s="77">
        <v>20250288</v>
      </c>
      <c r="C311" s="50" t="s">
        <v>209</v>
      </c>
      <c r="D311" s="184" t="s">
        <v>167</v>
      </c>
      <c r="E311" s="51" t="s">
        <v>505</v>
      </c>
      <c r="F311" s="184" t="s">
        <v>370</v>
      </c>
      <c r="G311" s="184" t="s">
        <v>155</v>
      </c>
      <c r="H311" s="93">
        <v>80111600</v>
      </c>
      <c r="I311" s="185">
        <v>1</v>
      </c>
      <c r="J311" s="185">
        <v>10</v>
      </c>
      <c r="K311" s="52">
        <v>0</v>
      </c>
      <c r="L311" s="53">
        <v>90000000</v>
      </c>
      <c r="M311" s="184" t="s">
        <v>464</v>
      </c>
      <c r="N311" s="53" t="s">
        <v>508</v>
      </c>
      <c r="O311" s="51" t="s">
        <v>221</v>
      </c>
      <c r="P311" s="186" t="str">
        <f>IFERROR(VLOOKUP(C311,TD!$B$33:$F$37,2,0)," ")</f>
        <v>O230117</v>
      </c>
      <c r="Q311" s="186" t="str">
        <f>IFERROR(VLOOKUP(C311,TD!$B$33:$F$37,3,0)," ")</f>
        <v>4503</v>
      </c>
      <c r="R311" s="186">
        <f>IFERROR(VLOOKUP(C311,TD!$B$33:$F$37,4,0)," ")</f>
        <v>20240255</v>
      </c>
      <c r="S311" s="51" t="s">
        <v>177</v>
      </c>
      <c r="T311" s="186" t="str">
        <f>IFERROR(VLOOKUP(S311,TD!$J$34:$K$44,2,0)," ")</f>
        <v>Servicio de capacitaciones en gestión del riesgo de incendios  a la ciudadania.</v>
      </c>
      <c r="U311" s="187" t="str">
        <f>CONCATENATE(S311,"-",T311)</f>
        <v>05-Servicio de capacitaciones en gestión del riesgo de incendios  a la ciudadania.</v>
      </c>
      <c r="V311" s="51" t="s">
        <v>234</v>
      </c>
      <c r="W311" s="186" t="str">
        <f>IFERROR(VLOOKUP(V311,TD!$N$34:$O$46,2,0)," ")</f>
        <v>Servicio prevención y control de incendios</v>
      </c>
      <c r="X311" s="187" t="str">
        <f>CONCATENATE(V311,"_",W311)</f>
        <v>035_Servicio prevención y control de incendios</v>
      </c>
      <c r="Y311" s="187" t="str">
        <f>CONCATENATE(U311," ",X311)</f>
        <v>05-Servicio de capacitaciones en gestión del riesgo de incendios  a la ciudadania. 035_Servicio prevención y control de incendios</v>
      </c>
      <c r="Z311" s="186" t="str">
        <f>CONCATENATE(P311,Q311,R311,S311,V311)</f>
        <v>O23011745032024025505035</v>
      </c>
      <c r="AA311" s="186" t="str">
        <f>IFERROR(VLOOKUP(Y311,TD!$K$47:$L$65,2,0)," ")</f>
        <v>PM/0131/0105/45030350255</v>
      </c>
      <c r="AB311" s="53" t="s">
        <v>138</v>
      </c>
      <c r="AC311" s="188" t="s">
        <v>204</v>
      </c>
    </row>
    <row r="312" spans="2:29" s="28" customFormat="1" ht="70" x14ac:dyDescent="0.35">
      <c r="B312" s="77">
        <v>20250290</v>
      </c>
      <c r="C312" s="50" t="s">
        <v>209</v>
      </c>
      <c r="D312" s="184" t="s">
        <v>167</v>
      </c>
      <c r="E312" s="51" t="s">
        <v>505</v>
      </c>
      <c r="F312" s="184" t="s">
        <v>370</v>
      </c>
      <c r="G312" s="184" t="s">
        <v>155</v>
      </c>
      <c r="H312" s="93">
        <v>80111600</v>
      </c>
      <c r="I312" s="185">
        <v>1</v>
      </c>
      <c r="J312" s="191">
        <v>10</v>
      </c>
      <c r="K312" s="126">
        <v>0</v>
      </c>
      <c r="L312" s="125">
        <v>49000000</v>
      </c>
      <c r="M312" s="184" t="s">
        <v>464</v>
      </c>
      <c r="N312" s="53" t="s">
        <v>508</v>
      </c>
      <c r="O312" s="51" t="s">
        <v>221</v>
      </c>
      <c r="P312" s="186" t="str">
        <f>IFERROR(VLOOKUP(C312,TD!$B$33:$F$37,2,0)," ")</f>
        <v>O230117</v>
      </c>
      <c r="Q312" s="186" t="str">
        <f>IFERROR(VLOOKUP(C312,TD!$B$33:$F$37,3,0)," ")</f>
        <v>4503</v>
      </c>
      <c r="R312" s="186">
        <f>IFERROR(VLOOKUP(C312,TD!$B$33:$F$37,4,0)," ")</f>
        <v>20240255</v>
      </c>
      <c r="S312" s="51" t="s">
        <v>177</v>
      </c>
      <c r="T312" s="186" t="str">
        <f>IFERROR(VLOOKUP(S312,TD!$J$34:$K$44,2,0)," ")</f>
        <v>Servicio de capacitaciones en gestión del riesgo de incendios  a la ciudadania.</v>
      </c>
      <c r="U312" s="187" t="str">
        <f>CONCATENATE(S312,"-",T312)</f>
        <v>05-Servicio de capacitaciones en gestión del riesgo de incendios  a la ciudadania.</v>
      </c>
      <c r="V312" s="51" t="s">
        <v>234</v>
      </c>
      <c r="W312" s="186" t="str">
        <f>IFERROR(VLOOKUP(V312,TD!$N$34:$O$46,2,0)," ")</f>
        <v>Servicio prevención y control de incendios</v>
      </c>
      <c r="X312" s="187" t="str">
        <f>CONCATENATE(V312,"_",W312)</f>
        <v>035_Servicio prevención y control de incendios</v>
      </c>
      <c r="Y312" s="187" t="str">
        <f>CONCATENATE(U312," ",X312)</f>
        <v>05-Servicio de capacitaciones en gestión del riesgo de incendios  a la ciudadania. 035_Servicio prevención y control de incendios</v>
      </c>
      <c r="Z312" s="186" t="str">
        <f>CONCATENATE(P312,Q312,R312,S312,V312)</f>
        <v>O23011745032024025505035</v>
      </c>
      <c r="AA312" s="186" t="str">
        <f>IFERROR(VLOOKUP(Y312,TD!$K$47:$L$65,2,0)," ")</f>
        <v>PM/0131/0105/45030350255</v>
      </c>
      <c r="AB312" s="53" t="s">
        <v>138</v>
      </c>
      <c r="AC312" s="188" t="s">
        <v>204</v>
      </c>
    </row>
    <row r="313" spans="2:29" s="28" customFormat="1" ht="70" x14ac:dyDescent="0.35">
      <c r="B313" s="77">
        <v>20250293</v>
      </c>
      <c r="C313" s="50" t="s">
        <v>209</v>
      </c>
      <c r="D313" s="184" t="s">
        <v>169</v>
      </c>
      <c r="E313" s="51" t="s">
        <v>465</v>
      </c>
      <c r="F313" s="184" t="s">
        <v>522</v>
      </c>
      <c r="G313" s="184" t="s">
        <v>156</v>
      </c>
      <c r="H313" s="93">
        <v>80111600</v>
      </c>
      <c r="I313" s="185">
        <v>2</v>
      </c>
      <c r="J313" s="185">
        <v>6</v>
      </c>
      <c r="K313" s="52">
        <v>0</v>
      </c>
      <c r="L313" s="53">
        <v>18000000</v>
      </c>
      <c r="M313" s="184" t="s">
        <v>464</v>
      </c>
      <c r="N313" s="53" t="s">
        <v>113</v>
      </c>
      <c r="O313" s="51" t="s">
        <v>222</v>
      </c>
      <c r="P313" s="186" t="str">
        <f>IFERROR(VLOOKUP(C313,TD!$B$33:$F$37,2,0)," ")</f>
        <v>O230117</v>
      </c>
      <c r="Q313" s="186" t="str">
        <f>IFERROR(VLOOKUP(C313,TD!$B$33:$F$37,3,0)," ")</f>
        <v>4503</v>
      </c>
      <c r="R313" s="186">
        <f>IFERROR(VLOOKUP(C313,TD!$B$33:$F$37,4,0)," ")</f>
        <v>20240255</v>
      </c>
      <c r="S313" s="51" t="s">
        <v>175</v>
      </c>
      <c r="T313" s="186" t="str">
        <f>IFERROR(VLOOKUP(S313,TD!$J$34:$K$44,2,0)," ")</f>
        <v>Servicio de atención a incidentes y emergencias.</v>
      </c>
      <c r="U313" s="187" t="str">
        <f>CONCATENATE(S313,"-",T313)</f>
        <v>04-Servicio de atención a incidentes y emergencias.</v>
      </c>
      <c r="V313" s="51" t="s">
        <v>232</v>
      </c>
      <c r="W313" s="186" t="str">
        <f>IFERROR(VLOOKUP(V313,TD!$N$34:$O$46,2,0)," ")</f>
        <v>Servicio de atención a emergencias y desastres</v>
      </c>
      <c r="X313" s="187" t="str">
        <f>CONCATENATE(V313,"_",W313)</f>
        <v>004_Servicio de atención a emergencias y desastres</v>
      </c>
      <c r="Y313" s="187" t="str">
        <f>CONCATENATE(U313," ",X313)</f>
        <v>04-Servicio de atención a incidentes y emergencias. 004_Servicio de atención a emergencias y desastres</v>
      </c>
      <c r="Z313" s="186" t="str">
        <f>CONCATENATE(P313,Q313,R313,S313,V313)</f>
        <v>O23011745032024025504004</v>
      </c>
      <c r="AA313" s="186" t="str">
        <f>IFERROR(VLOOKUP(Y313,TD!$K$47:$L$65,2,0)," ")</f>
        <v>PM/0131/0104/45030040255</v>
      </c>
      <c r="AB313" s="53" t="s">
        <v>138</v>
      </c>
      <c r="AC313" s="188" t="s">
        <v>204</v>
      </c>
    </row>
    <row r="314" spans="2:29" s="28" customFormat="1" ht="70" x14ac:dyDescent="0.35">
      <c r="B314" s="77">
        <v>20250294</v>
      </c>
      <c r="C314" s="50" t="s">
        <v>209</v>
      </c>
      <c r="D314" s="184" t="s">
        <v>169</v>
      </c>
      <c r="E314" s="51" t="s">
        <v>465</v>
      </c>
      <c r="F314" s="184" t="s">
        <v>522</v>
      </c>
      <c r="G314" s="184" t="s">
        <v>156</v>
      </c>
      <c r="H314" s="93">
        <v>80111600</v>
      </c>
      <c r="I314" s="185">
        <v>2</v>
      </c>
      <c r="J314" s="185">
        <v>6</v>
      </c>
      <c r="K314" s="52">
        <v>0</v>
      </c>
      <c r="L314" s="53">
        <v>18000000</v>
      </c>
      <c r="M314" s="184" t="s">
        <v>464</v>
      </c>
      <c r="N314" s="53" t="s">
        <v>113</v>
      </c>
      <c r="O314" s="51" t="s">
        <v>222</v>
      </c>
      <c r="P314" s="186" t="str">
        <f>IFERROR(VLOOKUP(C314,TD!$B$33:$F$37,2,0)," ")</f>
        <v>O230117</v>
      </c>
      <c r="Q314" s="186" t="str">
        <f>IFERROR(VLOOKUP(C314,TD!$B$33:$F$37,3,0)," ")</f>
        <v>4503</v>
      </c>
      <c r="R314" s="186">
        <f>IFERROR(VLOOKUP(C314,TD!$B$33:$F$37,4,0)," ")</f>
        <v>20240255</v>
      </c>
      <c r="S314" s="51" t="s">
        <v>175</v>
      </c>
      <c r="T314" s="186" t="str">
        <f>IFERROR(VLOOKUP(S314,TD!$J$34:$K$44,2,0)," ")</f>
        <v>Servicio de atención a incidentes y emergencias.</v>
      </c>
      <c r="U314" s="187" t="str">
        <f>CONCATENATE(S314,"-",T314)</f>
        <v>04-Servicio de atención a incidentes y emergencias.</v>
      </c>
      <c r="V314" s="51" t="s">
        <v>232</v>
      </c>
      <c r="W314" s="186" t="str">
        <f>IFERROR(VLOOKUP(V314,TD!$N$34:$O$46,2,0)," ")</f>
        <v>Servicio de atención a emergencias y desastres</v>
      </c>
      <c r="X314" s="187" t="str">
        <f>CONCATENATE(V314,"_",W314)</f>
        <v>004_Servicio de atención a emergencias y desastres</v>
      </c>
      <c r="Y314" s="187" t="str">
        <f>CONCATENATE(U314," ",X314)</f>
        <v>04-Servicio de atención a incidentes y emergencias. 004_Servicio de atención a emergencias y desastres</v>
      </c>
      <c r="Z314" s="186" t="str">
        <f>CONCATENATE(P314,Q314,R314,S314,V314)</f>
        <v>O23011745032024025504004</v>
      </c>
      <c r="AA314" s="186" t="str">
        <f>IFERROR(VLOOKUP(Y314,TD!$K$47:$L$65,2,0)," ")</f>
        <v>PM/0131/0104/45030040255</v>
      </c>
      <c r="AB314" s="53" t="s">
        <v>138</v>
      </c>
      <c r="AC314" s="188" t="s">
        <v>204</v>
      </c>
    </row>
    <row r="315" spans="2:29" s="28" customFormat="1" ht="112" x14ac:dyDescent="0.35">
      <c r="B315" s="77">
        <v>20250295</v>
      </c>
      <c r="C315" s="50" t="s">
        <v>209</v>
      </c>
      <c r="D315" s="184" t="s">
        <v>169</v>
      </c>
      <c r="E315" s="51" t="s">
        <v>465</v>
      </c>
      <c r="F315" s="184" t="s">
        <v>522</v>
      </c>
      <c r="G315" s="184" t="s">
        <v>156</v>
      </c>
      <c r="H315" s="93">
        <v>80111600</v>
      </c>
      <c r="I315" s="185">
        <v>2</v>
      </c>
      <c r="J315" s="185">
        <v>6</v>
      </c>
      <c r="K315" s="52">
        <v>0</v>
      </c>
      <c r="L315" s="53">
        <v>18000000</v>
      </c>
      <c r="M315" s="184" t="s">
        <v>464</v>
      </c>
      <c r="N315" s="53" t="s">
        <v>113</v>
      </c>
      <c r="O315" s="51" t="s">
        <v>222</v>
      </c>
      <c r="P315" s="186" t="str">
        <f>IFERROR(VLOOKUP(C315,TD!$B$33:$F$37,2,0)," ")</f>
        <v>O230117</v>
      </c>
      <c r="Q315" s="186" t="str">
        <f>IFERROR(VLOOKUP(C315,TD!$B$33:$F$37,3,0)," ")</f>
        <v>4503</v>
      </c>
      <c r="R315" s="186">
        <f>IFERROR(VLOOKUP(C315,TD!$B$33:$F$37,4,0)," ")</f>
        <v>20240255</v>
      </c>
      <c r="S315" s="51" t="s">
        <v>175</v>
      </c>
      <c r="T315" s="186" t="str">
        <f>IFERROR(VLOOKUP(S315,TD!$J$34:$K$44,2,0)," ")</f>
        <v>Servicio de atención a incidentes y emergencias.</v>
      </c>
      <c r="U315" s="187" t="str">
        <f>CONCATENATE(S315,"-",T315)</f>
        <v>04-Servicio de atención a incidentes y emergencias.</v>
      </c>
      <c r="V315" s="51" t="s">
        <v>232</v>
      </c>
      <c r="W315" s="186" t="str">
        <f>IFERROR(VLOOKUP(V315,TD!$N$34:$O$46,2,0)," ")</f>
        <v>Servicio de atención a emergencias y desastres</v>
      </c>
      <c r="X315" s="187" t="str">
        <f>CONCATENATE(V315,"_",W315)</f>
        <v>004_Servicio de atención a emergencias y desastres</v>
      </c>
      <c r="Y315" s="187" t="str">
        <f>CONCATENATE(U315," ",X315)</f>
        <v>04-Servicio de atención a incidentes y emergencias. 004_Servicio de atención a emergencias y desastres</v>
      </c>
      <c r="Z315" s="186" t="str">
        <f>CONCATENATE(P315,Q315,R315,S315,V315)</f>
        <v>O23011745032024025504004</v>
      </c>
      <c r="AA315" s="186" t="str">
        <f>IFERROR(VLOOKUP(Y315,TD!$K$47:$L$65,2,0)," ")</f>
        <v>PM/0131/0104/45030040255</v>
      </c>
      <c r="AB315" s="53" t="s">
        <v>138</v>
      </c>
      <c r="AC315" s="188" t="s">
        <v>204</v>
      </c>
    </row>
    <row r="316" spans="2:29" s="28" customFormat="1" ht="56" x14ac:dyDescent="0.35">
      <c r="B316" s="77">
        <v>20250296</v>
      </c>
      <c r="C316" s="50" t="s">
        <v>209</v>
      </c>
      <c r="D316" s="184" t="s">
        <v>169</v>
      </c>
      <c r="E316" s="51" t="s">
        <v>465</v>
      </c>
      <c r="F316" s="184" t="s">
        <v>522</v>
      </c>
      <c r="G316" s="184" t="s">
        <v>156</v>
      </c>
      <c r="H316" s="93">
        <v>80111600</v>
      </c>
      <c r="I316" s="185">
        <v>2</v>
      </c>
      <c r="J316" s="185">
        <v>6</v>
      </c>
      <c r="K316" s="52">
        <v>0</v>
      </c>
      <c r="L316" s="53">
        <v>18000000</v>
      </c>
      <c r="M316" s="184" t="s">
        <v>464</v>
      </c>
      <c r="N316" s="53" t="s">
        <v>113</v>
      </c>
      <c r="O316" s="51" t="s">
        <v>222</v>
      </c>
      <c r="P316" s="186" t="str">
        <f>IFERROR(VLOOKUP(C316,TD!$B$33:$F$37,2,0)," ")</f>
        <v>O230117</v>
      </c>
      <c r="Q316" s="186" t="str">
        <f>IFERROR(VLOOKUP(C316,TD!$B$33:$F$37,3,0)," ")</f>
        <v>4503</v>
      </c>
      <c r="R316" s="186">
        <f>IFERROR(VLOOKUP(C316,TD!$B$33:$F$37,4,0)," ")</f>
        <v>20240255</v>
      </c>
      <c r="S316" s="51" t="s">
        <v>175</v>
      </c>
      <c r="T316" s="186" t="str">
        <f>IFERROR(VLOOKUP(S316,TD!$J$34:$K$44,2,0)," ")</f>
        <v>Servicio de atención a incidentes y emergencias.</v>
      </c>
      <c r="U316" s="187" t="str">
        <f>CONCATENATE(S316,"-",T316)</f>
        <v>04-Servicio de atención a incidentes y emergencias.</v>
      </c>
      <c r="V316" s="51" t="s">
        <v>232</v>
      </c>
      <c r="W316" s="186" t="str">
        <f>IFERROR(VLOOKUP(V316,TD!$N$34:$O$46,2,0)," ")</f>
        <v>Servicio de atención a emergencias y desastres</v>
      </c>
      <c r="X316" s="187" t="str">
        <f>CONCATENATE(V316,"_",W316)</f>
        <v>004_Servicio de atención a emergencias y desastres</v>
      </c>
      <c r="Y316" s="187" t="str">
        <f>CONCATENATE(U316," ",X316)</f>
        <v>04-Servicio de atención a incidentes y emergencias. 004_Servicio de atención a emergencias y desastres</v>
      </c>
      <c r="Z316" s="186" t="str">
        <f>CONCATENATE(P316,Q316,R316,S316,V316)</f>
        <v>O23011745032024025504004</v>
      </c>
      <c r="AA316" s="186" t="str">
        <f>IFERROR(VLOOKUP(Y316,TD!$K$47:$L$65,2,0)," ")</f>
        <v>PM/0131/0104/45030040255</v>
      </c>
      <c r="AB316" s="53" t="s">
        <v>138</v>
      </c>
      <c r="AC316" s="188" t="s">
        <v>204</v>
      </c>
    </row>
    <row r="317" spans="2:29" s="28" customFormat="1" ht="140" x14ac:dyDescent="0.35">
      <c r="B317" s="77">
        <v>20250297</v>
      </c>
      <c r="C317" s="50" t="s">
        <v>209</v>
      </c>
      <c r="D317" s="184" t="s">
        <v>169</v>
      </c>
      <c r="E317" s="51" t="s">
        <v>465</v>
      </c>
      <c r="F317" s="184" t="s">
        <v>522</v>
      </c>
      <c r="G317" s="184" t="s">
        <v>156</v>
      </c>
      <c r="H317" s="93">
        <v>80111600</v>
      </c>
      <c r="I317" s="185">
        <v>3</v>
      </c>
      <c r="J317" s="185">
        <v>6</v>
      </c>
      <c r="K317" s="52">
        <v>0</v>
      </c>
      <c r="L317" s="53">
        <v>18000000</v>
      </c>
      <c r="M317" s="184" t="s">
        <v>464</v>
      </c>
      <c r="N317" s="53" t="s">
        <v>113</v>
      </c>
      <c r="O317" s="51" t="s">
        <v>222</v>
      </c>
      <c r="P317" s="186" t="str">
        <f>IFERROR(VLOOKUP(C317,TD!$B$33:$F$37,2,0)," ")</f>
        <v>O230117</v>
      </c>
      <c r="Q317" s="186" t="str">
        <f>IFERROR(VLOOKUP(C317,TD!$B$33:$F$37,3,0)," ")</f>
        <v>4503</v>
      </c>
      <c r="R317" s="186">
        <f>IFERROR(VLOOKUP(C317,TD!$B$33:$F$37,4,0)," ")</f>
        <v>20240255</v>
      </c>
      <c r="S317" s="51" t="s">
        <v>175</v>
      </c>
      <c r="T317" s="186" t="str">
        <f>IFERROR(VLOOKUP(S317,TD!$J$34:$K$44,2,0)," ")</f>
        <v>Servicio de atención a incidentes y emergencias.</v>
      </c>
      <c r="U317" s="187" t="str">
        <f>CONCATENATE(S317,"-",T317)</f>
        <v>04-Servicio de atención a incidentes y emergencias.</v>
      </c>
      <c r="V317" s="51" t="s">
        <v>232</v>
      </c>
      <c r="W317" s="186" t="str">
        <f>IFERROR(VLOOKUP(V317,TD!$N$34:$O$46,2,0)," ")</f>
        <v>Servicio de atención a emergencias y desastres</v>
      </c>
      <c r="X317" s="187" t="str">
        <f>CONCATENATE(V317,"_",W317)</f>
        <v>004_Servicio de atención a emergencias y desastres</v>
      </c>
      <c r="Y317" s="187" t="str">
        <f>CONCATENATE(U317," ",X317)</f>
        <v>04-Servicio de atención a incidentes y emergencias. 004_Servicio de atención a emergencias y desastres</v>
      </c>
      <c r="Z317" s="186" t="str">
        <f>CONCATENATE(P317,Q317,R317,S317,V317)</f>
        <v>O23011745032024025504004</v>
      </c>
      <c r="AA317" s="186" t="str">
        <f>IFERROR(VLOOKUP(Y317,TD!$K$47:$L$65,2,0)," ")</f>
        <v>PM/0131/0104/45030040255</v>
      </c>
      <c r="AB317" s="53" t="s">
        <v>138</v>
      </c>
      <c r="AC317" s="188" t="s">
        <v>204</v>
      </c>
    </row>
    <row r="318" spans="2:29" s="28" customFormat="1" ht="98" x14ac:dyDescent="0.35">
      <c r="B318" s="77">
        <v>20250298</v>
      </c>
      <c r="C318" s="50" t="s">
        <v>209</v>
      </c>
      <c r="D318" s="184" t="s">
        <v>169</v>
      </c>
      <c r="E318" s="51" t="s">
        <v>465</v>
      </c>
      <c r="F318" s="184" t="s">
        <v>522</v>
      </c>
      <c r="G318" s="184" t="s">
        <v>156</v>
      </c>
      <c r="H318" s="93">
        <v>80111600</v>
      </c>
      <c r="I318" s="185">
        <v>3</v>
      </c>
      <c r="J318" s="185">
        <v>6</v>
      </c>
      <c r="K318" s="52">
        <v>0</v>
      </c>
      <c r="L318" s="53">
        <v>18000000</v>
      </c>
      <c r="M318" s="184" t="s">
        <v>464</v>
      </c>
      <c r="N318" s="53" t="s">
        <v>113</v>
      </c>
      <c r="O318" s="51" t="s">
        <v>222</v>
      </c>
      <c r="P318" s="186" t="str">
        <f>IFERROR(VLOOKUP(C318,TD!$B$33:$F$37,2,0)," ")</f>
        <v>O230117</v>
      </c>
      <c r="Q318" s="186" t="str">
        <f>IFERROR(VLOOKUP(C318,TD!$B$33:$F$37,3,0)," ")</f>
        <v>4503</v>
      </c>
      <c r="R318" s="186">
        <f>IFERROR(VLOOKUP(C318,TD!$B$33:$F$37,4,0)," ")</f>
        <v>20240255</v>
      </c>
      <c r="S318" s="51" t="s">
        <v>175</v>
      </c>
      <c r="T318" s="186" t="str">
        <f>IFERROR(VLOOKUP(S318,TD!$J$34:$K$44,2,0)," ")</f>
        <v>Servicio de atención a incidentes y emergencias.</v>
      </c>
      <c r="U318" s="187" t="str">
        <f>CONCATENATE(S318,"-",T318)</f>
        <v>04-Servicio de atención a incidentes y emergencias.</v>
      </c>
      <c r="V318" s="51" t="s">
        <v>232</v>
      </c>
      <c r="W318" s="186" t="str">
        <f>IFERROR(VLOOKUP(V318,TD!$N$34:$O$46,2,0)," ")</f>
        <v>Servicio de atención a emergencias y desastres</v>
      </c>
      <c r="X318" s="187" t="str">
        <f>CONCATENATE(V318,"_",W318)</f>
        <v>004_Servicio de atención a emergencias y desastres</v>
      </c>
      <c r="Y318" s="187" t="str">
        <f>CONCATENATE(U318," ",X318)</f>
        <v>04-Servicio de atención a incidentes y emergencias. 004_Servicio de atención a emergencias y desastres</v>
      </c>
      <c r="Z318" s="186" t="str">
        <f>CONCATENATE(P318,Q318,R318,S318,V318)</f>
        <v>O23011745032024025504004</v>
      </c>
      <c r="AA318" s="186" t="str">
        <f>IFERROR(VLOOKUP(Y318,TD!$K$47:$L$65,2,0)," ")</f>
        <v>PM/0131/0104/45030040255</v>
      </c>
      <c r="AB318" s="53" t="s">
        <v>138</v>
      </c>
      <c r="AC318" s="188" t="s">
        <v>204</v>
      </c>
    </row>
    <row r="319" spans="2:29" s="28" customFormat="1" ht="56" x14ac:dyDescent="0.35">
      <c r="B319" s="77">
        <v>20250300</v>
      </c>
      <c r="C319" s="50" t="s">
        <v>209</v>
      </c>
      <c r="D319" s="184" t="s">
        <v>169</v>
      </c>
      <c r="E319" s="51" t="s">
        <v>465</v>
      </c>
      <c r="F319" s="184" t="s">
        <v>523</v>
      </c>
      <c r="G319" s="184" t="s">
        <v>156</v>
      </c>
      <c r="H319" s="93">
        <v>80111600</v>
      </c>
      <c r="I319" s="185">
        <v>2</v>
      </c>
      <c r="J319" s="185">
        <v>6</v>
      </c>
      <c r="K319" s="52">
        <v>0</v>
      </c>
      <c r="L319" s="53">
        <v>17400000</v>
      </c>
      <c r="M319" s="184" t="s">
        <v>464</v>
      </c>
      <c r="N319" s="53" t="s">
        <v>113</v>
      </c>
      <c r="O319" s="51" t="s">
        <v>222</v>
      </c>
      <c r="P319" s="186" t="str">
        <f>IFERROR(VLOOKUP(C319,TD!$B$33:$F$37,2,0)," ")</f>
        <v>O230117</v>
      </c>
      <c r="Q319" s="186" t="str">
        <f>IFERROR(VLOOKUP(C319,TD!$B$33:$F$37,3,0)," ")</f>
        <v>4503</v>
      </c>
      <c r="R319" s="186">
        <f>IFERROR(VLOOKUP(C319,TD!$B$33:$F$37,4,0)," ")</f>
        <v>20240255</v>
      </c>
      <c r="S319" s="51" t="s">
        <v>175</v>
      </c>
      <c r="T319" s="186" t="str">
        <f>IFERROR(VLOOKUP(S319,TD!$J$34:$K$44,2,0)," ")</f>
        <v>Servicio de atención a incidentes y emergencias.</v>
      </c>
      <c r="U319" s="187" t="str">
        <f>CONCATENATE(S319,"-",T319)</f>
        <v>04-Servicio de atención a incidentes y emergencias.</v>
      </c>
      <c r="V319" s="51" t="s">
        <v>232</v>
      </c>
      <c r="W319" s="186" t="str">
        <f>IFERROR(VLOOKUP(V319,TD!$N$34:$O$46,2,0)," ")</f>
        <v>Servicio de atención a emergencias y desastres</v>
      </c>
      <c r="X319" s="187" t="str">
        <f>CONCATENATE(V319,"_",W319)</f>
        <v>004_Servicio de atención a emergencias y desastres</v>
      </c>
      <c r="Y319" s="187" t="str">
        <f>CONCATENATE(U319," ",X319)</f>
        <v>04-Servicio de atención a incidentes y emergencias. 004_Servicio de atención a emergencias y desastres</v>
      </c>
      <c r="Z319" s="186" t="str">
        <f>CONCATENATE(P319,Q319,R319,S319,V319)</f>
        <v>O23011745032024025504004</v>
      </c>
      <c r="AA319" s="186" t="str">
        <f>IFERROR(VLOOKUP(Y319,TD!$K$47:$L$65,2,0)," ")</f>
        <v>PM/0131/0104/45030040255</v>
      </c>
      <c r="AB319" s="53" t="s">
        <v>138</v>
      </c>
      <c r="AC319" s="188" t="s">
        <v>204</v>
      </c>
    </row>
    <row r="320" spans="2:29" s="28" customFormat="1" ht="56" x14ac:dyDescent="0.35">
      <c r="B320" s="77">
        <v>20250301</v>
      </c>
      <c r="C320" s="50" t="s">
        <v>209</v>
      </c>
      <c r="D320" s="184" t="s">
        <v>169</v>
      </c>
      <c r="E320" s="51" t="s">
        <v>465</v>
      </c>
      <c r="F320" s="184" t="s">
        <v>523</v>
      </c>
      <c r="G320" s="184" t="s">
        <v>156</v>
      </c>
      <c r="H320" s="93">
        <v>80111600</v>
      </c>
      <c r="I320" s="185">
        <v>2</v>
      </c>
      <c r="J320" s="185">
        <v>6</v>
      </c>
      <c r="K320" s="52">
        <v>0</v>
      </c>
      <c r="L320" s="53">
        <v>17400000</v>
      </c>
      <c r="M320" s="184" t="s">
        <v>464</v>
      </c>
      <c r="N320" s="53" t="s">
        <v>113</v>
      </c>
      <c r="O320" s="51" t="s">
        <v>222</v>
      </c>
      <c r="P320" s="186" t="str">
        <f>IFERROR(VLOOKUP(C320,TD!$B$33:$F$37,2,0)," ")</f>
        <v>O230117</v>
      </c>
      <c r="Q320" s="186" t="str">
        <f>IFERROR(VLOOKUP(C320,TD!$B$33:$F$37,3,0)," ")</f>
        <v>4503</v>
      </c>
      <c r="R320" s="186">
        <f>IFERROR(VLOOKUP(C320,TD!$B$33:$F$37,4,0)," ")</f>
        <v>20240255</v>
      </c>
      <c r="S320" s="51" t="s">
        <v>175</v>
      </c>
      <c r="T320" s="186" t="str">
        <f>IFERROR(VLOOKUP(S320,TD!$J$34:$K$44,2,0)," ")</f>
        <v>Servicio de atención a incidentes y emergencias.</v>
      </c>
      <c r="U320" s="187" t="str">
        <f>CONCATENATE(S320,"-",T320)</f>
        <v>04-Servicio de atención a incidentes y emergencias.</v>
      </c>
      <c r="V320" s="51" t="s">
        <v>232</v>
      </c>
      <c r="W320" s="186" t="str">
        <f>IFERROR(VLOOKUP(V320,TD!$N$34:$O$46,2,0)," ")</f>
        <v>Servicio de atención a emergencias y desastres</v>
      </c>
      <c r="X320" s="187" t="str">
        <f>CONCATENATE(V320,"_",W320)</f>
        <v>004_Servicio de atención a emergencias y desastres</v>
      </c>
      <c r="Y320" s="187" t="str">
        <f>CONCATENATE(U320," ",X320)</f>
        <v>04-Servicio de atención a incidentes y emergencias. 004_Servicio de atención a emergencias y desastres</v>
      </c>
      <c r="Z320" s="186" t="str">
        <f>CONCATENATE(P320,Q320,R320,S320,V320)</f>
        <v>O23011745032024025504004</v>
      </c>
      <c r="AA320" s="186" t="str">
        <f>IFERROR(VLOOKUP(Y320,TD!$K$47:$L$65,2,0)," ")</f>
        <v>PM/0131/0104/45030040255</v>
      </c>
      <c r="AB320" s="53" t="s">
        <v>138</v>
      </c>
      <c r="AC320" s="188" t="s">
        <v>204</v>
      </c>
    </row>
    <row r="321" spans="2:29" s="28" customFormat="1" ht="56" x14ac:dyDescent="0.35">
      <c r="B321" s="77">
        <v>20250302</v>
      </c>
      <c r="C321" s="50" t="s">
        <v>209</v>
      </c>
      <c r="D321" s="184" t="s">
        <v>169</v>
      </c>
      <c r="E321" s="51" t="s">
        <v>465</v>
      </c>
      <c r="F321" s="184" t="s">
        <v>523</v>
      </c>
      <c r="G321" s="184" t="s">
        <v>156</v>
      </c>
      <c r="H321" s="93">
        <v>80111600</v>
      </c>
      <c r="I321" s="185">
        <v>2</v>
      </c>
      <c r="J321" s="185">
        <v>6</v>
      </c>
      <c r="K321" s="52">
        <v>0</v>
      </c>
      <c r="L321" s="53">
        <v>17400000</v>
      </c>
      <c r="M321" s="184" t="s">
        <v>464</v>
      </c>
      <c r="N321" s="53" t="s">
        <v>113</v>
      </c>
      <c r="O321" s="51" t="s">
        <v>222</v>
      </c>
      <c r="P321" s="186" t="str">
        <f>IFERROR(VLOOKUP(C321,TD!$B$33:$F$37,2,0)," ")</f>
        <v>O230117</v>
      </c>
      <c r="Q321" s="186" t="str">
        <f>IFERROR(VLOOKUP(C321,TD!$B$33:$F$37,3,0)," ")</f>
        <v>4503</v>
      </c>
      <c r="R321" s="186">
        <f>IFERROR(VLOOKUP(C321,TD!$B$33:$F$37,4,0)," ")</f>
        <v>20240255</v>
      </c>
      <c r="S321" s="51" t="s">
        <v>175</v>
      </c>
      <c r="T321" s="186" t="str">
        <f>IFERROR(VLOOKUP(S321,TD!$J$34:$K$44,2,0)," ")</f>
        <v>Servicio de atención a incidentes y emergencias.</v>
      </c>
      <c r="U321" s="187" t="str">
        <f>CONCATENATE(S321,"-",T321)</f>
        <v>04-Servicio de atención a incidentes y emergencias.</v>
      </c>
      <c r="V321" s="51" t="s">
        <v>232</v>
      </c>
      <c r="W321" s="186" t="str">
        <f>IFERROR(VLOOKUP(V321,TD!$N$34:$O$46,2,0)," ")</f>
        <v>Servicio de atención a emergencias y desastres</v>
      </c>
      <c r="X321" s="187" t="str">
        <f>CONCATENATE(V321,"_",W321)</f>
        <v>004_Servicio de atención a emergencias y desastres</v>
      </c>
      <c r="Y321" s="187" t="str">
        <f>CONCATENATE(U321," ",X321)</f>
        <v>04-Servicio de atención a incidentes y emergencias. 004_Servicio de atención a emergencias y desastres</v>
      </c>
      <c r="Z321" s="186" t="str">
        <f>CONCATENATE(P321,Q321,R321,S321,V321)</f>
        <v>O23011745032024025504004</v>
      </c>
      <c r="AA321" s="186" t="str">
        <f>IFERROR(VLOOKUP(Y321,TD!$K$47:$L$65,2,0)," ")</f>
        <v>PM/0131/0104/45030040255</v>
      </c>
      <c r="AB321" s="53" t="s">
        <v>138</v>
      </c>
      <c r="AC321" s="188" t="s">
        <v>204</v>
      </c>
    </row>
    <row r="322" spans="2:29" s="28" customFormat="1" ht="70" x14ac:dyDescent="0.35">
      <c r="B322" s="77">
        <v>20250303</v>
      </c>
      <c r="C322" s="50" t="s">
        <v>209</v>
      </c>
      <c r="D322" s="184" t="s">
        <v>169</v>
      </c>
      <c r="E322" s="51" t="s">
        <v>465</v>
      </c>
      <c r="F322" s="184" t="s">
        <v>523</v>
      </c>
      <c r="G322" s="184" t="s">
        <v>156</v>
      </c>
      <c r="H322" s="93">
        <v>80111600</v>
      </c>
      <c r="I322" s="185">
        <v>2</v>
      </c>
      <c r="J322" s="185">
        <v>6</v>
      </c>
      <c r="K322" s="52">
        <v>0</v>
      </c>
      <c r="L322" s="53">
        <v>17400000</v>
      </c>
      <c r="M322" s="184" t="s">
        <v>464</v>
      </c>
      <c r="N322" s="53" t="s">
        <v>113</v>
      </c>
      <c r="O322" s="51" t="s">
        <v>222</v>
      </c>
      <c r="P322" s="186" t="str">
        <f>IFERROR(VLOOKUP(C322,TD!$B$33:$F$37,2,0)," ")</f>
        <v>O230117</v>
      </c>
      <c r="Q322" s="186" t="str">
        <f>IFERROR(VLOOKUP(C322,TD!$B$33:$F$37,3,0)," ")</f>
        <v>4503</v>
      </c>
      <c r="R322" s="186">
        <f>IFERROR(VLOOKUP(C322,TD!$B$33:$F$37,4,0)," ")</f>
        <v>20240255</v>
      </c>
      <c r="S322" s="51" t="s">
        <v>175</v>
      </c>
      <c r="T322" s="186" t="str">
        <f>IFERROR(VLOOKUP(S322,TD!$J$34:$K$44,2,0)," ")</f>
        <v>Servicio de atención a incidentes y emergencias.</v>
      </c>
      <c r="U322" s="187" t="str">
        <f>CONCATENATE(S322,"-",T322)</f>
        <v>04-Servicio de atención a incidentes y emergencias.</v>
      </c>
      <c r="V322" s="51" t="s">
        <v>232</v>
      </c>
      <c r="W322" s="186" t="str">
        <f>IFERROR(VLOOKUP(V322,TD!$N$34:$O$46,2,0)," ")</f>
        <v>Servicio de atención a emergencias y desastres</v>
      </c>
      <c r="X322" s="187" t="str">
        <f>CONCATENATE(V322,"_",W322)</f>
        <v>004_Servicio de atención a emergencias y desastres</v>
      </c>
      <c r="Y322" s="187" t="str">
        <f>CONCATENATE(U322," ",X322)</f>
        <v>04-Servicio de atención a incidentes y emergencias. 004_Servicio de atención a emergencias y desastres</v>
      </c>
      <c r="Z322" s="186" t="str">
        <f>CONCATENATE(P322,Q322,R322,S322,V322)</f>
        <v>O23011745032024025504004</v>
      </c>
      <c r="AA322" s="186" t="str">
        <f>IFERROR(VLOOKUP(Y322,TD!$K$47:$L$65,2,0)," ")</f>
        <v>PM/0131/0104/45030040255</v>
      </c>
      <c r="AB322" s="53" t="s">
        <v>138</v>
      </c>
      <c r="AC322" s="188" t="s">
        <v>204</v>
      </c>
    </row>
    <row r="323" spans="2:29" s="28" customFormat="1" ht="70" x14ac:dyDescent="0.35">
      <c r="B323" s="77">
        <v>20250304</v>
      </c>
      <c r="C323" s="50" t="s">
        <v>209</v>
      </c>
      <c r="D323" s="184" t="s">
        <v>169</v>
      </c>
      <c r="E323" s="51" t="s">
        <v>465</v>
      </c>
      <c r="F323" s="184" t="s">
        <v>523</v>
      </c>
      <c r="G323" s="184" t="s">
        <v>156</v>
      </c>
      <c r="H323" s="93">
        <v>80111600</v>
      </c>
      <c r="I323" s="185">
        <v>2</v>
      </c>
      <c r="J323" s="185">
        <v>6</v>
      </c>
      <c r="K323" s="52">
        <v>0</v>
      </c>
      <c r="L323" s="53">
        <v>17400000</v>
      </c>
      <c r="M323" s="184" t="s">
        <v>464</v>
      </c>
      <c r="N323" s="53" t="s">
        <v>113</v>
      </c>
      <c r="O323" s="51" t="s">
        <v>222</v>
      </c>
      <c r="P323" s="186" t="str">
        <f>IFERROR(VLOOKUP(C323,TD!$B$33:$F$37,2,0)," ")</f>
        <v>O230117</v>
      </c>
      <c r="Q323" s="186" t="str">
        <f>IFERROR(VLOOKUP(C323,TD!$B$33:$F$37,3,0)," ")</f>
        <v>4503</v>
      </c>
      <c r="R323" s="186">
        <f>IFERROR(VLOOKUP(C323,TD!$B$33:$F$37,4,0)," ")</f>
        <v>20240255</v>
      </c>
      <c r="S323" s="51" t="s">
        <v>175</v>
      </c>
      <c r="T323" s="186" t="str">
        <f>IFERROR(VLOOKUP(S323,TD!$J$34:$K$44,2,0)," ")</f>
        <v>Servicio de atención a incidentes y emergencias.</v>
      </c>
      <c r="U323" s="187" t="str">
        <f>CONCATENATE(S323,"-",T323)</f>
        <v>04-Servicio de atención a incidentes y emergencias.</v>
      </c>
      <c r="V323" s="51" t="s">
        <v>232</v>
      </c>
      <c r="W323" s="186" t="str">
        <f>IFERROR(VLOOKUP(V323,TD!$N$34:$O$46,2,0)," ")</f>
        <v>Servicio de atención a emergencias y desastres</v>
      </c>
      <c r="X323" s="187" t="str">
        <f>CONCATENATE(V323,"_",W323)</f>
        <v>004_Servicio de atención a emergencias y desastres</v>
      </c>
      <c r="Y323" s="187" t="str">
        <f>CONCATENATE(U323," ",X323)</f>
        <v>04-Servicio de atención a incidentes y emergencias. 004_Servicio de atención a emergencias y desastres</v>
      </c>
      <c r="Z323" s="186" t="str">
        <f>CONCATENATE(P323,Q323,R323,S323,V323)</f>
        <v>O23011745032024025504004</v>
      </c>
      <c r="AA323" s="186" t="str">
        <f>IFERROR(VLOOKUP(Y323,TD!$K$47:$L$65,2,0)," ")</f>
        <v>PM/0131/0104/45030040255</v>
      </c>
      <c r="AB323" s="53" t="s">
        <v>138</v>
      </c>
      <c r="AC323" s="188" t="s">
        <v>204</v>
      </c>
    </row>
    <row r="324" spans="2:29" s="28" customFormat="1" ht="84" x14ac:dyDescent="0.35">
      <c r="B324" s="77">
        <v>20250305</v>
      </c>
      <c r="C324" s="50" t="s">
        <v>209</v>
      </c>
      <c r="D324" s="184" t="s">
        <v>169</v>
      </c>
      <c r="E324" s="51" t="s">
        <v>465</v>
      </c>
      <c r="F324" s="184" t="s">
        <v>523</v>
      </c>
      <c r="G324" s="184" t="s">
        <v>156</v>
      </c>
      <c r="H324" s="93">
        <v>80111600</v>
      </c>
      <c r="I324" s="185">
        <v>2</v>
      </c>
      <c r="J324" s="185">
        <v>6</v>
      </c>
      <c r="K324" s="52">
        <v>0</v>
      </c>
      <c r="L324" s="53">
        <v>17400000</v>
      </c>
      <c r="M324" s="184" t="s">
        <v>464</v>
      </c>
      <c r="N324" s="53" t="s">
        <v>113</v>
      </c>
      <c r="O324" s="51" t="s">
        <v>222</v>
      </c>
      <c r="P324" s="186" t="str">
        <f>IFERROR(VLOOKUP(C324,TD!$B$33:$F$37,2,0)," ")</f>
        <v>O230117</v>
      </c>
      <c r="Q324" s="186" t="str">
        <f>IFERROR(VLOOKUP(C324,TD!$B$33:$F$37,3,0)," ")</f>
        <v>4503</v>
      </c>
      <c r="R324" s="186">
        <f>IFERROR(VLOOKUP(C324,TD!$B$33:$F$37,4,0)," ")</f>
        <v>20240255</v>
      </c>
      <c r="S324" s="51" t="s">
        <v>175</v>
      </c>
      <c r="T324" s="186" t="str">
        <f>IFERROR(VLOOKUP(S324,TD!$J$34:$K$44,2,0)," ")</f>
        <v>Servicio de atención a incidentes y emergencias.</v>
      </c>
      <c r="U324" s="187" t="str">
        <f>CONCATENATE(S324,"-",T324)</f>
        <v>04-Servicio de atención a incidentes y emergencias.</v>
      </c>
      <c r="V324" s="51" t="s">
        <v>232</v>
      </c>
      <c r="W324" s="186" t="str">
        <f>IFERROR(VLOOKUP(V324,TD!$N$34:$O$46,2,0)," ")</f>
        <v>Servicio de atención a emergencias y desastres</v>
      </c>
      <c r="X324" s="187" t="str">
        <f>CONCATENATE(V324,"_",W324)</f>
        <v>004_Servicio de atención a emergencias y desastres</v>
      </c>
      <c r="Y324" s="187" t="str">
        <f>CONCATENATE(U324," ",X324)</f>
        <v>04-Servicio de atención a incidentes y emergencias. 004_Servicio de atención a emergencias y desastres</v>
      </c>
      <c r="Z324" s="186" t="str">
        <f>CONCATENATE(P324,Q324,R324,S324,V324)</f>
        <v>O23011745032024025504004</v>
      </c>
      <c r="AA324" s="186" t="str">
        <f>IFERROR(VLOOKUP(Y324,TD!$K$47:$L$65,2,0)," ")</f>
        <v>PM/0131/0104/45030040255</v>
      </c>
      <c r="AB324" s="53" t="s">
        <v>138</v>
      </c>
      <c r="AC324" s="188" t="s">
        <v>204</v>
      </c>
    </row>
    <row r="325" spans="2:29" s="28" customFormat="1" ht="56" x14ac:dyDescent="0.35">
      <c r="B325" s="77">
        <v>20250306</v>
      </c>
      <c r="C325" s="50" t="s">
        <v>209</v>
      </c>
      <c r="D325" s="184" t="s">
        <v>169</v>
      </c>
      <c r="E325" s="51" t="s">
        <v>465</v>
      </c>
      <c r="F325" s="184" t="s">
        <v>523</v>
      </c>
      <c r="G325" s="184" t="s">
        <v>156</v>
      </c>
      <c r="H325" s="93">
        <v>80111600</v>
      </c>
      <c r="I325" s="185">
        <v>2</v>
      </c>
      <c r="J325" s="185">
        <v>6</v>
      </c>
      <c r="K325" s="52">
        <v>8</v>
      </c>
      <c r="L325" s="53">
        <v>17400000</v>
      </c>
      <c r="M325" s="184" t="s">
        <v>464</v>
      </c>
      <c r="N325" s="53" t="s">
        <v>113</v>
      </c>
      <c r="O325" s="51" t="s">
        <v>222</v>
      </c>
      <c r="P325" s="186" t="str">
        <f>IFERROR(VLOOKUP(C325,TD!$B$33:$F$37,2,0)," ")</f>
        <v>O230117</v>
      </c>
      <c r="Q325" s="186" t="str">
        <f>IFERROR(VLOOKUP(C325,TD!$B$33:$F$37,3,0)," ")</f>
        <v>4503</v>
      </c>
      <c r="R325" s="186">
        <f>IFERROR(VLOOKUP(C325,TD!$B$33:$F$37,4,0)," ")</f>
        <v>20240255</v>
      </c>
      <c r="S325" s="51" t="s">
        <v>175</v>
      </c>
      <c r="T325" s="186" t="str">
        <f>IFERROR(VLOOKUP(S325,TD!$J$34:$K$44,2,0)," ")</f>
        <v>Servicio de atención a incidentes y emergencias.</v>
      </c>
      <c r="U325" s="187" t="str">
        <f>CONCATENATE(S325,"-",T325)</f>
        <v>04-Servicio de atención a incidentes y emergencias.</v>
      </c>
      <c r="V325" s="51" t="s">
        <v>232</v>
      </c>
      <c r="W325" s="186" t="str">
        <f>IFERROR(VLOOKUP(V325,TD!$N$34:$O$46,2,0)," ")</f>
        <v>Servicio de atención a emergencias y desastres</v>
      </c>
      <c r="X325" s="187" t="str">
        <f>CONCATENATE(V325,"_",W325)</f>
        <v>004_Servicio de atención a emergencias y desastres</v>
      </c>
      <c r="Y325" s="187" t="str">
        <f>CONCATENATE(U325," ",X325)</f>
        <v>04-Servicio de atención a incidentes y emergencias. 004_Servicio de atención a emergencias y desastres</v>
      </c>
      <c r="Z325" s="186" t="str">
        <f>CONCATENATE(P325,Q325,R325,S325,V325)</f>
        <v>O23011745032024025504004</v>
      </c>
      <c r="AA325" s="186" t="str">
        <f>IFERROR(VLOOKUP(Y325,TD!$K$47:$L$65,2,0)," ")</f>
        <v>PM/0131/0104/45030040255</v>
      </c>
      <c r="AB325" s="53" t="s">
        <v>138</v>
      </c>
      <c r="AC325" s="188" t="s">
        <v>204</v>
      </c>
    </row>
    <row r="326" spans="2:29" s="28" customFormat="1" ht="56" x14ac:dyDescent="0.35">
      <c r="B326" s="77">
        <v>20250307</v>
      </c>
      <c r="C326" s="50" t="s">
        <v>209</v>
      </c>
      <c r="D326" s="184" t="s">
        <v>169</v>
      </c>
      <c r="E326" s="51" t="s">
        <v>465</v>
      </c>
      <c r="F326" s="184" t="s">
        <v>523</v>
      </c>
      <c r="G326" s="184" t="s">
        <v>156</v>
      </c>
      <c r="H326" s="93">
        <v>80111600</v>
      </c>
      <c r="I326" s="185">
        <v>2</v>
      </c>
      <c r="J326" s="185">
        <v>6</v>
      </c>
      <c r="K326" s="52">
        <v>0</v>
      </c>
      <c r="L326" s="53">
        <v>17400000</v>
      </c>
      <c r="M326" s="184" t="s">
        <v>464</v>
      </c>
      <c r="N326" s="53" t="s">
        <v>113</v>
      </c>
      <c r="O326" s="51" t="s">
        <v>222</v>
      </c>
      <c r="P326" s="186" t="str">
        <f>IFERROR(VLOOKUP(C326,TD!$B$33:$F$37,2,0)," ")</f>
        <v>O230117</v>
      </c>
      <c r="Q326" s="186" t="str">
        <f>IFERROR(VLOOKUP(C326,TD!$B$33:$F$37,3,0)," ")</f>
        <v>4503</v>
      </c>
      <c r="R326" s="186">
        <f>IFERROR(VLOOKUP(C326,TD!$B$33:$F$37,4,0)," ")</f>
        <v>20240255</v>
      </c>
      <c r="S326" s="51" t="s">
        <v>175</v>
      </c>
      <c r="T326" s="186" t="str">
        <f>IFERROR(VLOOKUP(S326,TD!$J$34:$K$44,2,0)," ")</f>
        <v>Servicio de atención a incidentes y emergencias.</v>
      </c>
      <c r="U326" s="187" t="str">
        <f>CONCATENATE(S326,"-",T326)</f>
        <v>04-Servicio de atención a incidentes y emergencias.</v>
      </c>
      <c r="V326" s="51" t="s">
        <v>232</v>
      </c>
      <c r="W326" s="186" t="str">
        <f>IFERROR(VLOOKUP(V326,TD!$N$34:$O$46,2,0)," ")</f>
        <v>Servicio de atención a emergencias y desastres</v>
      </c>
      <c r="X326" s="187" t="str">
        <f>CONCATENATE(V326,"_",W326)</f>
        <v>004_Servicio de atención a emergencias y desastres</v>
      </c>
      <c r="Y326" s="187" t="str">
        <f>CONCATENATE(U326," ",X326)</f>
        <v>04-Servicio de atención a incidentes y emergencias. 004_Servicio de atención a emergencias y desastres</v>
      </c>
      <c r="Z326" s="186" t="str">
        <f>CONCATENATE(P326,Q326,R326,S326,V326)</f>
        <v>O23011745032024025504004</v>
      </c>
      <c r="AA326" s="186" t="str">
        <f>IFERROR(VLOOKUP(Y326,TD!$K$47:$L$65,2,0)," ")</f>
        <v>PM/0131/0104/45030040255</v>
      </c>
      <c r="AB326" s="53" t="s">
        <v>138</v>
      </c>
      <c r="AC326" s="188" t="s">
        <v>204</v>
      </c>
    </row>
    <row r="327" spans="2:29" s="28" customFormat="1" ht="56" x14ac:dyDescent="0.35">
      <c r="B327" s="77">
        <v>20250308</v>
      </c>
      <c r="C327" s="50" t="s">
        <v>209</v>
      </c>
      <c r="D327" s="184" t="s">
        <v>169</v>
      </c>
      <c r="E327" s="51" t="s">
        <v>465</v>
      </c>
      <c r="F327" s="184" t="s">
        <v>523</v>
      </c>
      <c r="G327" s="184" t="s">
        <v>156</v>
      </c>
      <c r="H327" s="93">
        <v>80111600</v>
      </c>
      <c r="I327" s="185">
        <v>2</v>
      </c>
      <c r="J327" s="185">
        <v>6</v>
      </c>
      <c r="K327" s="52">
        <v>0</v>
      </c>
      <c r="L327" s="53">
        <v>17400000</v>
      </c>
      <c r="M327" s="184" t="s">
        <v>464</v>
      </c>
      <c r="N327" s="53" t="s">
        <v>113</v>
      </c>
      <c r="O327" s="51" t="s">
        <v>222</v>
      </c>
      <c r="P327" s="186" t="str">
        <f>IFERROR(VLOOKUP(C327,TD!$B$33:$F$37,2,0)," ")</f>
        <v>O230117</v>
      </c>
      <c r="Q327" s="186" t="str">
        <f>IFERROR(VLOOKUP(C327,TD!$B$33:$F$37,3,0)," ")</f>
        <v>4503</v>
      </c>
      <c r="R327" s="186">
        <f>IFERROR(VLOOKUP(C327,TD!$B$33:$F$37,4,0)," ")</f>
        <v>20240255</v>
      </c>
      <c r="S327" s="51" t="s">
        <v>175</v>
      </c>
      <c r="T327" s="186" t="str">
        <f>IFERROR(VLOOKUP(S327,TD!$J$34:$K$44,2,0)," ")</f>
        <v>Servicio de atención a incidentes y emergencias.</v>
      </c>
      <c r="U327" s="187" t="str">
        <f>CONCATENATE(S327,"-",T327)</f>
        <v>04-Servicio de atención a incidentes y emergencias.</v>
      </c>
      <c r="V327" s="51" t="s">
        <v>232</v>
      </c>
      <c r="W327" s="186" t="str">
        <f>IFERROR(VLOOKUP(V327,TD!$N$34:$O$46,2,0)," ")</f>
        <v>Servicio de atención a emergencias y desastres</v>
      </c>
      <c r="X327" s="187" t="str">
        <f>CONCATENATE(V327,"_",W327)</f>
        <v>004_Servicio de atención a emergencias y desastres</v>
      </c>
      <c r="Y327" s="187" t="str">
        <f>CONCATENATE(U327," ",X327)</f>
        <v>04-Servicio de atención a incidentes y emergencias. 004_Servicio de atención a emergencias y desastres</v>
      </c>
      <c r="Z327" s="186" t="str">
        <f>CONCATENATE(P327,Q327,R327,S327,V327)</f>
        <v>O23011745032024025504004</v>
      </c>
      <c r="AA327" s="186" t="str">
        <f>IFERROR(VLOOKUP(Y327,TD!$K$47:$L$65,2,0)," ")</f>
        <v>PM/0131/0104/45030040255</v>
      </c>
      <c r="AB327" s="53" t="s">
        <v>138</v>
      </c>
      <c r="AC327" s="188" t="s">
        <v>204</v>
      </c>
    </row>
    <row r="328" spans="2:29" s="28" customFormat="1" ht="28" x14ac:dyDescent="0.35">
      <c r="B328" s="77">
        <v>20250309</v>
      </c>
      <c r="C328" s="50" t="s">
        <v>209</v>
      </c>
      <c r="D328" s="184" t="s">
        <v>169</v>
      </c>
      <c r="E328" s="51" t="s">
        <v>465</v>
      </c>
      <c r="F328" s="184" t="s">
        <v>523</v>
      </c>
      <c r="G328" s="184" t="s">
        <v>156</v>
      </c>
      <c r="H328" s="93">
        <v>80111600</v>
      </c>
      <c r="I328" s="185">
        <v>3</v>
      </c>
      <c r="J328" s="185">
        <v>6</v>
      </c>
      <c r="K328" s="52">
        <v>0</v>
      </c>
      <c r="L328" s="53">
        <v>17400000</v>
      </c>
      <c r="M328" s="184" t="s">
        <v>464</v>
      </c>
      <c r="N328" s="53" t="s">
        <v>113</v>
      </c>
      <c r="O328" s="51" t="s">
        <v>222</v>
      </c>
      <c r="P328" s="186" t="str">
        <f>IFERROR(VLOOKUP(C328,TD!$B$33:$F$37,2,0)," ")</f>
        <v>O230117</v>
      </c>
      <c r="Q328" s="186" t="str">
        <f>IFERROR(VLOOKUP(C328,TD!$B$33:$F$37,3,0)," ")</f>
        <v>4503</v>
      </c>
      <c r="R328" s="186">
        <f>IFERROR(VLOOKUP(C328,TD!$B$33:$F$37,4,0)," ")</f>
        <v>20240255</v>
      </c>
      <c r="S328" s="51" t="s">
        <v>175</v>
      </c>
      <c r="T328" s="186" t="str">
        <f>IFERROR(VLOOKUP(S328,TD!$J$34:$K$44,2,0)," ")</f>
        <v>Servicio de atención a incidentes y emergencias.</v>
      </c>
      <c r="U328" s="187" t="str">
        <f>CONCATENATE(S328,"-",T328)</f>
        <v>04-Servicio de atención a incidentes y emergencias.</v>
      </c>
      <c r="V328" s="51" t="s">
        <v>232</v>
      </c>
      <c r="W328" s="186" t="str">
        <f>IFERROR(VLOOKUP(V328,TD!$N$34:$O$46,2,0)," ")</f>
        <v>Servicio de atención a emergencias y desastres</v>
      </c>
      <c r="X328" s="187" t="str">
        <f>CONCATENATE(V328,"_",W328)</f>
        <v>004_Servicio de atención a emergencias y desastres</v>
      </c>
      <c r="Y328" s="187" t="str">
        <f>CONCATENATE(U328," ",X328)</f>
        <v>04-Servicio de atención a incidentes y emergencias. 004_Servicio de atención a emergencias y desastres</v>
      </c>
      <c r="Z328" s="186" t="str">
        <f>CONCATENATE(P328,Q328,R328,S328,V328)</f>
        <v>O23011745032024025504004</v>
      </c>
      <c r="AA328" s="186" t="str">
        <f>IFERROR(VLOOKUP(Y328,TD!$K$47:$L$65,2,0)," ")</f>
        <v>PM/0131/0104/45030040255</v>
      </c>
      <c r="AB328" s="53" t="s">
        <v>138</v>
      </c>
      <c r="AC328" s="188" t="s">
        <v>204</v>
      </c>
    </row>
    <row r="329" spans="2:29" s="28" customFormat="1" ht="84" x14ac:dyDescent="0.35">
      <c r="B329" s="77">
        <v>20250310</v>
      </c>
      <c r="C329" s="50" t="s">
        <v>209</v>
      </c>
      <c r="D329" s="184" t="s">
        <v>169</v>
      </c>
      <c r="E329" s="51" t="s">
        <v>465</v>
      </c>
      <c r="F329" s="184" t="s">
        <v>837</v>
      </c>
      <c r="G329" s="184" t="s">
        <v>156</v>
      </c>
      <c r="H329" s="93">
        <v>80111600</v>
      </c>
      <c r="I329" s="185">
        <v>2</v>
      </c>
      <c r="J329" s="185">
        <v>7</v>
      </c>
      <c r="K329" s="52">
        <v>0</v>
      </c>
      <c r="L329" s="53">
        <v>22400000</v>
      </c>
      <c r="M329" s="184" t="s">
        <v>464</v>
      </c>
      <c r="N329" s="53" t="s">
        <v>113</v>
      </c>
      <c r="O329" s="51" t="s">
        <v>222</v>
      </c>
      <c r="P329" s="186" t="str">
        <f>IFERROR(VLOOKUP(C329,TD!$B$33:$F$37,2,0)," ")</f>
        <v>O230117</v>
      </c>
      <c r="Q329" s="186" t="str">
        <f>IFERROR(VLOOKUP(C329,TD!$B$33:$F$37,3,0)," ")</f>
        <v>4503</v>
      </c>
      <c r="R329" s="186">
        <f>IFERROR(VLOOKUP(C329,TD!$B$33:$F$37,4,0)," ")</f>
        <v>20240255</v>
      </c>
      <c r="S329" s="51" t="s">
        <v>175</v>
      </c>
      <c r="T329" s="186" t="str">
        <f>IFERROR(VLOOKUP(S329,TD!$J$34:$K$44,2,0)," ")</f>
        <v>Servicio de atención a incidentes y emergencias.</v>
      </c>
      <c r="U329" s="187" t="str">
        <f>CONCATENATE(S329,"-",T329)</f>
        <v>04-Servicio de atención a incidentes y emergencias.</v>
      </c>
      <c r="V329" s="51" t="s">
        <v>232</v>
      </c>
      <c r="W329" s="186" t="str">
        <f>IFERROR(VLOOKUP(V329,TD!$N$34:$O$46,2,0)," ")</f>
        <v>Servicio de atención a emergencias y desastres</v>
      </c>
      <c r="X329" s="187" t="str">
        <f>CONCATENATE(V329,"_",W329)</f>
        <v>004_Servicio de atención a emergencias y desastres</v>
      </c>
      <c r="Y329" s="187" t="str">
        <f>CONCATENATE(U329," ",X329)</f>
        <v>04-Servicio de atención a incidentes y emergencias. 004_Servicio de atención a emergencias y desastres</v>
      </c>
      <c r="Z329" s="186" t="str">
        <f>CONCATENATE(P329,Q329,R329,S329,V329)</f>
        <v>O23011745032024025504004</v>
      </c>
      <c r="AA329" s="186" t="str">
        <f>IFERROR(VLOOKUP(Y329,TD!$K$47:$L$65,2,0)," ")</f>
        <v>PM/0131/0104/45030040255</v>
      </c>
      <c r="AB329" s="53" t="s">
        <v>138</v>
      </c>
      <c r="AC329" s="188" t="s">
        <v>204</v>
      </c>
    </row>
    <row r="330" spans="2:29" s="28" customFormat="1" ht="84" x14ac:dyDescent="0.35">
      <c r="B330" s="77">
        <v>20250311</v>
      </c>
      <c r="C330" s="50" t="s">
        <v>209</v>
      </c>
      <c r="D330" s="184" t="s">
        <v>169</v>
      </c>
      <c r="E330" s="51" t="s">
        <v>465</v>
      </c>
      <c r="F330" s="184" t="s">
        <v>523</v>
      </c>
      <c r="G330" s="184" t="s">
        <v>156</v>
      </c>
      <c r="H330" s="93">
        <v>80111600</v>
      </c>
      <c r="I330" s="185">
        <v>3</v>
      </c>
      <c r="J330" s="185">
        <v>6</v>
      </c>
      <c r="K330" s="52">
        <v>0</v>
      </c>
      <c r="L330" s="53">
        <v>17400000</v>
      </c>
      <c r="M330" s="184" t="s">
        <v>464</v>
      </c>
      <c r="N330" s="53" t="s">
        <v>113</v>
      </c>
      <c r="O330" s="51" t="s">
        <v>222</v>
      </c>
      <c r="P330" s="186" t="str">
        <f>IFERROR(VLOOKUP(C330,TD!$B$33:$F$37,2,0)," ")</f>
        <v>O230117</v>
      </c>
      <c r="Q330" s="186" t="str">
        <f>IFERROR(VLOOKUP(C330,TD!$B$33:$F$37,3,0)," ")</f>
        <v>4503</v>
      </c>
      <c r="R330" s="186">
        <f>IFERROR(VLOOKUP(C330,TD!$B$33:$F$37,4,0)," ")</f>
        <v>20240255</v>
      </c>
      <c r="S330" s="51" t="s">
        <v>175</v>
      </c>
      <c r="T330" s="186" t="str">
        <f>IFERROR(VLOOKUP(S330,TD!$J$34:$K$44,2,0)," ")</f>
        <v>Servicio de atención a incidentes y emergencias.</v>
      </c>
      <c r="U330" s="187" t="str">
        <f>CONCATENATE(S330,"-",T330)</f>
        <v>04-Servicio de atención a incidentes y emergencias.</v>
      </c>
      <c r="V330" s="51" t="s">
        <v>232</v>
      </c>
      <c r="W330" s="186" t="str">
        <f>IFERROR(VLOOKUP(V330,TD!$N$34:$O$46,2,0)," ")</f>
        <v>Servicio de atención a emergencias y desastres</v>
      </c>
      <c r="X330" s="187" t="str">
        <f>CONCATENATE(V330,"_",W330)</f>
        <v>004_Servicio de atención a emergencias y desastres</v>
      </c>
      <c r="Y330" s="187" t="str">
        <f>CONCATENATE(U330," ",X330)</f>
        <v>04-Servicio de atención a incidentes y emergencias. 004_Servicio de atención a emergencias y desastres</v>
      </c>
      <c r="Z330" s="186" t="str">
        <f>CONCATENATE(P330,Q330,R330,S330,V330)</f>
        <v>O23011745032024025504004</v>
      </c>
      <c r="AA330" s="186" t="str">
        <f>IFERROR(VLOOKUP(Y330,TD!$K$47:$L$65,2,0)," ")</f>
        <v>PM/0131/0104/45030040255</v>
      </c>
      <c r="AB330" s="53" t="s">
        <v>138</v>
      </c>
      <c r="AC330" s="188" t="s">
        <v>204</v>
      </c>
    </row>
    <row r="331" spans="2:29" s="28" customFormat="1" ht="84" x14ac:dyDescent="0.35">
      <c r="B331" s="77">
        <v>20250312</v>
      </c>
      <c r="C331" s="50" t="s">
        <v>209</v>
      </c>
      <c r="D331" s="184" t="s">
        <v>169</v>
      </c>
      <c r="E331" s="51" t="s">
        <v>465</v>
      </c>
      <c r="F331" s="184" t="s">
        <v>523</v>
      </c>
      <c r="G331" s="184" t="s">
        <v>156</v>
      </c>
      <c r="H331" s="93">
        <v>80111600</v>
      </c>
      <c r="I331" s="185">
        <v>3</v>
      </c>
      <c r="J331" s="185">
        <v>6</v>
      </c>
      <c r="K331" s="52">
        <v>0</v>
      </c>
      <c r="L331" s="53">
        <v>17400000</v>
      </c>
      <c r="M331" s="184" t="s">
        <v>464</v>
      </c>
      <c r="N331" s="53" t="s">
        <v>113</v>
      </c>
      <c r="O331" s="51" t="s">
        <v>222</v>
      </c>
      <c r="P331" s="186" t="str">
        <f>IFERROR(VLOOKUP(C331,TD!$B$33:$F$37,2,0)," ")</f>
        <v>O230117</v>
      </c>
      <c r="Q331" s="186" t="str">
        <f>IFERROR(VLOOKUP(C331,TD!$B$33:$F$37,3,0)," ")</f>
        <v>4503</v>
      </c>
      <c r="R331" s="186">
        <f>IFERROR(VLOOKUP(C331,TD!$B$33:$F$37,4,0)," ")</f>
        <v>20240255</v>
      </c>
      <c r="S331" s="51" t="s">
        <v>175</v>
      </c>
      <c r="T331" s="186" t="str">
        <f>IFERROR(VLOOKUP(S331,TD!$J$34:$K$44,2,0)," ")</f>
        <v>Servicio de atención a incidentes y emergencias.</v>
      </c>
      <c r="U331" s="187" t="str">
        <f>CONCATENATE(S331,"-",T331)</f>
        <v>04-Servicio de atención a incidentes y emergencias.</v>
      </c>
      <c r="V331" s="51" t="s">
        <v>232</v>
      </c>
      <c r="W331" s="186" t="str">
        <f>IFERROR(VLOOKUP(V331,TD!$N$34:$O$46,2,0)," ")</f>
        <v>Servicio de atención a emergencias y desastres</v>
      </c>
      <c r="X331" s="187" t="str">
        <f>CONCATENATE(V331,"_",W331)</f>
        <v>004_Servicio de atención a emergencias y desastres</v>
      </c>
      <c r="Y331" s="187" t="str">
        <f>CONCATENATE(U331," ",X331)</f>
        <v>04-Servicio de atención a incidentes y emergencias. 004_Servicio de atención a emergencias y desastres</v>
      </c>
      <c r="Z331" s="186" t="str">
        <f>CONCATENATE(P331,Q331,R331,S331,V331)</f>
        <v>O23011745032024025504004</v>
      </c>
      <c r="AA331" s="186" t="str">
        <f>IFERROR(VLOOKUP(Y331,TD!$K$47:$L$65,2,0)," ")</f>
        <v>PM/0131/0104/45030040255</v>
      </c>
      <c r="AB331" s="53" t="s">
        <v>138</v>
      </c>
      <c r="AC331" s="188" t="s">
        <v>204</v>
      </c>
    </row>
    <row r="332" spans="2:29" s="28" customFormat="1" ht="56" x14ac:dyDescent="0.35">
      <c r="B332" s="77">
        <v>20250313</v>
      </c>
      <c r="C332" s="50" t="s">
        <v>209</v>
      </c>
      <c r="D332" s="184" t="s">
        <v>169</v>
      </c>
      <c r="E332" s="51" t="s">
        <v>465</v>
      </c>
      <c r="F332" s="184" t="s">
        <v>523</v>
      </c>
      <c r="G332" s="184" t="s">
        <v>156</v>
      </c>
      <c r="H332" s="93">
        <v>80111600</v>
      </c>
      <c r="I332" s="185">
        <v>3</v>
      </c>
      <c r="J332" s="185">
        <v>6</v>
      </c>
      <c r="K332" s="52">
        <v>0</v>
      </c>
      <c r="L332" s="53">
        <v>17400000</v>
      </c>
      <c r="M332" s="184" t="s">
        <v>464</v>
      </c>
      <c r="N332" s="53" t="s">
        <v>113</v>
      </c>
      <c r="O332" s="51" t="s">
        <v>222</v>
      </c>
      <c r="P332" s="186" t="str">
        <f>IFERROR(VLOOKUP(C332,TD!$B$33:$F$37,2,0)," ")</f>
        <v>O230117</v>
      </c>
      <c r="Q332" s="186" t="str">
        <f>IFERROR(VLOOKUP(C332,TD!$B$33:$F$37,3,0)," ")</f>
        <v>4503</v>
      </c>
      <c r="R332" s="186">
        <f>IFERROR(VLOOKUP(C332,TD!$B$33:$F$37,4,0)," ")</f>
        <v>20240255</v>
      </c>
      <c r="S332" s="51" t="s">
        <v>175</v>
      </c>
      <c r="T332" s="186" t="str">
        <f>IFERROR(VLOOKUP(S332,TD!$J$34:$K$44,2,0)," ")</f>
        <v>Servicio de atención a incidentes y emergencias.</v>
      </c>
      <c r="U332" s="187" t="str">
        <f>CONCATENATE(S332,"-",T332)</f>
        <v>04-Servicio de atención a incidentes y emergencias.</v>
      </c>
      <c r="V332" s="51" t="s">
        <v>232</v>
      </c>
      <c r="W332" s="186" t="str">
        <f>IFERROR(VLOOKUP(V332,TD!$N$34:$O$46,2,0)," ")</f>
        <v>Servicio de atención a emergencias y desastres</v>
      </c>
      <c r="X332" s="187" t="str">
        <f>CONCATENATE(V332,"_",W332)</f>
        <v>004_Servicio de atención a emergencias y desastres</v>
      </c>
      <c r="Y332" s="187" t="str">
        <f>CONCATENATE(U332," ",X332)</f>
        <v>04-Servicio de atención a incidentes y emergencias. 004_Servicio de atención a emergencias y desastres</v>
      </c>
      <c r="Z332" s="186" t="str">
        <f>CONCATENATE(P332,Q332,R332,S332,V332)</f>
        <v>O23011745032024025504004</v>
      </c>
      <c r="AA332" s="186" t="str">
        <f>IFERROR(VLOOKUP(Y332,TD!$K$47:$L$65,2,0)," ")</f>
        <v>PM/0131/0104/45030040255</v>
      </c>
      <c r="AB332" s="53" t="s">
        <v>138</v>
      </c>
      <c r="AC332" s="188" t="s">
        <v>204</v>
      </c>
    </row>
    <row r="333" spans="2:29" s="28" customFormat="1" ht="56" x14ac:dyDescent="0.35">
      <c r="B333" s="77">
        <v>20250314</v>
      </c>
      <c r="C333" s="50" t="s">
        <v>209</v>
      </c>
      <c r="D333" s="184" t="s">
        <v>169</v>
      </c>
      <c r="E333" s="51" t="s">
        <v>465</v>
      </c>
      <c r="F333" s="184" t="s">
        <v>523</v>
      </c>
      <c r="G333" s="184" t="s">
        <v>156</v>
      </c>
      <c r="H333" s="93">
        <v>80111600</v>
      </c>
      <c r="I333" s="185">
        <v>3</v>
      </c>
      <c r="J333" s="185">
        <v>6</v>
      </c>
      <c r="K333" s="52">
        <v>0</v>
      </c>
      <c r="L333" s="53">
        <v>17400000</v>
      </c>
      <c r="M333" s="184" t="s">
        <v>464</v>
      </c>
      <c r="N333" s="53" t="s">
        <v>113</v>
      </c>
      <c r="O333" s="51" t="s">
        <v>222</v>
      </c>
      <c r="P333" s="186" t="str">
        <f>IFERROR(VLOOKUP(C333,TD!$B$33:$F$37,2,0)," ")</f>
        <v>O230117</v>
      </c>
      <c r="Q333" s="186" t="str">
        <f>IFERROR(VLOOKUP(C333,TD!$B$33:$F$37,3,0)," ")</f>
        <v>4503</v>
      </c>
      <c r="R333" s="186">
        <f>IFERROR(VLOOKUP(C333,TD!$B$33:$F$37,4,0)," ")</f>
        <v>20240255</v>
      </c>
      <c r="S333" s="51" t="s">
        <v>175</v>
      </c>
      <c r="T333" s="186" t="str">
        <f>IFERROR(VLOOKUP(S333,TD!$J$34:$K$44,2,0)," ")</f>
        <v>Servicio de atención a incidentes y emergencias.</v>
      </c>
      <c r="U333" s="187" t="str">
        <f>CONCATENATE(S333,"-",T333)</f>
        <v>04-Servicio de atención a incidentes y emergencias.</v>
      </c>
      <c r="V333" s="51" t="s">
        <v>232</v>
      </c>
      <c r="W333" s="186" t="str">
        <f>IFERROR(VLOOKUP(V333,TD!$N$34:$O$46,2,0)," ")</f>
        <v>Servicio de atención a emergencias y desastres</v>
      </c>
      <c r="X333" s="187" t="str">
        <f>CONCATENATE(V333,"_",W333)</f>
        <v>004_Servicio de atención a emergencias y desastres</v>
      </c>
      <c r="Y333" s="187" t="str">
        <f>CONCATENATE(U333," ",X333)</f>
        <v>04-Servicio de atención a incidentes y emergencias. 004_Servicio de atención a emergencias y desastres</v>
      </c>
      <c r="Z333" s="186" t="str">
        <f>CONCATENATE(P333,Q333,R333,S333,V333)</f>
        <v>O23011745032024025504004</v>
      </c>
      <c r="AA333" s="186" t="str">
        <f>IFERROR(VLOOKUP(Y333,TD!$K$47:$L$65,2,0)," ")</f>
        <v>PM/0131/0104/45030040255</v>
      </c>
      <c r="AB333" s="53" t="s">
        <v>138</v>
      </c>
      <c r="AC333" s="188" t="s">
        <v>204</v>
      </c>
    </row>
    <row r="334" spans="2:29" s="28" customFormat="1" ht="98" x14ac:dyDescent="0.35">
      <c r="B334" s="77">
        <v>20250315</v>
      </c>
      <c r="C334" s="50" t="s">
        <v>209</v>
      </c>
      <c r="D334" s="184" t="s">
        <v>169</v>
      </c>
      <c r="E334" s="51" t="s">
        <v>465</v>
      </c>
      <c r="F334" s="184" t="s">
        <v>523</v>
      </c>
      <c r="G334" s="184" t="s">
        <v>156</v>
      </c>
      <c r="H334" s="93">
        <v>80111600</v>
      </c>
      <c r="I334" s="185">
        <v>3</v>
      </c>
      <c r="J334" s="185">
        <v>6</v>
      </c>
      <c r="K334" s="52">
        <v>0</v>
      </c>
      <c r="L334" s="53">
        <v>17400000</v>
      </c>
      <c r="M334" s="184" t="s">
        <v>464</v>
      </c>
      <c r="N334" s="53" t="s">
        <v>113</v>
      </c>
      <c r="O334" s="51" t="s">
        <v>222</v>
      </c>
      <c r="P334" s="186" t="str">
        <f>IFERROR(VLOOKUP(C334,TD!$B$33:$F$37,2,0)," ")</f>
        <v>O230117</v>
      </c>
      <c r="Q334" s="186" t="str">
        <f>IFERROR(VLOOKUP(C334,TD!$B$33:$F$37,3,0)," ")</f>
        <v>4503</v>
      </c>
      <c r="R334" s="186">
        <f>IFERROR(VLOOKUP(C334,TD!$B$33:$F$37,4,0)," ")</f>
        <v>20240255</v>
      </c>
      <c r="S334" s="51" t="s">
        <v>175</v>
      </c>
      <c r="T334" s="186" t="str">
        <f>IFERROR(VLOOKUP(S334,TD!$J$34:$K$44,2,0)," ")</f>
        <v>Servicio de atención a incidentes y emergencias.</v>
      </c>
      <c r="U334" s="187" t="str">
        <f>CONCATENATE(S334,"-",T334)</f>
        <v>04-Servicio de atención a incidentes y emergencias.</v>
      </c>
      <c r="V334" s="51" t="s">
        <v>232</v>
      </c>
      <c r="W334" s="186" t="str">
        <f>IFERROR(VLOOKUP(V334,TD!$N$34:$O$46,2,0)," ")</f>
        <v>Servicio de atención a emergencias y desastres</v>
      </c>
      <c r="X334" s="187" t="str">
        <f>CONCATENATE(V334,"_",W334)</f>
        <v>004_Servicio de atención a emergencias y desastres</v>
      </c>
      <c r="Y334" s="187" t="str">
        <f>CONCATENATE(U334," ",X334)</f>
        <v>04-Servicio de atención a incidentes y emergencias. 004_Servicio de atención a emergencias y desastres</v>
      </c>
      <c r="Z334" s="186" t="str">
        <f>CONCATENATE(P334,Q334,R334,S334,V334)</f>
        <v>O23011745032024025504004</v>
      </c>
      <c r="AA334" s="186" t="str">
        <f>IFERROR(VLOOKUP(Y334,TD!$K$47:$L$65,2,0)," ")</f>
        <v>PM/0131/0104/45030040255</v>
      </c>
      <c r="AB334" s="53" t="s">
        <v>138</v>
      </c>
      <c r="AC334" s="188" t="s">
        <v>204</v>
      </c>
    </row>
    <row r="335" spans="2:29" s="28" customFormat="1" ht="98" x14ac:dyDescent="0.35">
      <c r="B335" s="77">
        <v>20250316</v>
      </c>
      <c r="C335" s="50" t="s">
        <v>209</v>
      </c>
      <c r="D335" s="184" t="s">
        <v>169</v>
      </c>
      <c r="E335" s="51" t="s">
        <v>465</v>
      </c>
      <c r="F335" s="184" t="s">
        <v>523</v>
      </c>
      <c r="G335" s="184" t="s">
        <v>156</v>
      </c>
      <c r="H335" s="93">
        <v>80111600</v>
      </c>
      <c r="I335" s="185">
        <v>3</v>
      </c>
      <c r="J335" s="185">
        <v>6</v>
      </c>
      <c r="K335" s="52">
        <v>0</v>
      </c>
      <c r="L335" s="53">
        <v>17400000</v>
      </c>
      <c r="M335" s="184" t="s">
        <v>464</v>
      </c>
      <c r="N335" s="53" t="s">
        <v>113</v>
      </c>
      <c r="O335" s="51" t="s">
        <v>222</v>
      </c>
      <c r="P335" s="186" t="str">
        <f>IFERROR(VLOOKUP(C335,TD!$B$33:$F$37,2,0)," ")</f>
        <v>O230117</v>
      </c>
      <c r="Q335" s="186" t="str">
        <f>IFERROR(VLOOKUP(C335,TD!$B$33:$F$37,3,0)," ")</f>
        <v>4503</v>
      </c>
      <c r="R335" s="186">
        <f>IFERROR(VLOOKUP(C335,TD!$B$33:$F$37,4,0)," ")</f>
        <v>20240255</v>
      </c>
      <c r="S335" s="51" t="s">
        <v>175</v>
      </c>
      <c r="T335" s="186" t="str">
        <f>IFERROR(VLOOKUP(S335,TD!$J$34:$K$44,2,0)," ")</f>
        <v>Servicio de atención a incidentes y emergencias.</v>
      </c>
      <c r="U335" s="187" t="str">
        <f>CONCATENATE(S335,"-",T335)</f>
        <v>04-Servicio de atención a incidentes y emergencias.</v>
      </c>
      <c r="V335" s="51" t="s">
        <v>232</v>
      </c>
      <c r="W335" s="186" t="str">
        <f>IFERROR(VLOOKUP(V335,TD!$N$34:$O$46,2,0)," ")</f>
        <v>Servicio de atención a emergencias y desastres</v>
      </c>
      <c r="X335" s="187" t="str">
        <f>CONCATENATE(V335,"_",W335)</f>
        <v>004_Servicio de atención a emergencias y desastres</v>
      </c>
      <c r="Y335" s="187" t="str">
        <f>CONCATENATE(U335," ",X335)</f>
        <v>04-Servicio de atención a incidentes y emergencias. 004_Servicio de atención a emergencias y desastres</v>
      </c>
      <c r="Z335" s="186" t="str">
        <f>CONCATENATE(P335,Q335,R335,S335,V335)</f>
        <v>O23011745032024025504004</v>
      </c>
      <c r="AA335" s="186" t="str">
        <f>IFERROR(VLOOKUP(Y335,TD!$K$47:$L$65,2,0)," ")</f>
        <v>PM/0131/0104/45030040255</v>
      </c>
      <c r="AB335" s="53" t="s">
        <v>138</v>
      </c>
      <c r="AC335" s="188" t="s">
        <v>204</v>
      </c>
    </row>
    <row r="336" spans="2:29" s="28" customFormat="1" ht="70" x14ac:dyDescent="0.35">
      <c r="B336" s="77">
        <v>20250317</v>
      </c>
      <c r="C336" s="50" t="s">
        <v>209</v>
      </c>
      <c r="D336" s="184" t="s">
        <v>169</v>
      </c>
      <c r="E336" s="51" t="s">
        <v>465</v>
      </c>
      <c r="F336" s="184" t="s">
        <v>524</v>
      </c>
      <c r="G336" s="184" t="s">
        <v>155</v>
      </c>
      <c r="H336" s="93">
        <v>80111600</v>
      </c>
      <c r="I336" s="185">
        <v>2</v>
      </c>
      <c r="J336" s="185">
        <v>10</v>
      </c>
      <c r="K336" s="52">
        <v>0</v>
      </c>
      <c r="L336" s="53">
        <v>55000000</v>
      </c>
      <c r="M336" s="184" t="s">
        <v>464</v>
      </c>
      <c r="N336" s="53" t="s">
        <v>113</v>
      </c>
      <c r="O336" s="51" t="s">
        <v>222</v>
      </c>
      <c r="P336" s="186" t="str">
        <f>IFERROR(VLOOKUP(C336,TD!$B$33:$F$37,2,0)," ")</f>
        <v>O230117</v>
      </c>
      <c r="Q336" s="186" t="str">
        <f>IFERROR(VLOOKUP(C336,TD!$B$33:$F$37,3,0)," ")</f>
        <v>4503</v>
      </c>
      <c r="R336" s="186">
        <f>IFERROR(VLOOKUP(C336,TD!$B$33:$F$37,4,0)," ")</f>
        <v>20240255</v>
      </c>
      <c r="S336" s="51" t="s">
        <v>175</v>
      </c>
      <c r="T336" s="186" t="str">
        <f>IFERROR(VLOOKUP(S336,TD!$J$34:$K$44,2,0)," ")</f>
        <v>Servicio de atención a incidentes y emergencias.</v>
      </c>
      <c r="U336" s="187" t="str">
        <f>CONCATENATE(S336,"-",T336)</f>
        <v>04-Servicio de atención a incidentes y emergencias.</v>
      </c>
      <c r="V336" s="51" t="s">
        <v>232</v>
      </c>
      <c r="W336" s="186" t="str">
        <f>IFERROR(VLOOKUP(V336,TD!$N$34:$O$46,2,0)," ")</f>
        <v>Servicio de atención a emergencias y desastres</v>
      </c>
      <c r="X336" s="187" t="str">
        <f>CONCATENATE(V336,"_",W336)</f>
        <v>004_Servicio de atención a emergencias y desastres</v>
      </c>
      <c r="Y336" s="187" t="str">
        <f>CONCATENATE(U336," ",X336)</f>
        <v>04-Servicio de atención a incidentes y emergencias. 004_Servicio de atención a emergencias y desastres</v>
      </c>
      <c r="Z336" s="186" t="str">
        <f>CONCATENATE(P336,Q336,R336,S336,V336)</f>
        <v>O23011745032024025504004</v>
      </c>
      <c r="AA336" s="186" t="str">
        <f>IFERROR(VLOOKUP(Y336,TD!$K$47:$L$65,2,0)," ")</f>
        <v>PM/0131/0104/45030040255</v>
      </c>
      <c r="AB336" s="53" t="s">
        <v>138</v>
      </c>
      <c r="AC336" s="188" t="s">
        <v>204</v>
      </c>
    </row>
    <row r="337" spans="2:29" s="28" customFormat="1" ht="112" x14ac:dyDescent="0.35">
      <c r="B337" s="77">
        <v>20250318</v>
      </c>
      <c r="C337" s="50" t="s">
        <v>209</v>
      </c>
      <c r="D337" s="184" t="s">
        <v>169</v>
      </c>
      <c r="E337" s="51" t="s">
        <v>465</v>
      </c>
      <c r="F337" s="184" t="s">
        <v>525</v>
      </c>
      <c r="G337" s="184" t="s">
        <v>156</v>
      </c>
      <c r="H337" s="93">
        <v>80111600</v>
      </c>
      <c r="I337" s="185">
        <v>2</v>
      </c>
      <c r="J337" s="185">
        <v>10</v>
      </c>
      <c r="K337" s="52">
        <v>0</v>
      </c>
      <c r="L337" s="53">
        <v>34066525</v>
      </c>
      <c r="M337" s="184" t="s">
        <v>464</v>
      </c>
      <c r="N337" s="53" t="s">
        <v>113</v>
      </c>
      <c r="O337" s="51" t="s">
        <v>222</v>
      </c>
      <c r="P337" s="186" t="str">
        <f>IFERROR(VLOOKUP(C337,TD!$B$33:$F$37,2,0)," ")</f>
        <v>O230117</v>
      </c>
      <c r="Q337" s="186" t="str">
        <f>IFERROR(VLOOKUP(C337,TD!$B$33:$F$37,3,0)," ")</f>
        <v>4503</v>
      </c>
      <c r="R337" s="186">
        <f>IFERROR(VLOOKUP(C337,TD!$B$33:$F$37,4,0)," ")</f>
        <v>20240255</v>
      </c>
      <c r="S337" s="51" t="s">
        <v>175</v>
      </c>
      <c r="T337" s="186" t="str">
        <f>IFERROR(VLOOKUP(S337,TD!$J$34:$K$44,2,0)," ")</f>
        <v>Servicio de atención a incidentes y emergencias.</v>
      </c>
      <c r="U337" s="187" t="str">
        <f>CONCATENATE(S337,"-",T337)</f>
        <v>04-Servicio de atención a incidentes y emergencias.</v>
      </c>
      <c r="V337" s="51" t="s">
        <v>232</v>
      </c>
      <c r="W337" s="186" t="str">
        <f>IFERROR(VLOOKUP(V337,TD!$N$34:$O$46,2,0)," ")</f>
        <v>Servicio de atención a emergencias y desastres</v>
      </c>
      <c r="X337" s="187" t="str">
        <f>CONCATENATE(V337,"_",W337)</f>
        <v>004_Servicio de atención a emergencias y desastres</v>
      </c>
      <c r="Y337" s="187" t="str">
        <f>CONCATENATE(U337," ",X337)</f>
        <v>04-Servicio de atención a incidentes y emergencias. 004_Servicio de atención a emergencias y desastres</v>
      </c>
      <c r="Z337" s="186" t="str">
        <f>CONCATENATE(P337,Q337,R337,S337,V337)</f>
        <v>O23011745032024025504004</v>
      </c>
      <c r="AA337" s="186" t="str">
        <f>IFERROR(VLOOKUP(Y337,TD!$K$47:$L$65,2,0)," ")</f>
        <v>PM/0131/0104/45030040255</v>
      </c>
      <c r="AB337" s="53" t="s">
        <v>138</v>
      </c>
      <c r="AC337" s="188" t="s">
        <v>204</v>
      </c>
    </row>
    <row r="338" spans="2:29" s="28" customFormat="1" ht="56" x14ac:dyDescent="0.35">
      <c r="B338" s="77">
        <v>20250319</v>
      </c>
      <c r="C338" s="50" t="s">
        <v>209</v>
      </c>
      <c r="D338" s="184" t="s">
        <v>169</v>
      </c>
      <c r="E338" s="51" t="s">
        <v>465</v>
      </c>
      <c r="F338" s="184" t="s">
        <v>524</v>
      </c>
      <c r="G338" s="184" t="s">
        <v>155</v>
      </c>
      <c r="H338" s="93">
        <v>80111600</v>
      </c>
      <c r="I338" s="185">
        <v>2</v>
      </c>
      <c r="J338" s="185">
        <v>10</v>
      </c>
      <c r="K338" s="52">
        <v>0</v>
      </c>
      <c r="L338" s="53">
        <v>55000000</v>
      </c>
      <c r="M338" s="184" t="s">
        <v>464</v>
      </c>
      <c r="N338" s="53" t="s">
        <v>113</v>
      </c>
      <c r="O338" s="51" t="s">
        <v>222</v>
      </c>
      <c r="P338" s="186" t="str">
        <f>IFERROR(VLOOKUP(C338,TD!$B$33:$F$37,2,0)," ")</f>
        <v>O230117</v>
      </c>
      <c r="Q338" s="186" t="str">
        <f>IFERROR(VLOOKUP(C338,TD!$B$33:$F$37,3,0)," ")</f>
        <v>4503</v>
      </c>
      <c r="R338" s="186">
        <f>IFERROR(VLOOKUP(C338,TD!$B$33:$F$37,4,0)," ")</f>
        <v>20240255</v>
      </c>
      <c r="S338" s="51" t="s">
        <v>175</v>
      </c>
      <c r="T338" s="186" t="str">
        <f>IFERROR(VLOOKUP(S338,TD!$J$34:$K$44,2,0)," ")</f>
        <v>Servicio de atención a incidentes y emergencias.</v>
      </c>
      <c r="U338" s="187" t="str">
        <f>CONCATENATE(S338,"-",T338)</f>
        <v>04-Servicio de atención a incidentes y emergencias.</v>
      </c>
      <c r="V338" s="51" t="s">
        <v>232</v>
      </c>
      <c r="W338" s="186" t="str">
        <f>IFERROR(VLOOKUP(V338,TD!$N$34:$O$46,2,0)," ")</f>
        <v>Servicio de atención a emergencias y desastres</v>
      </c>
      <c r="X338" s="187" t="str">
        <f>CONCATENATE(V338,"_",W338)</f>
        <v>004_Servicio de atención a emergencias y desastres</v>
      </c>
      <c r="Y338" s="187" t="str">
        <f>CONCATENATE(U338," ",X338)</f>
        <v>04-Servicio de atención a incidentes y emergencias. 004_Servicio de atención a emergencias y desastres</v>
      </c>
      <c r="Z338" s="186" t="str">
        <f>CONCATENATE(P338,Q338,R338,S338,V338)</f>
        <v>O23011745032024025504004</v>
      </c>
      <c r="AA338" s="186" t="str">
        <f>IFERROR(VLOOKUP(Y338,TD!$K$47:$L$65,2,0)," ")</f>
        <v>PM/0131/0104/45030040255</v>
      </c>
      <c r="AB338" s="53" t="s">
        <v>138</v>
      </c>
      <c r="AC338" s="188" t="s">
        <v>204</v>
      </c>
    </row>
    <row r="339" spans="2:29" s="28" customFormat="1" ht="98" x14ac:dyDescent="0.35">
      <c r="B339" s="77">
        <v>20250320</v>
      </c>
      <c r="C339" s="50" t="s">
        <v>209</v>
      </c>
      <c r="D339" s="184" t="s">
        <v>169</v>
      </c>
      <c r="E339" s="51" t="s">
        <v>465</v>
      </c>
      <c r="F339" s="184" t="s">
        <v>526</v>
      </c>
      <c r="G339" s="184" t="s">
        <v>156</v>
      </c>
      <c r="H339" s="93">
        <v>80111600</v>
      </c>
      <c r="I339" s="185">
        <v>2</v>
      </c>
      <c r="J339" s="185">
        <v>9</v>
      </c>
      <c r="K339" s="52">
        <v>15</v>
      </c>
      <c r="L339" s="53">
        <v>30400000</v>
      </c>
      <c r="M339" s="184" t="s">
        <v>464</v>
      </c>
      <c r="N339" s="53" t="s">
        <v>113</v>
      </c>
      <c r="O339" s="51" t="s">
        <v>222</v>
      </c>
      <c r="P339" s="186" t="str">
        <f>IFERROR(VLOOKUP(C339,TD!$B$33:$F$37,2,0)," ")</f>
        <v>O230117</v>
      </c>
      <c r="Q339" s="186" t="str">
        <f>IFERROR(VLOOKUP(C339,TD!$B$33:$F$37,3,0)," ")</f>
        <v>4503</v>
      </c>
      <c r="R339" s="186">
        <f>IFERROR(VLOOKUP(C339,TD!$B$33:$F$37,4,0)," ")</f>
        <v>20240255</v>
      </c>
      <c r="S339" s="51" t="s">
        <v>175</v>
      </c>
      <c r="T339" s="186" t="str">
        <f>IFERROR(VLOOKUP(S339,TD!$J$34:$K$44,2,0)," ")</f>
        <v>Servicio de atención a incidentes y emergencias.</v>
      </c>
      <c r="U339" s="187" t="str">
        <f>CONCATENATE(S339,"-",T339)</f>
        <v>04-Servicio de atención a incidentes y emergencias.</v>
      </c>
      <c r="V339" s="51" t="s">
        <v>232</v>
      </c>
      <c r="W339" s="186" t="str">
        <f>IFERROR(VLOOKUP(V339,TD!$N$34:$O$46,2,0)," ")</f>
        <v>Servicio de atención a emergencias y desastres</v>
      </c>
      <c r="X339" s="187" t="str">
        <f>CONCATENATE(V339,"_",W339)</f>
        <v>004_Servicio de atención a emergencias y desastres</v>
      </c>
      <c r="Y339" s="187" t="str">
        <f>CONCATENATE(U339," ",X339)</f>
        <v>04-Servicio de atención a incidentes y emergencias. 004_Servicio de atención a emergencias y desastres</v>
      </c>
      <c r="Z339" s="186" t="str">
        <f>CONCATENATE(P339,Q339,R339,S339,V339)</f>
        <v>O23011745032024025504004</v>
      </c>
      <c r="AA339" s="186" t="str">
        <f>IFERROR(VLOOKUP(Y339,TD!$K$47:$L$65,2,0)," ")</f>
        <v>PM/0131/0104/45030040255</v>
      </c>
      <c r="AB339" s="53" t="s">
        <v>138</v>
      </c>
      <c r="AC339" s="188" t="s">
        <v>204</v>
      </c>
    </row>
    <row r="340" spans="2:29" s="28" customFormat="1" ht="56" x14ac:dyDescent="0.35">
      <c r="B340" s="77">
        <v>20250322</v>
      </c>
      <c r="C340" s="50" t="s">
        <v>209</v>
      </c>
      <c r="D340" s="184" t="s">
        <v>169</v>
      </c>
      <c r="E340" s="51" t="s">
        <v>465</v>
      </c>
      <c r="F340" s="184" t="s">
        <v>527</v>
      </c>
      <c r="G340" s="184" t="s">
        <v>155</v>
      </c>
      <c r="H340" s="93">
        <v>80111600</v>
      </c>
      <c r="I340" s="185">
        <v>2</v>
      </c>
      <c r="J340" s="185">
        <v>11</v>
      </c>
      <c r="K340" s="52">
        <v>0</v>
      </c>
      <c r="L340" s="53">
        <v>104500000</v>
      </c>
      <c r="M340" s="184" t="s">
        <v>464</v>
      </c>
      <c r="N340" s="53" t="s">
        <v>113</v>
      </c>
      <c r="O340" s="51" t="s">
        <v>222</v>
      </c>
      <c r="P340" s="186" t="str">
        <f>IFERROR(VLOOKUP(C340,TD!$B$33:$F$37,2,0)," ")</f>
        <v>O230117</v>
      </c>
      <c r="Q340" s="186" t="str">
        <f>IFERROR(VLOOKUP(C340,TD!$B$33:$F$37,3,0)," ")</f>
        <v>4503</v>
      </c>
      <c r="R340" s="186">
        <f>IFERROR(VLOOKUP(C340,TD!$B$33:$F$37,4,0)," ")</f>
        <v>20240255</v>
      </c>
      <c r="S340" s="51" t="s">
        <v>175</v>
      </c>
      <c r="T340" s="186" t="str">
        <f>IFERROR(VLOOKUP(S340,TD!$J$34:$K$44,2,0)," ")</f>
        <v>Servicio de atención a incidentes y emergencias.</v>
      </c>
      <c r="U340" s="187" t="str">
        <f>CONCATENATE(S340,"-",T340)</f>
        <v>04-Servicio de atención a incidentes y emergencias.</v>
      </c>
      <c r="V340" s="51" t="s">
        <v>232</v>
      </c>
      <c r="W340" s="186" t="str">
        <f>IFERROR(VLOOKUP(V340,TD!$N$34:$O$46,2,0)," ")</f>
        <v>Servicio de atención a emergencias y desastres</v>
      </c>
      <c r="X340" s="187" t="str">
        <f>CONCATENATE(V340,"_",W340)</f>
        <v>004_Servicio de atención a emergencias y desastres</v>
      </c>
      <c r="Y340" s="187" t="str">
        <f>CONCATENATE(U340," ",X340)</f>
        <v>04-Servicio de atención a incidentes y emergencias. 004_Servicio de atención a emergencias y desastres</v>
      </c>
      <c r="Z340" s="186" t="str">
        <f>CONCATENATE(P340,Q340,R340,S340,V340)</f>
        <v>O23011745032024025504004</v>
      </c>
      <c r="AA340" s="186" t="str">
        <f>IFERROR(VLOOKUP(Y340,TD!$K$47:$L$65,2,0)," ")</f>
        <v>PM/0131/0104/45030040255</v>
      </c>
      <c r="AB340" s="53" t="s">
        <v>138</v>
      </c>
      <c r="AC340" s="188" t="s">
        <v>204</v>
      </c>
    </row>
    <row r="341" spans="2:29" s="28" customFormat="1" ht="70" x14ac:dyDescent="0.35">
      <c r="B341" s="77">
        <v>20250323</v>
      </c>
      <c r="C341" s="50" t="s">
        <v>209</v>
      </c>
      <c r="D341" s="184" t="s">
        <v>169</v>
      </c>
      <c r="E341" s="51" t="s">
        <v>465</v>
      </c>
      <c r="F341" s="184" t="s">
        <v>528</v>
      </c>
      <c r="G341" s="184" t="s">
        <v>155</v>
      </c>
      <c r="H341" s="93">
        <v>80111600</v>
      </c>
      <c r="I341" s="185">
        <v>2</v>
      </c>
      <c r="J341" s="185">
        <v>11</v>
      </c>
      <c r="K341" s="52">
        <v>0</v>
      </c>
      <c r="L341" s="53">
        <v>88000000</v>
      </c>
      <c r="M341" s="184" t="s">
        <v>464</v>
      </c>
      <c r="N341" s="53" t="s">
        <v>113</v>
      </c>
      <c r="O341" s="51" t="s">
        <v>222</v>
      </c>
      <c r="P341" s="186" t="str">
        <f>IFERROR(VLOOKUP(C341,TD!$B$33:$F$37,2,0)," ")</f>
        <v>O230117</v>
      </c>
      <c r="Q341" s="186" t="str">
        <f>IFERROR(VLOOKUP(C341,TD!$B$33:$F$37,3,0)," ")</f>
        <v>4503</v>
      </c>
      <c r="R341" s="186">
        <f>IFERROR(VLOOKUP(C341,TD!$B$33:$F$37,4,0)," ")</f>
        <v>20240255</v>
      </c>
      <c r="S341" s="51" t="s">
        <v>175</v>
      </c>
      <c r="T341" s="186" t="str">
        <f>IFERROR(VLOOKUP(S341,TD!$J$34:$K$44,2,0)," ")</f>
        <v>Servicio de atención a incidentes y emergencias.</v>
      </c>
      <c r="U341" s="187" t="str">
        <f>CONCATENATE(S341,"-",T341)</f>
        <v>04-Servicio de atención a incidentes y emergencias.</v>
      </c>
      <c r="V341" s="51" t="s">
        <v>232</v>
      </c>
      <c r="W341" s="186" t="str">
        <f>IFERROR(VLOOKUP(V341,TD!$N$34:$O$46,2,0)," ")</f>
        <v>Servicio de atención a emergencias y desastres</v>
      </c>
      <c r="X341" s="187" t="str">
        <f>CONCATENATE(V341,"_",W341)</f>
        <v>004_Servicio de atención a emergencias y desastres</v>
      </c>
      <c r="Y341" s="187" t="str">
        <f>CONCATENATE(U341," ",X341)</f>
        <v>04-Servicio de atención a incidentes y emergencias. 004_Servicio de atención a emergencias y desastres</v>
      </c>
      <c r="Z341" s="186" t="str">
        <f>CONCATENATE(P341,Q341,R341,S341,V341)</f>
        <v>O23011745032024025504004</v>
      </c>
      <c r="AA341" s="186" t="str">
        <f>IFERROR(VLOOKUP(Y341,TD!$K$47:$L$65,2,0)," ")</f>
        <v>PM/0131/0104/45030040255</v>
      </c>
      <c r="AB341" s="53" t="s">
        <v>138</v>
      </c>
      <c r="AC341" s="188" t="s">
        <v>204</v>
      </c>
    </row>
    <row r="342" spans="2:29" s="28" customFormat="1" ht="84" x14ac:dyDescent="0.35">
      <c r="B342" s="77">
        <v>20250324</v>
      </c>
      <c r="C342" s="50" t="s">
        <v>209</v>
      </c>
      <c r="D342" s="184" t="s">
        <v>169</v>
      </c>
      <c r="E342" s="51" t="s">
        <v>465</v>
      </c>
      <c r="F342" s="184" t="s">
        <v>529</v>
      </c>
      <c r="G342" s="184" t="s">
        <v>155</v>
      </c>
      <c r="H342" s="93">
        <v>80111600</v>
      </c>
      <c r="I342" s="185">
        <v>2</v>
      </c>
      <c r="J342" s="185">
        <v>10</v>
      </c>
      <c r="K342" s="52">
        <v>0</v>
      </c>
      <c r="L342" s="53">
        <v>70000000</v>
      </c>
      <c r="M342" s="184" t="s">
        <v>464</v>
      </c>
      <c r="N342" s="53" t="s">
        <v>113</v>
      </c>
      <c r="O342" s="51" t="s">
        <v>222</v>
      </c>
      <c r="P342" s="186" t="str">
        <f>IFERROR(VLOOKUP(C342,TD!$B$33:$F$37,2,0)," ")</f>
        <v>O230117</v>
      </c>
      <c r="Q342" s="186" t="str">
        <f>IFERROR(VLOOKUP(C342,TD!$B$33:$F$37,3,0)," ")</f>
        <v>4503</v>
      </c>
      <c r="R342" s="186">
        <f>IFERROR(VLOOKUP(C342,TD!$B$33:$F$37,4,0)," ")</f>
        <v>20240255</v>
      </c>
      <c r="S342" s="51" t="s">
        <v>175</v>
      </c>
      <c r="T342" s="186" t="str">
        <f>IFERROR(VLOOKUP(S342,TD!$J$34:$K$44,2,0)," ")</f>
        <v>Servicio de atención a incidentes y emergencias.</v>
      </c>
      <c r="U342" s="187" t="str">
        <f>CONCATENATE(S342,"-",T342)</f>
        <v>04-Servicio de atención a incidentes y emergencias.</v>
      </c>
      <c r="V342" s="51" t="s">
        <v>232</v>
      </c>
      <c r="W342" s="186" t="str">
        <f>IFERROR(VLOOKUP(V342,TD!$N$34:$O$46,2,0)," ")</f>
        <v>Servicio de atención a emergencias y desastres</v>
      </c>
      <c r="X342" s="187" t="str">
        <f>CONCATENATE(V342,"_",W342)</f>
        <v>004_Servicio de atención a emergencias y desastres</v>
      </c>
      <c r="Y342" s="187" t="str">
        <f>CONCATENATE(U342," ",X342)</f>
        <v>04-Servicio de atención a incidentes y emergencias. 004_Servicio de atención a emergencias y desastres</v>
      </c>
      <c r="Z342" s="186" t="str">
        <f>CONCATENATE(P342,Q342,R342,S342,V342)</f>
        <v>O23011745032024025504004</v>
      </c>
      <c r="AA342" s="186" t="str">
        <f>IFERROR(VLOOKUP(Y342,TD!$K$47:$L$65,2,0)," ")</f>
        <v>PM/0131/0104/45030040255</v>
      </c>
      <c r="AB342" s="53" t="s">
        <v>138</v>
      </c>
      <c r="AC342" s="188" t="s">
        <v>204</v>
      </c>
    </row>
    <row r="343" spans="2:29" s="28" customFormat="1" ht="84" x14ac:dyDescent="0.35">
      <c r="B343" s="77">
        <v>20250325</v>
      </c>
      <c r="C343" s="50" t="s">
        <v>209</v>
      </c>
      <c r="D343" s="184" t="s">
        <v>169</v>
      </c>
      <c r="E343" s="51" t="s">
        <v>465</v>
      </c>
      <c r="F343" s="184" t="s">
        <v>530</v>
      </c>
      <c r="G343" s="184" t="s">
        <v>155</v>
      </c>
      <c r="H343" s="93">
        <v>80111600</v>
      </c>
      <c r="I343" s="185">
        <v>2</v>
      </c>
      <c r="J343" s="185">
        <v>10</v>
      </c>
      <c r="K343" s="52">
        <v>0</v>
      </c>
      <c r="L343" s="53">
        <v>70000000</v>
      </c>
      <c r="M343" s="184" t="s">
        <v>464</v>
      </c>
      <c r="N343" s="53" t="s">
        <v>113</v>
      </c>
      <c r="O343" s="51" t="s">
        <v>222</v>
      </c>
      <c r="P343" s="186" t="str">
        <f>IFERROR(VLOOKUP(C343,TD!$B$33:$F$37,2,0)," ")</f>
        <v>O230117</v>
      </c>
      <c r="Q343" s="186" t="str">
        <f>IFERROR(VLOOKUP(C343,TD!$B$33:$F$37,3,0)," ")</f>
        <v>4503</v>
      </c>
      <c r="R343" s="186">
        <f>IFERROR(VLOOKUP(C343,TD!$B$33:$F$37,4,0)," ")</f>
        <v>20240255</v>
      </c>
      <c r="S343" s="51" t="s">
        <v>175</v>
      </c>
      <c r="T343" s="186" t="str">
        <f>IFERROR(VLOOKUP(S343,TD!$J$34:$K$44,2,0)," ")</f>
        <v>Servicio de atención a incidentes y emergencias.</v>
      </c>
      <c r="U343" s="187" t="str">
        <f>CONCATENATE(S343,"-",T343)</f>
        <v>04-Servicio de atención a incidentes y emergencias.</v>
      </c>
      <c r="V343" s="51" t="s">
        <v>232</v>
      </c>
      <c r="W343" s="186" t="str">
        <f>IFERROR(VLOOKUP(V343,TD!$N$34:$O$46,2,0)," ")</f>
        <v>Servicio de atención a emergencias y desastres</v>
      </c>
      <c r="X343" s="187" t="str">
        <f>CONCATENATE(V343,"_",W343)</f>
        <v>004_Servicio de atención a emergencias y desastres</v>
      </c>
      <c r="Y343" s="187" t="str">
        <f>CONCATENATE(U343," ",X343)</f>
        <v>04-Servicio de atención a incidentes y emergencias. 004_Servicio de atención a emergencias y desastres</v>
      </c>
      <c r="Z343" s="186" t="str">
        <f>CONCATENATE(P343,Q343,R343,S343,V343)</f>
        <v>O23011745032024025504004</v>
      </c>
      <c r="AA343" s="186" t="str">
        <f>IFERROR(VLOOKUP(Y343,TD!$K$47:$L$65,2,0)," ")</f>
        <v>PM/0131/0104/45030040255</v>
      </c>
      <c r="AB343" s="53" t="s">
        <v>138</v>
      </c>
      <c r="AC343" s="188" t="s">
        <v>204</v>
      </c>
    </row>
    <row r="344" spans="2:29" s="28" customFormat="1" ht="70" x14ac:dyDescent="0.35">
      <c r="B344" s="77">
        <v>20250326</v>
      </c>
      <c r="C344" s="50" t="s">
        <v>209</v>
      </c>
      <c r="D344" s="184" t="s">
        <v>169</v>
      </c>
      <c r="E344" s="51" t="s">
        <v>465</v>
      </c>
      <c r="F344" s="184" t="s">
        <v>531</v>
      </c>
      <c r="G344" s="184" t="s">
        <v>155</v>
      </c>
      <c r="H344" s="93">
        <v>80111600</v>
      </c>
      <c r="I344" s="185">
        <v>3</v>
      </c>
      <c r="J344" s="185">
        <v>10</v>
      </c>
      <c r="K344" s="52">
        <v>0</v>
      </c>
      <c r="L344" s="53">
        <v>95000000</v>
      </c>
      <c r="M344" s="184" t="s">
        <v>464</v>
      </c>
      <c r="N344" s="53" t="s">
        <v>113</v>
      </c>
      <c r="O344" s="51" t="s">
        <v>222</v>
      </c>
      <c r="P344" s="186" t="str">
        <f>IFERROR(VLOOKUP(C344,TD!$B$33:$F$37,2,0)," ")</f>
        <v>O230117</v>
      </c>
      <c r="Q344" s="186" t="str">
        <f>IFERROR(VLOOKUP(C344,TD!$B$33:$F$37,3,0)," ")</f>
        <v>4503</v>
      </c>
      <c r="R344" s="186">
        <f>IFERROR(VLOOKUP(C344,TD!$B$33:$F$37,4,0)," ")</f>
        <v>20240255</v>
      </c>
      <c r="S344" s="51" t="s">
        <v>175</v>
      </c>
      <c r="T344" s="186" t="str">
        <f>IFERROR(VLOOKUP(S344,TD!$J$34:$K$44,2,0)," ")</f>
        <v>Servicio de atención a incidentes y emergencias.</v>
      </c>
      <c r="U344" s="187" t="str">
        <f>CONCATENATE(S344,"-",T344)</f>
        <v>04-Servicio de atención a incidentes y emergencias.</v>
      </c>
      <c r="V344" s="51" t="s">
        <v>232</v>
      </c>
      <c r="W344" s="186" t="str">
        <f>IFERROR(VLOOKUP(V344,TD!$N$34:$O$46,2,0)," ")</f>
        <v>Servicio de atención a emergencias y desastres</v>
      </c>
      <c r="X344" s="187" t="str">
        <f>CONCATENATE(V344,"_",W344)</f>
        <v>004_Servicio de atención a emergencias y desastres</v>
      </c>
      <c r="Y344" s="187" t="str">
        <f>CONCATENATE(U344," ",X344)</f>
        <v>04-Servicio de atención a incidentes y emergencias. 004_Servicio de atención a emergencias y desastres</v>
      </c>
      <c r="Z344" s="186" t="str">
        <f>CONCATENATE(P344,Q344,R344,S344,V344)</f>
        <v>O23011745032024025504004</v>
      </c>
      <c r="AA344" s="186" t="str">
        <f>IFERROR(VLOOKUP(Y344,TD!$K$47:$L$65,2,0)," ")</f>
        <v>PM/0131/0104/45030040255</v>
      </c>
      <c r="AB344" s="53" t="s">
        <v>138</v>
      </c>
      <c r="AC344" s="188" t="s">
        <v>204</v>
      </c>
    </row>
    <row r="345" spans="2:29" s="28" customFormat="1" ht="84" x14ac:dyDescent="0.35">
      <c r="B345" s="77">
        <v>20250327</v>
      </c>
      <c r="C345" s="50" t="s">
        <v>209</v>
      </c>
      <c r="D345" s="184" t="s">
        <v>169</v>
      </c>
      <c r="E345" s="51" t="s">
        <v>465</v>
      </c>
      <c r="F345" s="184" t="s">
        <v>532</v>
      </c>
      <c r="G345" s="184" t="s">
        <v>155</v>
      </c>
      <c r="H345" s="93">
        <v>80111600</v>
      </c>
      <c r="I345" s="185">
        <v>2</v>
      </c>
      <c r="J345" s="185">
        <v>10</v>
      </c>
      <c r="K345" s="52">
        <v>15</v>
      </c>
      <c r="L345" s="53">
        <v>47250000</v>
      </c>
      <c r="M345" s="184" t="s">
        <v>464</v>
      </c>
      <c r="N345" s="53" t="s">
        <v>113</v>
      </c>
      <c r="O345" s="51" t="s">
        <v>222</v>
      </c>
      <c r="P345" s="186" t="str">
        <f>IFERROR(VLOOKUP(C345,TD!$B$33:$F$37,2,0)," ")</f>
        <v>O230117</v>
      </c>
      <c r="Q345" s="186" t="str">
        <f>IFERROR(VLOOKUP(C345,TD!$B$33:$F$37,3,0)," ")</f>
        <v>4503</v>
      </c>
      <c r="R345" s="186">
        <f>IFERROR(VLOOKUP(C345,TD!$B$33:$F$37,4,0)," ")</f>
        <v>20240255</v>
      </c>
      <c r="S345" s="51" t="s">
        <v>175</v>
      </c>
      <c r="T345" s="186" t="str">
        <f>IFERROR(VLOOKUP(S345,TD!$J$34:$K$44,2,0)," ")</f>
        <v>Servicio de atención a incidentes y emergencias.</v>
      </c>
      <c r="U345" s="187" t="str">
        <f>CONCATENATE(S345,"-",T345)</f>
        <v>04-Servicio de atención a incidentes y emergencias.</v>
      </c>
      <c r="V345" s="51" t="s">
        <v>232</v>
      </c>
      <c r="W345" s="186" t="str">
        <f>IFERROR(VLOOKUP(V345,TD!$N$34:$O$46,2,0)," ")</f>
        <v>Servicio de atención a emergencias y desastres</v>
      </c>
      <c r="X345" s="187" t="str">
        <f>CONCATENATE(V345,"_",W345)</f>
        <v>004_Servicio de atención a emergencias y desastres</v>
      </c>
      <c r="Y345" s="187" t="str">
        <f>CONCATENATE(U345," ",X345)</f>
        <v>04-Servicio de atención a incidentes y emergencias. 004_Servicio de atención a emergencias y desastres</v>
      </c>
      <c r="Z345" s="186" t="str">
        <f>CONCATENATE(P345,Q345,R345,S345,V345)</f>
        <v>O23011745032024025504004</v>
      </c>
      <c r="AA345" s="186" t="str">
        <f>IFERROR(VLOOKUP(Y345,TD!$K$47:$L$65,2,0)," ")</f>
        <v>PM/0131/0104/45030040255</v>
      </c>
      <c r="AB345" s="53" t="s">
        <v>138</v>
      </c>
      <c r="AC345" s="51" t="s">
        <v>204</v>
      </c>
    </row>
    <row r="346" spans="2:29" s="28" customFormat="1" ht="84" x14ac:dyDescent="0.35">
      <c r="B346" s="77">
        <v>20250328</v>
      </c>
      <c r="C346" s="50" t="s">
        <v>209</v>
      </c>
      <c r="D346" s="184" t="s">
        <v>169</v>
      </c>
      <c r="E346" s="51" t="s">
        <v>465</v>
      </c>
      <c r="F346" s="184" t="s">
        <v>533</v>
      </c>
      <c r="G346" s="184" t="s">
        <v>155</v>
      </c>
      <c r="H346" s="93">
        <v>80111600</v>
      </c>
      <c r="I346" s="185">
        <v>2</v>
      </c>
      <c r="J346" s="185">
        <v>10</v>
      </c>
      <c r="K346" s="52">
        <v>0</v>
      </c>
      <c r="L346" s="53">
        <v>74550000</v>
      </c>
      <c r="M346" s="184" t="s">
        <v>464</v>
      </c>
      <c r="N346" s="53" t="s">
        <v>113</v>
      </c>
      <c r="O346" s="51" t="s">
        <v>222</v>
      </c>
      <c r="P346" s="186" t="str">
        <f>IFERROR(VLOOKUP(C346,TD!$B$33:$F$37,2,0)," ")</f>
        <v>O230117</v>
      </c>
      <c r="Q346" s="186" t="str">
        <f>IFERROR(VLOOKUP(C346,TD!$B$33:$F$37,3,0)," ")</f>
        <v>4503</v>
      </c>
      <c r="R346" s="186">
        <f>IFERROR(VLOOKUP(C346,TD!$B$33:$F$37,4,0)," ")</f>
        <v>20240255</v>
      </c>
      <c r="S346" s="51" t="s">
        <v>175</v>
      </c>
      <c r="T346" s="186" t="str">
        <f>IFERROR(VLOOKUP(S346,TD!$J$34:$K$44,2,0)," ")</f>
        <v>Servicio de atención a incidentes y emergencias.</v>
      </c>
      <c r="U346" s="187" t="str">
        <f>CONCATENATE(S346,"-",T346)</f>
        <v>04-Servicio de atención a incidentes y emergencias.</v>
      </c>
      <c r="V346" s="51" t="s">
        <v>232</v>
      </c>
      <c r="W346" s="186" t="str">
        <f>IFERROR(VLOOKUP(V346,TD!$N$34:$O$46,2,0)," ")</f>
        <v>Servicio de atención a emergencias y desastres</v>
      </c>
      <c r="X346" s="187" t="str">
        <f>CONCATENATE(V346,"_",W346)</f>
        <v>004_Servicio de atención a emergencias y desastres</v>
      </c>
      <c r="Y346" s="187" t="str">
        <f>CONCATENATE(U346," ",X346)</f>
        <v>04-Servicio de atención a incidentes y emergencias. 004_Servicio de atención a emergencias y desastres</v>
      </c>
      <c r="Z346" s="186" t="str">
        <f>CONCATENATE(P346,Q346,R346,S346,V346)</f>
        <v>O23011745032024025504004</v>
      </c>
      <c r="AA346" s="186" t="str">
        <f>IFERROR(VLOOKUP(Y346,TD!$K$47:$L$65,2,0)," ")</f>
        <v>PM/0131/0104/45030040255</v>
      </c>
      <c r="AB346" s="53" t="s">
        <v>138</v>
      </c>
      <c r="AC346" s="188" t="s">
        <v>204</v>
      </c>
    </row>
    <row r="347" spans="2:29" s="28" customFormat="1" ht="84" x14ac:dyDescent="0.35">
      <c r="B347" s="77">
        <v>20250329</v>
      </c>
      <c r="C347" s="50" t="s">
        <v>209</v>
      </c>
      <c r="D347" s="184" t="s">
        <v>169</v>
      </c>
      <c r="E347" s="51" t="s">
        <v>465</v>
      </c>
      <c r="F347" s="184" t="s">
        <v>534</v>
      </c>
      <c r="G347" s="184" t="s">
        <v>155</v>
      </c>
      <c r="H347" s="93">
        <v>80111600</v>
      </c>
      <c r="I347" s="185">
        <v>2</v>
      </c>
      <c r="J347" s="185">
        <v>10</v>
      </c>
      <c r="K347" s="52">
        <v>0</v>
      </c>
      <c r="L347" s="53">
        <v>65000000</v>
      </c>
      <c r="M347" s="184" t="s">
        <v>464</v>
      </c>
      <c r="N347" s="53" t="s">
        <v>113</v>
      </c>
      <c r="O347" s="51" t="s">
        <v>222</v>
      </c>
      <c r="P347" s="186" t="str">
        <f>IFERROR(VLOOKUP(C347,TD!$B$33:$F$37,2,0)," ")</f>
        <v>O230117</v>
      </c>
      <c r="Q347" s="186" t="str">
        <f>IFERROR(VLOOKUP(C347,TD!$B$33:$F$37,3,0)," ")</f>
        <v>4503</v>
      </c>
      <c r="R347" s="186">
        <f>IFERROR(VLOOKUP(C347,TD!$B$33:$F$37,4,0)," ")</f>
        <v>20240255</v>
      </c>
      <c r="S347" s="51" t="s">
        <v>175</v>
      </c>
      <c r="T347" s="186" t="str">
        <f>IFERROR(VLOOKUP(S347,TD!$J$34:$K$44,2,0)," ")</f>
        <v>Servicio de atención a incidentes y emergencias.</v>
      </c>
      <c r="U347" s="187" t="str">
        <f>CONCATENATE(S347,"-",T347)</f>
        <v>04-Servicio de atención a incidentes y emergencias.</v>
      </c>
      <c r="V347" s="51" t="s">
        <v>232</v>
      </c>
      <c r="W347" s="186" t="str">
        <f>IFERROR(VLOOKUP(V347,TD!$N$34:$O$46,2,0)," ")</f>
        <v>Servicio de atención a emergencias y desastres</v>
      </c>
      <c r="X347" s="187" t="str">
        <f>CONCATENATE(V347,"_",W347)</f>
        <v>004_Servicio de atención a emergencias y desastres</v>
      </c>
      <c r="Y347" s="187" t="str">
        <f>CONCATENATE(U347," ",X347)</f>
        <v>04-Servicio de atención a incidentes y emergencias. 004_Servicio de atención a emergencias y desastres</v>
      </c>
      <c r="Z347" s="186" t="str">
        <f>CONCATENATE(P347,Q347,R347,S347,V347)</f>
        <v>O23011745032024025504004</v>
      </c>
      <c r="AA347" s="186" t="str">
        <f>IFERROR(VLOOKUP(Y347,TD!$K$47:$L$65,2,0)," ")</f>
        <v>PM/0131/0104/45030040255</v>
      </c>
      <c r="AB347" s="53" t="s">
        <v>138</v>
      </c>
      <c r="AC347" s="188" t="s">
        <v>204</v>
      </c>
    </row>
    <row r="348" spans="2:29" s="28" customFormat="1" ht="98" x14ac:dyDescent="0.35">
      <c r="B348" s="77">
        <v>20250330</v>
      </c>
      <c r="C348" s="50" t="s">
        <v>209</v>
      </c>
      <c r="D348" s="184" t="s">
        <v>169</v>
      </c>
      <c r="E348" s="51" t="s">
        <v>465</v>
      </c>
      <c r="F348" s="184" t="s">
        <v>535</v>
      </c>
      <c r="G348" s="184" t="s">
        <v>155</v>
      </c>
      <c r="H348" s="93">
        <v>80111600</v>
      </c>
      <c r="I348" s="185">
        <v>3</v>
      </c>
      <c r="J348" s="185">
        <v>9</v>
      </c>
      <c r="K348" s="52">
        <v>0</v>
      </c>
      <c r="L348" s="53">
        <v>63000000</v>
      </c>
      <c r="M348" s="184" t="s">
        <v>464</v>
      </c>
      <c r="N348" s="53" t="s">
        <v>113</v>
      </c>
      <c r="O348" s="51" t="s">
        <v>222</v>
      </c>
      <c r="P348" s="186" t="str">
        <f>IFERROR(VLOOKUP(C348,TD!$B$33:$F$37,2,0)," ")</f>
        <v>O230117</v>
      </c>
      <c r="Q348" s="186" t="str">
        <f>IFERROR(VLOOKUP(C348,TD!$B$33:$F$37,3,0)," ")</f>
        <v>4503</v>
      </c>
      <c r="R348" s="186">
        <f>IFERROR(VLOOKUP(C348,TD!$B$33:$F$37,4,0)," ")</f>
        <v>20240255</v>
      </c>
      <c r="S348" s="51" t="s">
        <v>175</v>
      </c>
      <c r="T348" s="186" t="str">
        <f>IFERROR(VLOOKUP(S348,TD!$J$34:$K$44,2,0)," ")</f>
        <v>Servicio de atención a incidentes y emergencias.</v>
      </c>
      <c r="U348" s="187" t="str">
        <f>CONCATENATE(S348,"-",T348)</f>
        <v>04-Servicio de atención a incidentes y emergencias.</v>
      </c>
      <c r="V348" s="51" t="s">
        <v>232</v>
      </c>
      <c r="W348" s="186" t="str">
        <f>IFERROR(VLOOKUP(V348,TD!$N$34:$O$46,2,0)," ")</f>
        <v>Servicio de atención a emergencias y desastres</v>
      </c>
      <c r="X348" s="187" t="str">
        <f>CONCATENATE(V348,"_",W348)</f>
        <v>004_Servicio de atención a emergencias y desastres</v>
      </c>
      <c r="Y348" s="187" t="str">
        <f>CONCATENATE(U348," ",X348)</f>
        <v>04-Servicio de atención a incidentes y emergencias. 004_Servicio de atención a emergencias y desastres</v>
      </c>
      <c r="Z348" s="186" t="str">
        <f>CONCATENATE(P348,Q348,R348,S348,V348)</f>
        <v>O23011745032024025504004</v>
      </c>
      <c r="AA348" s="186" t="str">
        <f>IFERROR(VLOOKUP(Y348,TD!$K$47:$L$65,2,0)," ")</f>
        <v>PM/0131/0104/45030040255</v>
      </c>
      <c r="AB348" s="53" t="s">
        <v>138</v>
      </c>
      <c r="AC348" s="188" t="s">
        <v>204</v>
      </c>
    </row>
    <row r="349" spans="2:29" s="28" customFormat="1" ht="84" x14ac:dyDescent="0.35">
      <c r="B349" s="77">
        <v>20250331</v>
      </c>
      <c r="C349" s="50" t="s">
        <v>209</v>
      </c>
      <c r="D349" s="184" t="s">
        <v>169</v>
      </c>
      <c r="E349" s="51" t="s">
        <v>465</v>
      </c>
      <c r="F349" s="184" t="s">
        <v>536</v>
      </c>
      <c r="G349" s="184" t="s">
        <v>155</v>
      </c>
      <c r="H349" s="93">
        <v>80111600</v>
      </c>
      <c r="I349" s="185">
        <v>2</v>
      </c>
      <c r="J349" s="185">
        <v>10</v>
      </c>
      <c r="K349" s="52">
        <v>0</v>
      </c>
      <c r="L349" s="53">
        <v>70000000</v>
      </c>
      <c r="M349" s="184" t="s">
        <v>464</v>
      </c>
      <c r="N349" s="53" t="s">
        <v>113</v>
      </c>
      <c r="O349" s="51" t="s">
        <v>222</v>
      </c>
      <c r="P349" s="186" t="str">
        <f>IFERROR(VLOOKUP(C349,TD!$B$33:$F$37,2,0)," ")</f>
        <v>O230117</v>
      </c>
      <c r="Q349" s="186" t="str">
        <f>IFERROR(VLOOKUP(C349,TD!$B$33:$F$37,3,0)," ")</f>
        <v>4503</v>
      </c>
      <c r="R349" s="186">
        <f>IFERROR(VLOOKUP(C349,TD!$B$33:$F$37,4,0)," ")</f>
        <v>20240255</v>
      </c>
      <c r="S349" s="51" t="s">
        <v>175</v>
      </c>
      <c r="T349" s="186" t="str">
        <f>IFERROR(VLOOKUP(S349,TD!$J$34:$K$44,2,0)," ")</f>
        <v>Servicio de atención a incidentes y emergencias.</v>
      </c>
      <c r="U349" s="187" t="str">
        <f>CONCATENATE(S349,"-",T349)</f>
        <v>04-Servicio de atención a incidentes y emergencias.</v>
      </c>
      <c r="V349" s="51" t="s">
        <v>232</v>
      </c>
      <c r="W349" s="186" t="str">
        <f>IFERROR(VLOOKUP(V349,TD!$N$34:$O$46,2,0)," ")</f>
        <v>Servicio de atención a emergencias y desastres</v>
      </c>
      <c r="X349" s="187" t="str">
        <f>CONCATENATE(V349,"_",W349)</f>
        <v>004_Servicio de atención a emergencias y desastres</v>
      </c>
      <c r="Y349" s="187" t="str">
        <f>CONCATENATE(U349," ",X349)</f>
        <v>04-Servicio de atención a incidentes y emergencias. 004_Servicio de atención a emergencias y desastres</v>
      </c>
      <c r="Z349" s="186" t="str">
        <f>CONCATENATE(P349,Q349,R349,S349,V349)</f>
        <v>O23011745032024025504004</v>
      </c>
      <c r="AA349" s="186" t="str">
        <f>IFERROR(VLOOKUP(Y349,TD!$K$47:$L$65,2,0)," ")</f>
        <v>PM/0131/0104/45030040255</v>
      </c>
      <c r="AB349" s="53" t="s">
        <v>138</v>
      </c>
      <c r="AC349" s="188" t="s">
        <v>204</v>
      </c>
    </row>
    <row r="350" spans="2:29" s="28" customFormat="1" ht="84" x14ac:dyDescent="0.35">
      <c r="B350" s="77">
        <v>20250332</v>
      </c>
      <c r="C350" s="50" t="s">
        <v>209</v>
      </c>
      <c r="D350" s="184" t="s">
        <v>169</v>
      </c>
      <c r="E350" s="51" t="s">
        <v>465</v>
      </c>
      <c r="F350" s="184" t="s">
        <v>838</v>
      </c>
      <c r="G350" s="184" t="s">
        <v>155</v>
      </c>
      <c r="H350" s="93">
        <v>80111600</v>
      </c>
      <c r="I350" s="185">
        <v>3</v>
      </c>
      <c r="J350" s="185">
        <v>10</v>
      </c>
      <c r="K350" s="52">
        <v>0</v>
      </c>
      <c r="L350" s="53">
        <v>94683333</v>
      </c>
      <c r="M350" s="184" t="s">
        <v>464</v>
      </c>
      <c r="N350" s="53" t="s">
        <v>113</v>
      </c>
      <c r="O350" s="51" t="s">
        <v>222</v>
      </c>
      <c r="P350" s="186" t="str">
        <f>IFERROR(VLOOKUP(C350,TD!$B$33:$F$37,2,0)," ")</f>
        <v>O230117</v>
      </c>
      <c r="Q350" s="186" t="str">
        <f>IFERROR(VLOOKUP(C350,TD!$B$33:$F$37,3,0)," ")</f>
        <v>4503</v>
      </c>
      <c r="R350" s="186">
        <f>IFERROR(VLOOKUP(C350,TD!$B$33:$F$37,4,0)," ")</f>
        <v>20240255</v>
      </c>
      <c r="S350" s="51" t="s">
        <v>175</v>
      </c>
      <c r="T350" s="186" t="str">
        <f>IFERROR(VLOOKUP(S350,TD!$J$34:$K$44,2,0)," ")</f>
        <v>Servicio de atención a incidentes y emergencias.</v>
      </c>
      <c r="U350" s="187" t="str">
        <f>CONCATENATE(S350,"-",T350)</f>
        <v>04-Servicio de atención a incidentes y emergencias.</v>
      </c>
      <c r="V350" s="51" t="s">
        <v>232</v>
      </c>
      <c r="W350" s="186" t="str">
        <f>IFERROR(VLOOKUP(V350,TD!$N$34:$O$46,2,0)," ")</f>
        <v>Servicio de atención a emergencias y desastres</v>
      </c>
      <c r="X350" s="187" t="str">
        <f>CONCATENATE(V350,"_",W350)</f>
        <v>004_Servicio de atención a emergencias y desastres</v>
      </c>
      <c r="Y350" s="187" t="str">
        <f>CONCATENATE(U350," ",X350)</f>
        <v>04-Servicio de atención a incidentes y emergencias. 004_Servicio de atención a emergencias y desastres</v>
      </c>
      <c r="Z350" s="186" t="str">
        <f>CONCATENATE(P350,Q350,R350,S350,V350)</f>
        <v>O23011745032024025504004</v>
      </c>
      <c r="AA350" s="186" t="str">
        <f>IFERROR(VLOOKUP(Y350,TD!$K$47:$L$65,2,0)," ")</f>
        <v>PM/0131/0104/45030040255</v>
      </c>
      <c r="AB350" s="53" t="s">
        <v>138</v>
      </c>
      <c r="AC350" s="188" t="s">
        <v>204</v>
      </c>
    </row>
    <row r="351" spans="2:29" s="28" customFormat="1" ht="70" x14ac:dyDescent="0.35">
      <c r="B351" s="77">
        <v>20250333</v>
      </c>
      <c r="C351" s="50" t="s">
        <v>209</v>
      </c>
      <c r="D351" s="184" t="s">
        <v>169</v>
      </c>
      <c r="E351" s="51" t="s">
        <v>465</v>
      </c>
      <c r="F351" s="184" t="s">
        <v>537</v>
      </c>
      <c r="G351" s="184" t="s">
        <v>155</v>
      </c>
      <c r="H351" s="93">
        <v>80111600</v>
      </c>
      <c r="I351" s="185">
        <v>2</v>
      </c>
      <c r="J351" s="185">
        <v>10</v>
      </c>
      <c r="K351" s="52">
        <v>0</v>
      </c>
      <c r="L351" s="53">
        <v>55000000</v>
      </c>
      <c r="M351" s="184" t="s">
        <v>464</v>
      </c>
      <c r="N351" s="53" t="s">
        <v>113</v>
      </c>
      <c r="O351" s="51" t="s">
        <v>222</v>
      </c>
      <c r="P351" s="186" t="str">
        <f>IFERROR(VLOOKUP(C351,TD!$B$33:$F$37,2,0)," ")</f>
        <v>O230117</v>
      </c>
      <c r="Q351" s="186" t="str">
        <f>IFERROR(VLOOKUP(C351,TD!$B$33:$F$37,3,0)," ")</f>
        <v>4503</v>
      </c>
      <c r="R351" s="186">
        <f>IFERROR(VLOOKUP(C351,TD!$B$33:$F$37,4,0)," ")</f>
        <v>20240255</v>
      </c>
      <c r="S351" s="51" t="s">
        <v>175</v>
      </c>
      <c r="T351" s="186" t="str">
        <f>IFERROR(VLOOKUP(S351,TD!$J$34:$K$44,2,0)," ")</f>
        <v>Servicio de atención a incidentes y emergencias.</v>
      </c>
      <c r="U351" s="187" t="str">
        <f>CONCATENATE(S351,"-",T351)</f>
        <v>04-Servicio de atención a incidentes y emergencias.</v>
      </c>
      <c r="V351" s="51" t="s">
        <v>232</v>
      </c>
      <c r="W351" s="186" t="str">
        <f>IFERROR(VLOOKUP(V351,TD!$N$34:$O$46,2,0)," ")</f>
        <v>Servicio de atención a emergencias y desastres</v>
      </c>
      <c r="X351" s="187" t="str">
        <f>CONCATENATE(V351,"_",W351)</f>
        <v>004_Servicio de atención a emergencias y desastres</v>
      </c>
      <c r="Y351" s="187" t="str">
        <f>CONCATENATE(U351," ",X351)</f>
        <v>04-Servicio de atención a incidentes y emergencias. 004_Servicio de atención a emergencias y desastres</v>
      </c>
      <c r="Z351" s="186" t="str">
        <f>CONCATENATE(P351,Q351,R351,S351,V351)</f>
        <v>O23011745032024025504004</v>
      </c>
      <c r="AA351" s="186" t="str">
        <f>IFERROR(VLOOKUP(Y351,TD!$K$47:$L$65,2,0)," ")</f>
        <v>PM/0131/0104/45030040255</v>
      </c>
      <c r="AB351" s="53" t="s">
        <v>138</v>
      </c>
      <c r="AC351" s="188" t="s">
        <v>204</v>
      </c>
    </row>
    <row r="352" spans="2:29" s="108" customFormat="1" ht="84" x14ac:dyDescent="0.35">
      <c r="B352" s="77">
        <v>20250334</v>
      </c>
      <c r="C352" s="50" t="s">
        <v>209</v>
      </c>
      <c r="D352" s="184" t="s">
        <v>169</v>
      </c>
      <c r="E352" s="51" t="s">
        <v>465</v>
      </c>
      <c r="F352" s="184" t="s">
        <v>831</v>
      </c>
      <c r="G352" s="184" t="s">
        <v>155</v>
      </c>
      <c r="H352" s="93">
        <v>80111600</v>
      </c>
      <c r="I352" s="185">
        <v>3</v>
      </c>
      <c r="J352" s="185">
        <v>9</v>
      </c>
      <c r="K352" s="52">
        <v>15</v>
      </c>
      <c r="L352" s="53">
        <v>66500000</v>
      </c>
      <c r="M352" s="184" t="s">
        <v>464</v>
      </c>
      <c r="N352" s="53" t="s">
        <v>113</v>
      </c>
      <c r="O352" s="51" t="s">
        <v>222</v>
      </c>
      <c r="P352" s="186" t="str">
        <f>IFERROR(VLOOKUP(C352,TD!$B$33:$F$37,2,0)," ")</f>
        <v>O230117</v>
      </c>
      <c r="Q352" s="186" t="str">
        <f>IFERROR(VLOOKUP(C352,TD!$B$33:$F$37,3,0)," ")</f>
        <v>4503</v>
      </c>
      <c r="R352" s="186">
        <f>IFERROR(VLOOKUP(C352,TD!$B$33:$F$37,4,0)," ")</f>
        <v>20240255</v>
      </c>
      <c r="S352" s="51" t="s">
        <v>175</v>
      </c>
      <c r="T352" s="186" t="str">
        <f>IFERROR(VLOOKUP(S352,TD!$J$34:$K$44,2,0)," ")</f>
        <v>Servicio de atención a incidentes y emergencias.</v>
      </c>
      <c r="U352" s="187" t="str">
        <f>CONCATENATE(S352,"-",T352)</f>
        <v>04-Servicio de atención a incidentes y emergencias.</v>
      </c>
      <c r="V352" s="51" t="s">
        <v>232</v>
      </c>
      <c r="W352" s="186" t="str">
        <f>IFERROR(VLOOKUP(V352,TD!$N$34:$O$46,2,0)," ")</f>
        <v>Servicio de atención a emergencias y desastres</v>
      </c>
      <c r="X352" s="187" t="str">
        <f>CONCATENATE(V352,"_",W352)</f>
        <v>004_Servicio de atención a emergencias y desastres</v>
      </c>
      <c r="Y352" s="187" t="str">
        <f>CONCATENATE(U352," ",X352)</f>
        <v>04-Servicio de atención a incidentes y emergencias. 004_Servicio de atención a emergencias y desastres</v>
      </c>
      <c r="Z352" s="186" t="str">
        <f>CONCATENATE(P352,Q352,R352,S352,V352)</f>
        <v>O23011745032024025504004</v>
      </c>
      <c r="AA352" s="186" t="str">
        <f>IFERROR(VLOOKUP(Y352,TD!$K$47:$L$65,2,0)," ")</f>
        <v>PM/0131/0104/45030040255</v>
      </c>
      <c r="AB352" s="53" t="s">
        <v>138</v>
      </c>
      <c r="AC352" s="188" t="s">
        <v>204</v>
      </c>
    </row>
    <row r="353" spans="2:29" s="108" customFormat="1" ht="84" x14ac:dyDescent="0.35">
      <c r="B353" s="77">
        <v>20250335</v>
      </c>
      <c r="C353" s="50" t="s">
        <v>209</v>
      </c>
      <c r="D353" s="184" t="s">
        <v>169</v>
      </c>
      <c r="E353" s="51" t="s">
        <v>465</v>
      </c>
      <c r="F353" s="184" t="s">
        <v>538</v>
      </c>
      <c r="G353" s="184" t="s">
        <v>155</v>
      </c>
      <c r="H353" s="93">
        <v>80111600</v>
      </c>
      <c r="I353" s="185">
        <v>2</v>
      </c>
      <c r="J353" s="185">
        <v>10</v>
      </c>
      <c r="K353" s="52">
        <v>15</v>
      </c>
      <c r="L353" s="53">
        <v>50000000</v>
      </c>
      <c r="M353" s="184" t="s">
        <v>464</v>
      </c>
      <c r="N353" s="53" t="s">
        <v>113</v>
      </c>
      <c r="O353" s="51" t="s">
        <v>222</v>
      </c>
      <c r="P353" s="186" t="str">
        <f>IFERROR(VLOOKUP(C353,TD!$B$33:$F$37,2,0)," ")</f>
        <v>O230117</v>
      </c>
      <c r="Q353" s="186" t="str">
        <f>IFERROR(VLOOKUP(C353,TD!$B$33:$F$37,3,0)," ")</f>
        <v>4503</v>
      </c>
      <c r="R353" s="186">
        <f>IFERROR(VLOOKUP(C353,TD!$B$33:$F$37,4,0)," ")</f>
        <v>20240255</v>
      </c>
      <c r="S353" s="51" t="s">
        <v>175</v>
      </c>
      <c r="T353" s="186" t="str">
        <f>IFERROR(VLOOKUP(S353,TD!$J$34:$K$44,2,0)," ")</f>
        <v>Servicio de atención a incidentes y emergencias.</v>
      </c>
      <c r="U353" s="187" t="str">
        <f>CONCATENATE(S353,"-",T353)</f>
        <v>04-Servicio de atención a incidentes y emergencias.</v>
      </c>
      <c r="V353" s="51" t="s">
        <v>232</v>
      </c>
      <c r="W353" s="186" t="str">
        <f>IFERROR(VLOOKUP(V353,TD!$N$34:$O$46,2,0)," ")</f>
        <v>Servicio de atención a emergencias y desastres</v>
      </c>
      <c r="X353" s="187" t="str">
        <f>CONCATENATE(V353,"_",W353)</f>
        <v>004_Servicio de atención a emergencias y desastres</v>
      </c>
      <c r="Y353" s="187" t="str">
        <f>CONCATENATE(U353," ",X353)</f>
        <v>04-Servicio de atención a incidentes y emergencias. 004_Servicio de atención a emergencias y desastres</v>
      </c>
      <c r="Z353" s="186" t="str">
        <f>CONCATENATE(P353,Q353,R353,S353,V353)</f>
        <v>O23011745032024025504004</v>
      </c>
      <c r="AA353" s="186" t="str">
        <f>IFERROR(VLOOKUP(Y353,TD!$K$47:$L$65,2,0)," ")</f>
        <v>PM/0131/0104/45030040255</v>
      </c>
      <c r="AB353" s="53" t="s">
        <v>138</v>
      </c>
      <c r="AC353" s="188" t="s">
        <v>204</v>
      </c>
    </row>
    <row r="354" spans="2:29" s="108" customFormat="1" ht="98" x14ac:dyDescent="0.35">
      <c r="B354" s="77">
        <v>20250336</v>
      </c>
      <c r="C354" s="50" t="s">
        <v>209</v>
      </c>
      <c r="D354" s="184" t="s">
        <v>169</v>
      </c>
      <c r="E354" s="51" t="s">
        <v>465</v>
      </c>
      <c r="F354" s="184" t="s">
        <v>539</v>
      </c>
      <c r="G354" s="184" t="s">
        <v>155</v>
      </c>
      <c r="H354" s="93">
        <v>80111600</v>
      </c>
      <c r="I354" s="185">
        <v>2</v>
      </c>
      <c r="J354" s="185">
        <v>9</v>
      </c>
      <c r="K354" s="52">
        <v>0</v>
      </c>
      <c r="L354" s="53">
        <v>63000000</v>
      </c>
      <c r="M354" s="184" t="s">
        <v>464</v>
      </c>
      <c r="N354" s="53" t="s">
        <v>113</v>
      </c>
      <c r="O354" s="51" t="s">
        <v>222</v>
      </c>
      <c r="P354" s="186" t="str">
        <f>IFERROR(VLOOKUP(C354,TD!$B$33:$F$37,2,0)," ")</f>
        <v>O230117</v>
      </c>
      <c r="Q354" s="186" t="str">
        <f>IFERROR(VLOOKUP(C354,TD!$B$33:$F$37,3,0)," ")</f>
        <v>4503</v>
      </c>
      <c r="R354" s="186">
        <f>IFERROR(VLOOKUP(C354,TD!$B$33:$F$37,4,0)," ")</f>
        <v>20240255</v>
      </c>
      <c r="S354" s="51" t="s">
        <v>175</v>
      </c>
      <c r="T354" s="186" t="str">
        <f>IFERROR(VLOOKUP(S354,TD!$J$34:$K$44,2,0)," ")</f>
        <v>Servicio de atención a incidentes y emergencias.</v>
      </c>
      <c r="U354" s="187" t="str">
        <f>CONCATENATE(S354,"-",T354)</f>
        <v>04-Servicio de atención a incidentes y emergencias.</v>
      </c>
      <c r="V354" s="51" t="s">
        <v>232</v>
      </c>
      <c r="W354" s="186" t="str">
        <f>IFERROR(VLOOKUP(V354,TD!$N$34:$O$46,2,0)," ")</f>
        <v>Servicio de atención a emergencias y desastres</v>
      </c>
      <c r="X354" s="187" t="str">
        <f>CONCATENATE(V354,"_",W354)</f>
        <v>004_Servicio de atención a emergencias y desastres</v>
      </c>
      <c r="Y354" s="187" t="str">
        <f>CONCATENATE(U354," ",X354)</f>
        <v>04-Servicio de atención a incidentes y emergencias. 004_Servicio de atención a emergencias y desastres</v>
      </c>
      <c r="Z354" s="186" t="str">
        <f>CONCATENATE(P354,Q354,R354,S354,V354)</f>
        <v>O23011745032024025504004</v>
      </c>
      <c r="AA354" s="186" t="str">
        <f>IFERROR(VLOOKUP(Y354,TD!$K$47:$L$65,2,0)," ")</f>
        <v>PM/0131/0104/45030040255</v>
      </c>
      <c r="AB354" s="53" t="s">
        <v>138</v>
      </c>
      <c r="AC354" s="188" t="s">
        <v>204</v>
      </c>
    </row>
    <row r="355" spans="2:29" s="108" customFormat="1" ht="98" x14ac:dyDescent="0.35">
      <c r="B355" s="77">
        <v>20250337</v>
      </c>
      <c r="C355" s="50" t="s">
        <v>209</v>
      </c>
      <c r="D355" s="184" t="s">
        <v>169</v>
      </c>
      <c r="E355" s="51" t="s">
        <v>465</v>
      </c>
      <c r="F355" s="184" t="s">
        <v>540</v>
      </c>
      <c r="G355" s="184" t="s">
        <v>155</v>
      </c>
      <c r="H355" s="93">
        <v>80111600</v>
      </c>
      <c r="I355" s="185">
        <v>2</v>
      </c>
      <c r="J355" s="185">
        <v>10</v>
      </c>
      <c r="K355" s="52">
        <v>0</v>
      </c>
      <c r="L355" s="53">
        <v>65000000</v>
      </c>
      <c r="M355" s="184" t="s">
        <v>464</v>
      </c>
      <c r="N355" s="53" t="s">
        <v>113</v>
      </c>
      <c r="O355" s="51" t="s">
        <v>222</v>
      </c>
      <c r="P355" s="186" t="str">
        <f>IFERROR(VLOOKUP(C355,TD!$B$33:$F$37,2,0)," ")</f>
        <v>O230117</v>
      </c>
      <c r="Q355" s="186" t="str">
        <f>IFERROR(VLOOKUP(C355,TD!$B$33:$F$37,3,0)," ")</f>
        <v>4503</v>
      </c>
      <c r="R355" s="186">
        <f>IFERROR(VLOOKUP(C355,TD!$B$33:$F$37,4,0)," ")</f>
        <v>20240255</v>
      </c>
      <c r="S355" s="51" t="s">
        <v>175</v>
      </c>
      <c r="T355" s="186" t="str">
        <f>IFERROR(VLOOKUP(S355,TD!$J$34:$K$44,2,0)," ")</f>
        <v>Servicio de atención a incidentes y emergencias.</v>
      </c>
      <c r="U355" s="187" t="str">
        <f>CONCATENATE(S355,"-",T355)</f>
        <v>04-Servicio de atención a incidentes y emergencias.</v>
      </c>
      <c r="V355" s="51" t="s">
        <v>232</v>
      </c>
      <c r="W355" s="186" t="str">
        <f>IFERROR(VLOOKUP(V355,TD!$N$34:$O$46,2,0)," ")</f>
        <v>Servicio de atención a emergencias y desastres</v>
      </c>
      <c r="X355" s="187" t="str">
        <f>CONCATENATE(V355,"_",W355)</f>
        <v>004_Servicio de atención a emergencias y desastres</v>
      </c>
      <c r="Y355" s="187" t="str">
        <f>CONCATENATE(U355," ",X355)</f>
        <v>04-Servicio de atención a incidentes y emergencias. 004_Servicio de atención a emergencias y desastres</v>
      </c>
      <c r="Z355" s="186" t="str">
        <f>CONCATENATE(P355,Q355,R355,S355,V355)</f>
        <v>O23011745032024025504004</v>
      </c>
      <c r="AA355" s="186" t="str">
        <f>IFERROR(VLOOKUP(Y355,TD!$K$47:$L$65,2,0)," ")</f>
        <v>PM/0131/0104/45030040255</v>
      </c>
      <c r="AB355" s="53" t="s">
        <v>138</v>
      </c>
      <c r="AC355" s="188" t="s">
        <v>204</v>
      </c>
    </row>
    <row r="356" spans="2:29" s="108" customFormat="1" ht="70" x14ac:dyDescent="0.35">
      <c r="B356" s="77">
        <v>20250338</v>
      </c>
      <c r="C356" s="50" t="s">
        <v>209</v>
      </c>
      <c r="D356" s="184" t="s">
        <v>169</v>
      </c>
      <c r="E356" s="51" t="s">
        <v>465</v>
      </c>
      <c r="F356" s="184" t="s">
        <v>541</v>
      </c>
      <c r="G356" s="184" t="s">
        <v>155</v>
      </c>
      <c r="H356" s="93">
        <v>80111600</v>
      </c>
      <c r="I356" s="185">
        <v>3</v>
      </c>
      <c r="J356" s="185">
        <v>4</v>
      </c>
      <c r="K356" s="52">
        <v>0</v>
      </c>
      <c r="L356" s="53">
        <v>19200000</v>
      </c>
      <c r="M356" s="184" t="s">
        <v>464</v>
      </c>
      <c r="N356" s="53" t="s">
        <v>113</v>
      </c>
      <c r="O356" s="51" t="s">
        <v>222</v>
      </c>
      <c r="P356" s="186" t="str">
        <f>IFERROR(VLOOKUP(C356,TD!$B$33:$F$37,2,0)," ")</f>
        <v>O230117</v>
      </c>
      <c r="Q356" s="186" t="str">
        <f>IFERROR(VLOOKUP(C356,TD!$B$33:$F$37,3,0)," ")</f>
        <v>4503</v>
      </c>
      <c r="R356" s="186">
        <f>IFERROR(VLOOKUP(C356,TD!$B$33:$F$37,4,0)," ")</f>
        <v>20240255</v>
      </c>
      <c r="S356" s="51" t="s">
        <v>175</v>
      </c>
      <c r="T356" s="186" t="str">
        <f>IFERROR(VLOOKUP(S356,TD!$J$34:$K$44,2,0)," ")</f>
        <v>Servicio de atención a incidentes y emergencias.</v>
      </c>
      <c r="U356" s="187" t="str">
        <f>CONCATENATE(S356,"-",T356)</f>
        <v>04-Servicio de atención a incidentes y emergencias.</v>
      </c>
      <c r="V356" s="51" t="s">
        <v>232</v>
      </c>
      <c r="W356" s="186" t="str">
        <f>IFERROR(VLOOKUP(V356,TD!$N$34:$O$46,2,0)," ")</f>
        <v>Servicio de atención a emergencias y desastres</v>
      </c>
      <c r="X356" s="187" t="str">
        <f>CONCATENATE(V356,"_",W356)</f>
        <v>004_Servicio de atención a emergencias y desastres</v>
      </c>
      <c r="Y356" s="187" t="str">
        <f>CONCATENATE(U356," ",X356)</f>
        <v>04-Servicio de atención a incidentes y emergencias. 004_Servicio de atención a emergencias y desastres</v>
      </c>
      <c r="Z356" s="186" t="str">
        <f>CONCATENATE(P356,Q356,R356,S356,V356)</f>
        <v>O23011745032024025504004</v>
      </c>
      <c r="AA356" s="186" t="str">
        <f>IFERROR(VLOOKUP(Y356,TD!$K$47:$L$65,2,0)," ")</f>
        <v>PM/0131/0104/45030040255</v>
      </c>
      <c r="AB356" s="53" t="s">
        <v>138</v>
      </c>
      <c r="AC356" s="188" t="s">
        <v>204</v>
      </c>
    </row>
    <row r="357" spans="2:29" s="108" customFormat="1" ht="112" x14ac:dyDescent="0.35">
      <c r="B357" s="77">
        <v>20250340</v>
      </c>
      <c r="C357" s="50" t="s">
        <v>209</v>
      </c>
      <c r="D357" s="184" t="s">
        <v>169</v>
      </c>
      <c r="E357" s="51" t="s">
        <v>465</v>
      </c>
      <c r="F357" s="184" t="s">
        <v>542</v>
      </c>
      <c r="G357" s="184" t="s">
        <v>155</v>
      </c>
      <c r="H357" s="93">
        <v>80111600</v>
      </c>
      <c r="I357" s="185">
        <v>2</v>
      </c>
      <c r="J357" s="185">
        <v>10</v>
      </c>
      <c r="K357" s="52">
        <v>0</v>
      </c>
      <c r="L357" s="53">
        <v>95000000</v>
      </c>
      <c r="M357" s="184" t="s">
        <v>464</v>
      </c>
      <c r="N357" s="53" t="s">
        <v>113</v>
      </c>
      <c r="O357" s="51" t="s">
        <v>222</v>
      </c>
      <c r="P357" s="186" t="str">
        <f>IFERROR(VLOOKUP(C357,TD!$B$33:$F$37,2,0)," ")</f>
        <v>O230117</v>
      </c>
      <c r="Q357" s="186" t="str">
        <f>IFERROR(VLOOKUP(C357,TD!$B$33:$F$37,3,0)," ")</f>
        <v>4503</v>
      </c>
      <c r="R357" s="186">
        <f>IFERROR(VLOOKUP(C357,TD!$B$33:$F$37,4,0)," ")</f>
        <v>20240255</v>
      </c>
      <c r="S357" s="51" t="s">
        <v>175</v>
      </c>
      <c r="T357" s="186" t="str">
        <f>IFERROR(VLOOKUP(S357,TD!$J$34:$K$44,2,0)," ")</f>
        <v>Servicio de atención a incidentes y emergencias.</v>
      </c>
      <c r="U357" s="187" t="str">
        <f>CONCATENATE(S357,"-",T357)</f>
        <v>04-Servicio de atención a incidentes y emergencias.</v>
      </c>
      <c r="V357" s="51" t="s">
        <v>232</v>
      </c>
      <c r="W357" s="186" t="str">
        <f>IFERROR(VLOOKUP(V357,TD!$N$34:$O$46,2,0)," ")</f>
        <v>Servicio de atención a emergencias y desastres</v>
      </c>
      <c r="X357" s="187" t="str">
        <f>CONCATENATE(V357,"_",W357)</f>
        <v>004_Servicio de atención a emergencias y desastres</v>
      </c>
      <c r="Y357" s="187" t="str">
        <f>CONCATENATE(U357," ",X357)</f>
        <v>04-Servicio de atención a incidentes y emergencias. 004_Servicio de atención a emergencias y desastres</v>
      </c>
      <c r="Z357" s="186" t="str">
        <f>CONCATENATE(P357,Q357,R357,S357,V357)</f>
        <v>O23011745032024025504004</v>
      </c>
      <c r="AA357" s="186" t="str">
        <f>IFERROR(VLOOKUP(Y357,TD!$K$47:$L$65,2,0)," ")</f>
        <v>PM/0131/0104/45030040255</v>
      </c>
      <c r="AB357" s="53" t="s">
        <v>138</v>
      </c>
      <c r="AC357" s="188" t="s">
        <v>204</v>
      </c>
    </row>
    <row r="358" spans="2:29" s="28" customFormat="1" ht="98" x14ac:dyDescent="0.35">
      <c r="B358" s="77">
        <v>20250341</v>
      </c>
      <c r="C358" s="50" t="s">
        <v>209</v>
      </c>
      <c r="D358" s="184" t="s">
        <v>169</v>
      </c>
      <c r="E358" s="51" t="s">
        <v>465</v>
      </c>
      <c r="F358" s="184" t="s">
        <v>543</v>
      </c>
      <c r="G358" s="184" t="s">
        <v>155</v>
      </c>
      <c r="H358" s="93">
        <v>80111600</v>
      </c>
      <c r="I358" s="185">
        <v>2</v>
      </c>
      <c r="J358" s="185">
        <v>5</v>
      </c>
      <c r="K358" s="52">
        <v>0</v>
      </c>
      <c r="L358" s="53">
        <v>35000000</v>
      </c>
      <c r="M358" s="184" t="s">
        <v>464</v>
      </c>
      <c r="N358" s="53" t="s">
        <v>113</v>
      </c>
      <c r="O358" s="51" t="s">
        <v>222</v>
      </c>
      <c r="P358" s="186" t="str">
        <f>IFERROR(VLOOKUP(C358,TD!$B$33:$F$37,2,0)," ")</f>
        <v>O230117</v>
      </c>
      <c r="Q358" s="186" t="str">
        <f>IFERROR(VLOOKUP(C358,TD!$B$33:$F$37,3,0)," ")</f>
        <v>4503</v>
      </c>
      <c r="R358" s="186">
        <f>IFERROR(VLOOKUP(C358,TD!$B$33:$F$37,4,0)," ")</f>
        <v>20240255</v>
      </c>
      <c r="S358" s="51" t="s">
        <v>175</v>
      </c>
      <c r="T358" s="186" t="str">
        <f>IFERROR(VLOOKUP(S358,TD!$J$34:$K$44,2,0)," ")</f>
        <v>Servicio de atención a incidentes y emergencias.</v>
      </c>
      <c r="U358" s="187" t="str">
        <f>CONCATENATE(S358,"-",T358)</f>
        <v>04-Servicio de atención a incidentes y emergencias.</v>
      </c>
      <c r="V358" s="51" t="s">
        <v>232</v>
      </c>
      <c r="W358" s="186" t="str">
        <f>IFERROR(VLOOKUP(V358,TD!$N$34:$O$46,2,0)," ")</f>
        <v>Servicio de atención a emergencias y desastres</v>
      </c>
      <c r="X358" s="187" t="str">
        <f>CONCATENATE(V358,"_",W358)</f>
        <v>004_Servicio de atención a emergencias y desastres</v>
      </c>
      <c r="Y358" s="187" t="str">
        <f>CONCATENATE(U358," ",X358)</f>
        <v>04-Servicio de atención a incidentes y emergencias. 004_Servicio de atención a emergencias y desastres</v>
      </c>
      <c r="Z358" s="186" t="str">
        <f>CONCATENATE(P358,Q358,R358,S358,V358)</f>
        <v>O23011745032024025504004</v>
      </c>
      <c r="AA358" s="186" t="str">
        <f>IFERROR(VLOOKUP(Y358,TD!$K$47:$L$65,2,0)," ")</f>
        <v>PM/0131/0104/45030040255</v>
      </c>
      <c r="AB358" s="53" t="s">
        <v>138</v>
      </c>
      <c r="AC358" s="188" t="s">
        <v>204</v>
      </c>
    </row>
    <row r="359" spans="2:29" s="108" customFormat="1" ht="70" x14ac:dyDescent="0.35">
      <c r="B359" s="127">
        <v>20250342</v>
      </c>
      <c r="C359" s="129" t="s">
        <v>209</v>
      </c>
      <c r="D359" s="189" t="s">
        <v>169</v>
      </c>
      <c r="E359" s="190" t="s">
        <v>465</v>
      </c>
      <c r="F359" s="189" t="s">
        <v>544</v>
      </c>
      <c r="G359" s="189" t="s">
        <v>155</v>
      </c>
      <c r="H359" s="130">
        <v>80111600</v>
      </c>
      <c r="I359" s="191">
        <v>2</v>
      </c>
      <c r="J359" s="191">
        <v>9</v>
      </c>
      <c r="K359" s="126">
        <v>0</v>
      </c>
      <c r="L359" s="125">
        <v>40800000</v>
      </c>
      <c r="M359" s="189" t="s">
        <v>464</v>
      </c>
      <c r="N359" s="125" t="s">
        <v>113</v>
      </c>
      <c r="O359" s="190" t="s">
        <v>222</v>
      </c>
      <c r="P359" s="192" t="str">
        <f>IFERROR(VLOOKUP(C359,TD!$B$33:$F$37,2,0)," ")</f>
        <v>O230117</v>
      </c>
      <c r="Q359" s="192" t="str">
        <f>IFERROR(VLOOKUP(C359,TD!$B$33:$F$37,3,0)," ")</f>
        <v>4503</v>
      </c>
      <c r="R359" s="192">
        <f>IFERROR(VLOOKUP(C359,TD!$B$33:$F$37,4,0)," ")</f>
        <v>20240255</v>
      </c>
      <c r="S359" s="190" t="s">
        <v>175</v>
      </c>
      <c r="T359" s="192" t="str">
        <f>IFERROR(VLOOKUP(S359,TD!$J$34:$K$44,2,0)," ")</f>
        <v>Servicio de atención a incidentes y emergencias.</v>
      </c>
      <c r="U359" s="187" t="str">
        <f>CONCATENATE(S359,"-",T359)</f>
        <v>04-Servicio de atención a incidentes y emergencias.</v>
      </c>
      <c r="V359" s="190" t="s">
        <v>232</v>
      </c>
      <c r="W359" s="192" t="str">
        <f>IFERROR(VLOOKUP(V359,TD!$N$34:$O$46,2,0)," ")</f>
        <v>Servicio de atención a emergencias y desastres</v>
      </c>
      <c r="X359" s="187" t="str">
        <f>CONCATENATE(V359,"_",W359)</f>
        <v>004_Servicio de atención a emergencias y desastres</v>
      </c>
      <c r="Y359" s="187" t="str">
        <f>CONCATENATE(U359," ",X359)</f>
        <v>04-Servicio de atención a incidentes y emergencias. 004_Servicio de atención a emergencias y desastres</v>
      </c>
      <c r="Z359" s="192" t="str">
        <f>CONCATENATE(P359,Q359,R359,S359,V359)</f>
        <v>O23011745032024025504004</v>
      </c>
      <c r="AA359" s="192" t="str">
        <f>IFERROR(VLOOKUP(Y359,TD!$K$47:$L$65,2,0)," ")</f>
        <v>PM/0131/0104/45030040255</v>
      </c>
      <c r="AB359" s="125" t="s">
        <v>138</v>
      </c>
      <c r="AC359" s="193" t="s">
        <v>204</v>
      </c>
    </row>
    <row r="360" spans="2:29" s="28" customFormat="1" ht="70" x14ac:dyDescent="0.35">
      <c r="B360" s="77">
        <v>20250343</v>
      </c>
      <c r="C360" s="50" t="s">
        <v>209</v>
      </c>
      <c r="D360" s="184" t="s">
        <v>169</v>
      </c>
      <c r="E360" s="51" t="s">
        <v>465</v>
      </c>
      <c r="F360" s="184" t="s">
        <v>545</v>
      </c>
      <c r="G360" s="184" t="s">
        <v>155</v>
      </c>
      <c r="H360" s="93">
        <v>80111600</v>
      </c>
      <c r="I360" s="185">
        <v>2</v>
      </c>
      <c r="J360" s="185">
        <v>6</v>
      </c>
      <c r="K360" s="52">
        <v>0</v>
      </c>
      <c r="L360" s="53">
        <v>51000000</v>
      </c>
      <c r="M360" s="184" t="s">
        <v>464</v>
      </c>
      <c r="N360" s="53" t="s">
        <v>113</v>
      </c>
      <c r="O360" s="51" t="s">
        <v>222</v>
      </c>
      <c r="P360" s="186" t="str">
        <f>IFERROR(VLOOKUP(C360,TD!$B$33:$F$37,2,0)," ")</f>
        <v>O230117</v>
      </c>
      <c r="Q360" s="186" t="str">
        <f>IFERROR(VLOOKUP(C360,TD!$B$33:$F$37,3,0)," ")</f>
        <v>4503</v>
      </c>
      <c r="R360" s="186">
        <f>IFERROR(VLOOKUP(C360,TD!$B$33:$F$37,4,0)," ")</f>
        <v>20240255</v>
      </c>
      <c r="S360" s="51" t="s">
        <v>175</v>
      </c>
      <c r="T360" s="186" t="str">
        <f>IFERROR(VLOOKUP(S360,TD!$J$34:$K$44,2,0)," ")</f>
        <v>Servicio de atención a incidentes y emergencias.</v>
      </c>
      <c r="U360" s="187" t="str">
        <f>CONCATENATE(S360,"-",T360)</f>
        <v>04-Servicio de atención a incidentes y emergencias.</v>
      </c>
      <c r="V360" s="51" t="s">
        <v>232</v>
      </c>
      <c r="W360" s="186" t="str">
        <f>IFERROR(VLOOKUP(V360,TD!$N$34:$O$46,2,0)," ")</f>
        <v>Servicio de atención a emergencias y desastres</v>
      </c>
      <c r="X360" s="187" t="str">
        <f>CONCATENATE(V360,"_",W360)</f>
        <v>004_Servicio de atención a emergencias y desastres</v>
      </c>
      <c r="Y360" s="187" t="str">
        <f>CONCATENATE(U360," ",X360)</f>
        <v>04-Servicio de atención a incidentes y emergencias. 004_Servicio de atención a emergencias y desastres</v>
      </c>
      <c r="Z360" s="186" t="str">
        <f>CONCATENATE(P360,Q360,R360,S360,V360)</f>
        <v>O23011745032024025504004</v>
      </c>
      <c r="AA360" s="186" t="str">
        <f>IFERROR(VLOOKUP(Y360,TD!$K$47:$L$65,2,0)," ")</f>
        <v>PM/0131/0104/45030040255</v>
      </c>
      <c r="AB360" s="53" t="s">
        <v>138</v>
      </c>
      <c r="AC360" s="188" t="s">
        <v>204</v>
      </c>
    </row>
    <row r="361" spans="2:29" s="28" customFormat="1" ht="56" x14ac:dyDescent="0.35">
      <c r="B361" s="77">
        <v>20250344</v>
      </c>
      <c r="C361" s="50" t="s">
        <v>209</v>
      </c>
      <c r="D361" s="184" t="s">
        <v>169</v>
      </c>
      <c r="E361" s="51" t="s">
        <v>465</v>
      </c>
      <c r="F361" s="184" t="s">
        <v>546</v>
      </c>
      <c r="G361" s="184" t="s">
        <v>155</v>
      </c>
      <c r="H361" s="93">
        <v>80111600</v>
      </c>
      <c r="I361" s="185">
        <v>2</v>
      </c>
      <c r="J361" s="185">
        <v>6</v>
      </c>
      <c r="K361" s="52">
        <v>0</v>
      </c>
      <c r="L361" s="53">
        <v>36000000</v>
      </c>
      <c r="M361" s="184" t="s">
        <v>464</v>
      </c>
      <c r="N361" s="53" t="s">
        <v>113</v>
      </c>
      <c r="O361" s="51" t="s">
        <v>222</v>
      </c>
      <c r="P361" s="186" t="str">
        <f>IFERROR(VLOOKUP(C361,TD!$B$33:$F$37,2,0)," ")</f>
        <v>O230117</v>
      </c>
      <c r="Q361" s="186" t="str">
        <f>IFERROR(VLOOKUP(C361,TD!$B$33:$F$37,3,0)," ")</f>
        <v>4503</v>
      </c>
      <c r="R361" s="186">
        <f>IFERROR(VLOOKUP(C361,TD!$B$33:$F$37,4,0)," ")</f>
        <v>20240255</v>
      </c>
      <c r="S361" s="51" t="s">
        <v>175</v>
      </c>
      <c r="T361" s="186" t="str">
        <f>IFERROR(VLOOKUP(S361,TD!$J$34:$K$44,2,0)," ")</f>
        <v>Servicio de atención a incidentes y emergencias.</v>
      </c>
      <c r="U361" s="187" t="str">
        <f>CONCATENATE(S361,"-",T361)</f>
        <v>04-Servicio de atención a incidentes y emergencias.</v>
      </c>
      <c r="V361" s="51" t="s">
        <v>232</v>
      </c>
      <c r="W361" s="186" t="str">
        <f>IFERROR(VLOOKUP(V361,TD!$N$34:$O$46,2,0)," ")</f>
        <v>Servicio de atención a emergencias y desastres</v>
      </c>
      <c r="X361" s="187" t="str">
        <f>CONCATENATE(V361,"_",W361)</f>
        <v>004_Servicio de atención a emergencias y desastres</v>
      </c>
      <c r="Y361" s="187" t="str">
        <f>CONCATENATE(U361," ",X361)</f>
        <v>04-Servicio de atención a incidentes y emergencias. 004_Servicio de atención a emergencias y desastres</v>
      </c>
      <c r="Z361" s="186" t="str">
        <f>CONCATENATE(P361,Q361,R361,S361,V361)</f>
        <v>O23011745032024025504004</v>
      </c>
      <c r="AA361" s="186" t="str">
        <f>IFERROR(VLOOKUP(Y361,TD!$K$47:$L$65,2,0)," ")</f>
        <v>PM/0131/0104/45030040255</v>
      </c>
      <c r="AB361" s="53" t="s">
        <v>138</v>
      </c>
      <c r="AC361" s="188" t="s">
        <v>204</v>
      </c>
    </row>
    <row r="362" spans="2:29" s="28" customFormat="1" ht="56" x14ac:dyDescent="0.35">
      <c r="B362" s="77">
        <v>20250345</v>
      </c>
      <c r="C362" s="50" t="s">
        <v>209</v>
      </c>
      <c r="D362" s="184" t="s">
        <v>169</v>
      </c>
      <c r="E362" s="51" t="s">
        <v>465</v>
      </c>
      <c r="F362" s="184" t="s">
        <v>546</v>
      </c>
      <c r="G362" s="184" t="s">
        <v>155</v>
      </c>
      <c r="H362" s="93">
        <v>80111600</v>
      </c>
      <c r="I362" s="185">
        <v>4</v>
      </c>
      <c r="J362" s="185">
        <v>6</v>
      </c>
      <c r="K362" s="52">
        <v>0</v>
      </c>
      <c r="L362" s="53">
        <v>36000000</v>
      </c>
      <c r="M362" s="184" t="s">
        <v>464</v>
      </c>
      <c r="N362" s="53" t="s">
        <v>113</v>
      </c>
      <c r="O362" s="51" t="s">
        <v>222</v>
      </c>
      <c r="P362" s="186" t="str">
        <f>IFERROR(VLOOKUP(C362,TD!$B$33:$F$37,2,0)," ")</f>
        <v>O230117</v>
      </c>
      <c r="Q362" s="186" t="str">
        <f>IFERROR(VLOOKUP(C362,TD!$B$33:$F$37,3,0)," ")</f>
        <v>4503</v>
      </c>
      <c r="R362" s="186">
        <f>IFERROR(VLOOKUP(C362,TD!$B$33:$F$37,4,0)," ")</f>
        <v>20240255</v>
      </c>
      <c r="S362" s="51" t="s">
        <v>175</v>
      </c>
      <c r="T362" s="186" t="str">
        <f>IFERROR(VLOOKUP(S362,TD!$J$34:$K$44,2,0)," ")</f>
        <v>Servicio de atención a incidentes y emergencias.</v>
      </c>
      <c r="U362" s="187" t="str">
        <f>CONCATENATE(S362,"-",T362)</f>
        <v>04-Servicio de atención a incidentes y emergencias.</v>
      </c>
      <c r="V362" s="51" t="s">
        <v>232</v>
      </c>
      <c r="W362" s="186" t="str">
        <f>IFERROR(VLOOKUP(V362,TD!$N$34:$O$46,2,0)," ")</f>
        <v>Servicio de atención a emergencias y desastres</v>
      </c>
      <c r="X362" s="187" t="str">
        <f>CONCATENATE(V362,"_",W362)</f>
        <v>004_Servicio de atención a emergencias y desastres</v>
      </c>
      <c r="Y362" s="187" t="str">
        <f>CONCATENATE(U362," ",X362)</f>
        <v>04-Servicio de atención a incidentes y emergencias. 004_Servicio de atención a emergencias y desastres</v>
      </c>
      <c r="Z362" s="186" t="str">
        <f>CONCATENATE(P362,Q362,R362,S362,V362)</f>
        <v>O23011745032024025504004</v>
      </c>
      <c r="AA362" s="186" t="str">
        <f>IFERROR(VLOOKUP(Y362,TD!$K$47:$L$65,2,0)," ")</f>
        <v>PM/0131/0104/45030040255</v>
      </c>
      <c r="AB362" s="53" t="s">
        <v>138</v>
      </c>
      <c r="AC362" s="188" t="s">
        <v>204</v>
      </c>
    </row>
    <row r="363" spans="2:29" s="28" customFormat="1" ht="56" x14ac:dyDescent="0.35">
      <c r="B363" s="77">
        <v>20250350</v>
      </c>
      <c r="C363" s="110" t="s">
        <v>346</v>
      </c>
      <c r="D363" s="194" t="s">
        <v>169</v>
      </c>
      <c r="E363" s="51" t="s">
        <v>465</v>
      </c>
      <c r="F363" s="194" t="s">
        <v>605</v>
      </c>
      <c r="G363" s="194" t="s">
        <v>109</v>
      </c>
      <c r="H363" s="93">
        <v>53102710</v>
      </c>
      <c r="I363" s="185">
        <v>2</v>
      </c>
      <c r="J363" s="196">
        <v>6</v>
      </c>
      <c r="K363" s="111">
        <v>0</v>
      </c>
      <c r="L363" s="112">
        <v>250050000</v>
      </c>
      <c r="M363" s="194" t="s">
        <v>172</v>
      </c>
      <c r="N363" s="112" t="s">
        <v>95</v>
      </c>
      <c r="O363" s="195" t="s">
        <v>347</v>
      </c>
      <c r="P363" s="197" t="str">
        <f>IFERROR(VLOOKUP(C363,TD!$B$33:$F$37,2,0)," ")</f>
        <v>NA</v>
      </c>
      <c r="Q363" s="197" t="str">
        <f>IFERROR(VLOOKUP(C363,TD!$B$33:$F$37,3,0)," ")</f>
        <v>NA</v>
      </c>
      <c r="R363" s="197" t="str">
        <f>IFERROR(VLOOKUP(C363,TD!$B$33:$F$37,4,0)," ")</f>
        <v>NA</v>
      </c>
      <c r="S363" s="195" t="s">
        <v>406</v>
      </c>
      <c r="T363" s="186" t="str">
        <f>IFERROR(VLOOKUP(S363,TD!$J$34:$K$44,2,0)," ")</f>
        <v>N/A</v>
      </c>
      <c r="U363" s="187" t="str">
        <f>CONCATENATE(S363,"-",T363)</f>
        <v>N/A-N/A</v>
      </c>
      <c r="V363" s="51" t="s">
        <v>406</v>
      </c>
      <c r="W363" s="186" t="str">
        <f>IFERROR(VLOOKUP(V363,TD!$N$34:$O$46,2,0)," ")</f>
        <v>N/A</v>
      </c>
      <c r="X363" s="187" t="str">
        <f>CONCATENATE(V363,"_",W363)</f>
        <v>N/A_N/A</v>
      </c>
      <c r="Y363" s="187" t="str">
        <f>CONCATENATE(U363," ",X363)</f>
        <v>N/A-N/A N/A_N/A</v>
      </c>
      <c r="Z363" s="197" t="str">
        <f>CONCATENATE(P363,Q363,R363,S363,V363)</f>
        <v>NANANAN/AN/A</v>
      </c>
      <c r="AA363" s="186" t="str">
        <f>IFERROR(VLOOKUP(Y363,TD!$K$47:$L$65,2,0)," ")</f>
        <v>N/A</v>
      </c>
      <c r="AB363" s="112" t="s">
        <v>606</v>
      </c>
      <c r="AC363" s="198" t="s">
        <v>204</v>
      </c>
    </row>
    <row r="364" spans="2:29" s="28" customFormat="1" ht="56" x14ac:dyDescent="0.35">
      <c r="B364" s="77">
        <v>20250351</v>
      </c>
      <c r="C364" s="50" t="s">
        <v>208</v>
      </c>
      <c r="D364" s="184" t="s">
        <v>162</v>
      </c>
      <c r="E364" s="51" t="s">
        <v>355</v>
      </c>
      <c r="F364" s="184" t="s">
        <v>770</v>
      </c>
      <c r="G364" s="184" t="s">
        <v>155</v>
      </c>
      <c r="H364" s="93">
        <v>80111600</v>
      </c>
      <c r="I364" s="185">
        <v>2</v>
      </c>
      <c r="J364" s="185">
        <v>11</v>
      </c>
      <c r="K364" s="52">
        <v>0</v>
      </c>
      <c r="L364" s="53">
        <v>104500000</v>
      </c>
      <c r="M364" s="184" t="s">
        <v>464</v>
      </c>
      <c r="N364" s="53" t="s">
        <v>113</v>
      </c>
      <c r="O364" s="51" t="s">
        <v>215</v>
      </c>
      <c r="P364" s="186" t="str">
        <f>IFERROR(VLOOKUP(C364,TD!$B$33:$F$37,2,0)," ")</f>
        <v>O230117</v>
      </c>
      <c r="Q364" s="186" t="str">
        <f>IFERROR(VLOOKUP(C364,TD!$B$33:$F$37,3,0)," ")</f>
        <v>4599</v>
      </c>
      <c r="R364" s="186">
        <f>IFERROR(VLOOKUP(C364,TD!$B$33:$F$37,4,0)," ")</f>
        <v>20240207</v>
      </c>
      <c r="S364" s="51" t="s">
        <v>179</v>
      </c>
      <c r="T364" s="186" t="str">
        <f>IFERROR(VLOOKUP(S364,TD!$J$34:$K$44,2,0)," ")</f>
        <v>Infraestructura Tecnológica   (Sistemas de Información y Tecnologia)</v>
      </c>
      <c r="U364" s="187" t="str">
        <f>CONCATENATE(S364,"-",T364)</f>
        <v>11-Infraestructura Tecnológica   (Sistemas de Información y Tecnologia)</v>
      </c>
      <c r="V364" s="51" t="s">
        <v>239</v>
      </c>
      <c r="W364" s="186" t="str">
        <f>IFERROR(VLOOKUP(V364,TD!$N$34:$O$46,2,0)," ")</f>
        <v>Servicios tecnológicos</v>
      </c>
      <c r="X364" s="187" t="str">
        <f>CONCATENATE(V364,"_",W364)</f>
        <v>007_Servicios tecnológicos</v>
      </c>
      <c r="Y364" s="187" t="str">
        <f>CONCATENATE(U364," ",X364)</f>
        <v>11-Infraestructura Tecnológica   (Sistemas de Información y Tecnologia) 007_Servicios tecnológicos</v>
      </c>
      <c r="Z364" s="186" t="str">
        <f>CONCATENATE(P364,Q364,R364,S364,V364)</f>
        <v>O23011745992024020711007</v>
      </c>
      <c r="AA364" s="186" t="str">
        <f>IFERROR(VLOOKUP(Y364,TD!$K$47:$L$65,2,0)," ")</f>
        <v>PM/0131/0111/45990070207</v>
      </c>
      <c r="AB364" s="53" t="s">
        <v>138</v>
      </c>
      <c r="AC364" s="188" t="s">
        <v>204</v>
      </c>
    </row>
    <row r="365" spans="2:29" s="28" customFormat="1" ht="56" x14ac:dyDescent="0.35">
      <c r="B365" s="127">
        <v>20250352</v>
      </c>
      <c r="C365" s="129" t="s">
        <v>208</v>
      </c>
      <c r="D365" s="189" t="s">
        <v>162</v>
      </c>
      <c r="E365" s="190" t="s">
        <v>355</v>
      </c>
      <c r="F365" s="189" t="s">
        <v>771</v>
      </c>
      <c r="G365" s="189" t="s">
        <v>155</v>
      </c>
      <c r="H365" s="130">
        <v>80111600</v>
      </c>
      <c r="I365" s="191">
        <v>2</v>
      </c>
      <c r="J365" s="191">
        <v>11</v>
      </c>
      <c r="K365" s="126">
        <v>0</v>
      </c>
      <c r="L365" s="125">
        <v>37500000</v>
      </c>
      <c r="M365" s="189" t="s">
        <v>464</v>
      </c>
      <c r="N365" s="125" t="s">
        <v>113</v>
      </c>
      <c r="O365" s="190" t="s">
        <v>216</v>
      </c>
      <c r="P365" s="192" t="str">
        <f>IFERROR(VLOOKUP(C365,TD!$B$33:$F$37,2,0)," ")</f>
        <v>O230117</v>
      </c>
      <c r="Q365" s="192" t="str">
        <f>IFERROR(VLOOKUP(C365,TD!$B$33:$F$37,3,0)," ")</f>
        <v>4599</v>
      </c>
      <c r="R365" s="192">
        <f>IFERROR(VLOOKUP(C365,TD!$B$33:$F$37,4,0)," ")</f>
        <v>20240207</v>
      </c>
      <c r="S365" s="190" t="s">
        <v>179</v>
      </c>
      <c r="T365" s="192" t="str">
        <f>IFERROR(VLOOKUP(S365,TD!$J$34:$K$44,2,0)," ")</f>
        <v>Infraestructura Tecnológica   (Sistemas de Información y Tecnologia)</v>
      </c>
      <c r="U365" s="187" t="str">
        <f>CONCATENATE(S365,"-",T365)</f>
        <v>11-Infraestructura Tecnológica   (Sistemas de Información y Tecnologia)</v>
      </c>
      <c r="V365" s="190" t="s">
        <v>239</v>
      </c>
      <c r="W365" s="192" t="str">
        <f>IFERROR(VLOOKUP(V365,TD!$N$34:$O$46,2,0)," ")</f>
        <v>Servicios tecnológicos</v>
      </c>
      <c r="X365" s="187" t="str">
        <f>CONCATENATE(V365,"_",W365)</f>
        <v>007_Servicios tecnológicos</v>
      </c>
      <c r="Y365" s="187" t="str">
        <f>CONCATENATE(U365," ",X365)</f>
        <v>11-Infraestructura Tecnológica   (Sistemas de Información y Tecnologia) 007_Servicios tecnológicos</v>
      </c>
      <c r="Z365" s="192" t="str">
        <f>CONCATENATE(P365,Q365,R365,S365,V365)</f>
        <v>O23011745992024020711007</v>
      </c>
      <c r="AA365" s="192" t="str">
        <f>IFERROR(VLOOKUP(Y365,TD!$K$47:$L$65,2,0)," ")</f>
        <v>PM/0131/0111/45990070207</v>
      </c>
      <c r="AB365" s="125" t="s">
        <v>138</v>
      </c>
      <c r="AC365" s="190" t="s">
        <v>204</v>
      </c>
    </row>
    <row r="366" spans="2:29" s="28" customFormat="1" ht="56" x14ac:dyDescent="0.35">
      <c r="B366" s="127">
        <v>20250353</v>
      </c>
      <c r="C366" s="129" t="s">
        <v>208</v>
      </c>
      <c r="D366" s="189" t="s">
        <v>162</v>
      </c>
      <c r="E366" s="190" t="s">
        <v>355</v>
      </c>
      <c r="F366" s="189" t="s">
        <v>772</v>
      </c>
      <c r="G366" s="189" t="s">
        <v>155</v>
      </c>
      <c r="H366" s="130">
        <v>80111600</v>
      </c>
      <c r="I366" s="191">
        <v>2</v>
      </c>
      <c r="J366" s="191">
        <v>11</v>
      </c>
      <c r="K366" s="126">
        <v>0</v>
      </c>
      <c r="L366" s="125">
        <v>39000000</v>
      </c>
      <c r="M366" s="189" t="s">
        <v>464</v>
      </c>
      <c r="N366" s="125" t="s">
        <v>113</v>
      </c>
      <c r="O366" s="190" t="s">
        <v>215</v>
      </c>
      <c r="P366" s="192" t="str">
        <f>IFERROR(VLOOKUP(C366,TD!$B$33:$F$37,2,0)," ")</f>
        <v>O230117</v>
      </c>
      <c r="Q366" s="192" t="str">
        <f>IFERROR(VLOOKUP(C366,TD!$B$33:$F$37,3,0)," ")</f>
        <v>4599</v>
      </c>
      <c r="R366" s="192">
        <f>IFERROR(VLOOKUP(C366,TD!$B$33:$F$37,4,0)," ")</f>
        <v>20240207</v>
      </c>
      <c r="S366" s="190" t="s">
        <v>179</v>
      </c>
      <c r="T366" s="192" t="str">
        <f>IFERROR(VLOOKUP(S366,TD!$J$34:$K$44,2,0)," ")</f>
        <v>Infraestructura Tecnológica   (Sistemas de Información y Tecnologia)</v>
      </c>
      <c r="U366" s="187" t="str">
        <f>CONCATENATE(S366,"-",T366)</f>
        <v>11-Infraestructura Tecnológica   (Sistemas de Información y Tecnologia)</v>
      </c>
      <c r="V366" s="190" t="s">
        <v>239</v>
      </c>
      <c r="W366" s="192" t="str">
        <f>IFERROR(VLOOKUP(V366,TD!$N$34:$O$46,2,0)," ")</f>
        <v>Servicios tecnológicos</v>
      </c>
      <c r="X366" s="187" t="str">
        <f>CONCATENATE(V366,"_",W366)</f>
        <v>007_Servicios tecnológicos</v>
      </c>
      <c r="Y366" s="187" t="str">
        <f>CONCATENATE(U366," ",X366)</f>
        <v>11-Infraestructura Tecnológica   (Sistemas de Información y Tecnologia) 007_Servicios tecnológicos</v>
      </c>
      <c r="Z366" s="192" t="str">
        <f>CONCATENATE(P366,Q366,R366,S366,V366)</f>
        <v>O23011745992024020711007</v>
      </c>
      <c r="AA366" s="192" t="str">
        <f>IFERROR(VLOOKUP(Y366,TD!$K$47:$L$65,2,0)," ")</f>
        <v>PM/0131/0111/45990070207</v>
      </c>
      <c r="AB366" s="125" t="s">
        <v>120</v>
      </c>
      <c r="AC366" s="193" t="s">
        <v>204</v>
      </c>
    </row>
    <row r="367" spans="2:29" s="28" customFormat="1" ht="98" x14ac:dyDescent="0.35">
      <c r="B367" s="127">
        <v>20250354</v>
      </c>
      <c r="C367" s="129" t="s">
        <v>208</v>
      </c>
      <c r="D367" s="189" t="s">
        <v>162</v>
      </c>
      <c r="E367" s="190" t="s">
        <v>355</v>
      </c>
      <c r="F367" s="189" t="s">
        <v>408</v>
      </c>
      <c r="G367" s="189" t="s">
        <v>155</v>
      </c>
      <c r="H367" s="130">
        <v>80111600</v>
      </c>
      <c r="I367" s="191">
        <v>2</v>
      </c>
      <c r="J367" s="191">
        <v>11</v>
      </c>
      <c r="K367" s="126">
        <v>0</v>
      </c>
      <c r="L367" s="125">
        <v>37250000</v>
      </c>
      <c r="M367" s="189" t="s">
        <v>464</v>
      </c>
      <c r="N367" s="125" t="s">
        <v>113</v>
      </c>
      <c r="O367" s="190" t="s">
        <v>214</v>
      </c>
      <c r="P367" s="192" t="str">
        <f>IFERROR(VLOOKUP(C367,TD!$B$33:$F$37,2,0)," ")</f>
        <v>O230117</v>
      </c>
      <c r="Q367" s="192" t="str">
        <f>IFERROR(VLOOKUP(C367,TD!$B$33:$F$37,3,0)," ")</f>
        <v>4599</v>
      </c>
      <c r="R367" s="192">
        <f>IFERROR(VLOOKUP(C367,TD!$B$33:$F$37,4,0)," ")</f>
        <v>20240207</v>
      </c>
      <c r="S367" s="190" t="s">
        <v>179</v>
      </c>
      <c r="T367" s="192" t="str">
        <f>IFERROR(VLOOKUP(S367,TD!$J$34:$K$44,2,0)," ")</f>
        <v>Infraestructura Tecnológica   (Sistemas de Información y Tecnologia)</v>
      </c>
      <c r="U367" s="187" t="str">
        <f>CONCATENATE(S367,"-",T367)</f>
        <v>11-Infraestructura Tecnológica   (Sistemas de Información y Tecnologia)</v>
      </c>
      <c r="V367" s="190" t="s">
        <v>239</v>
      </c>
      <c r="W367" s="192" t="str">
        <f>IFERROR(VLOOKUP(V367,TD!$N$34:$O$46,2,0)," ")</f>
        <v>Servicios tecnológicos</v>
      </c>
      <c r="X367" s="187" t="str">
        <f>CONCATENATE(V367,"_",W367)</f>
        <v>007_Servicios tecnológicos</v>
      </c>
      <c r="Y367" s="187" t="str">
        <f>CONCATENATE(U367," ",X367)</f>
        <v>11-Infraestructura Tecnológica   (Sistemas de Información y Tecnologia) 007_Servicios tecnológicos</v>
      </c>
      <c r="Z367" s="192" t="str">
        <f>CONCATENATE(P367,Q367,R367,S367,V367)</f>
        <v>O23011745992024020711007</v>
      </c>
      <c r="AA367" s="192" t="str">
        <f>IFERROR(VLOOKUP(Y367,TD!$K$47:$L$65,2,0)," ")</f>
        <v>PM/0131/0111/45990070207</v>
      </c>
      <c r="AB367" s="125" t="s">
        <v>138</v>
      </c>
      <c r="AC367" s="193" t="s">
        <v>204</v>
      </c>
    </row>
    <row r="368" spans="2:29" s="28" customFormat="1" ht="56" x14ac:dyDescent="0.35">
      <c r="B368" s="127">
        <v>20250355</v>
      </c>
      <c r="C368" s="129" t="s">
        <v>208</v>
      </c>
      <c r="D368" s="189" t="s">
        <v>162</v>
      </c>
      <c r="E368" s="190" t="s">
        <v>355</v>
      </c>
      <c r="F368" s="189" t="s">
        <v>409</v>
      </c>
      <c r="G368" s="189" t="s">
        <v>155</v>
      </c>
      <c r="H368" s="130">
        <v>80111600</v>
      </c>
      <c r="I368" s="191">
        <v>2</v>
      </c>
      <c r="J368" s="191">
        <v>11</v>
      </c>
      <c r="K368" s="126">
        <v>0</v>
      </c>
      <c r="L368" s="125">
        <v>49680000</v>
      </c>
      <c r="M368" s="189" t="s">
        <v>464</v>
      </c>
      <c r="N368" s="125" t="s">
        <v>113</v>
      </c>
      <c r="O368" s="190" t="s">
        <v>215</v>
      </c>
      <c r="P368" s="192" t="str">
        <f>IFERROR(VLOOKUP(C368,TD!$B$33:$F$37,2,0)," ")</f>
        <v>O230117</v>
      </c>
      <c r="Q368" s="192" t="str">
        <f>IFERROR(VLOOKUP(C368,TD!$B$33:$F$37,3,0)," ")</f>
        <v>4599</v>
      </c>
      <c r="R368" s="192">
        <f>IFERROR(VLOOKUP(C368,TD!$B$33:$F$37,4,0)," ")</f>
        <v>20240207</v>
      </c>
      <c r="S368" s="190" t="s">
        <v>179</v>
      </c>
      <c r="T368" s="192" t="str">
        <f>IFERROR(VLOOKUP(S368,TD!$J$34:$K$44,2,0)," ")</f>
        <v>Infraestructura Tecnológica   (Sistemas de Información y Tecnologia)</v>
      </c>
      <c r="U368" s="187" t="str">
        <f>CONCATENATE(S368,"-",T368)</f>
        <v>11-Infraestructura Tecnológica   (Sistemas de Información y Tecnologia)</v>
      </c>
      <c r="V368" s="190" t="s">
        <v>239</v>
      </c>
      <c r="W368" s="192" t="str">
        <f>IFERROR(VLOOKUP(V368,TD!$N$34:$O$46,2,0)," ")</f>
        <v>Servicios tecnológicos</v>
      </c>
      <c r="X368" s="187" t="str">
        <f>CONCATENATE(V368,"_",W368)</f>
        <v>007_Servicios tecnológicos</v>
      </c>
      <c r="Y368" s="187" t="str">
        <f>CONCATENATE(U368," ",X368)</f>
        <v>11-Infraestructura Tecnológica   (Sistemas de Información y Tecnologia) 007_Servicios tecnológicos</v>
      </c>
      <c r="Z368" s="192" t="str">
        <f>CONCATENATE(P368,Q368,R368,S368,V368)</f>
        <v>O23011745992024020711007</v>
      </c>
      <c r="AA368" s="192" t="str">
        <f>IFERROR(VLOOKUP(Y368,TD!$K$47:$L$65,2,0)," ")</f>
        <v>PM/0131/0111/45990070207</v>
      </c>
      <c r="AB368" s="125" t="s">
        <v>138</v>
      </c>
      <c r="AC368" s="193" t="s">
        <v>204</v>
      </c>
    </row>
    <row r="369" spans="2:29" s="28" customFormat="1" ht="56" x14ac:dyDescent="0.35">
      <c r="B369" s="127">
        <v>20250356</v>
      </c>
      <c r="C369" s="129" t="s">
        <v>208</v>
      </c>
      <c r="D369" s="189" t="s">
        <v>162</v>
      </c>
      <c r="E369" s="190" t="s">
        <v>355</v>
      </c>
      <c r="F369" s="189" t="s">
        <v>773</v>
      </c>
      <c r="G369" s="189" t="s">
        <v>156</v>
      </c>
      <c r="H369" s="130">
        <v>80111600</v>
      </c>
      <c r="I369" s="191">
        <v>2</v>
      </c>
      <c r="J369" s="191">
        <v>11</v>
      </c>
      <c r="K369" s="126">
        <v>0</v>
      </c>
      <c r="L369" s="125">
        <v>40500000</v>
      </c>
      <c r="M369" s="189" t="s">
        <v>464</v>
      </c>
      <c r="N369" s="125" t="s">
        <v>113</v>
      </c>
      <c r="O369" s="190" t="s">
        <v>217</v>
      </c>
      <c r="P369" s="192" t="str">
        <f>IFERROR(VLOOKUP(C369,TD!$B$33:$F$37,2,0)," ")</f>
        <v>O230117</v>
      </c>
      <c r="Q369" s="192" t="str">
        <f>IFERROR(VLOOKUP(C369,TD!$B$33:$F$37,3,0)," ")</f>
        <v>4599</v>
      </c>
      <c r="R369" s="192">
        <f>IFERROR(VLOOKUP(C369,TD!$B$33:$F$37,4,0)," ")</f>
        <v>20240207</v>
      </c>
      <c r="S369" s="190" t="s">
        <v>179</v>
      </c>
      <c r="T369" s="192" t="str">
        <f>IFERROR(VLOOKUP(S369,TD!$J$34:$K$44,2,0)," ")</f>
        <v>Infraestructura Tecnológica   (Sistemas de Información y Tecnologia)</v>
      </c>
      <c r="U369" s="187" t="str">
        <f>CONCATENATE(S369,"-",T369)</f>
        <v>11-Infraestructura Tecnológica   (Sistemas de Información y Tecnologia)</v>
      </c>
      <c r="V369" s="190" t="s">
        <v>239</v>
      </c>
      <c r="W369" s="192" t="str">
        <f>IFERROR(VLOOKUP(V369,TD!$N$34:$O$46,2,0)," ")</f>
        <v>Servicios tecnológicos</v>
      </c>
      <c r="X369" s="187" t="str">
        <f>CONCATENATE(V369,"_",W369)</f>
        <v>007_Servicios tecnológicos</v>
      </c>
      <c r="Y369" s="187" t="str">
        <f>CONCATENATE(U369," ",X369)</f>
        <v>11-Infraestructura Tecnológica   (Sistemas de Información y Tecnologia) 007_Servicios tecnológicos</v>
      </c>
      <c r="Z369" s="192" t="str">
        <f>CONCATENATE(P369,Q369,R369,S369,V369)</f>
        <v>O23011745992024020711007</v>
      </c>
      <c r="AA369" s="192" t="str">
        <f>IFERROR(VLOOKUP(Y369,TD!$K$47:$L$65,2,0)," ")</f>
        <v>PM/0131/0111/45990070207</v>
      </c>
      <c r="AB369" s="125" t="s">
        <v>138</v>
      </c>
      <c r="AC369" s="193" t="s">
        <v>204</v>
      </c>
    </row>
    <row r="370" spans="2:29" s="28" customFormat="1" ht="56" x14ac:dyDescent="0.35">
      <c r="B370" s="77">
        <v>20250357</v>
      </c>
      <c r="C370" s="50" t="s">
        <v>208</v>
      </c>
      <c r="D370" s="184" t="s">
        <v>162</v>
      </c>
      <c r="E370" s="51" t="s">
        <v>355</v>
      </c>
      <c r="F370" s="184" t="s">
        <v>774</v>
      </c>
      <c r="G370" s="184" t="s">
        <v>155</v>
      </c>
      <c r="H370" s="93">
        <v>80111600</v>
      </c>
      <c r="I370" s="185">
        <v>2</v>
      </c>
      <c r="J370" s="52">
        <v>11</v>
      </c>
      <c r="K370" s="52">
        <v>0</v>
      </c>
      <c r="L370" s="53">
        <v>37250000</v>
      </c>
      <c r="M370" s="184" t="s">
        <v>464</v>
      </c>
      <c r="N370" s="53" t="s">
        <v>113</v>
      </c>
      <c r="O370" s="51" t="s">
        <v>215</v>
      </c>
      <c r="P370" s="186" t="str">
        <f>IFERROR(VLOOKUP(C370,TD!$B$33:$F$37,2,0)," ")</f>
        <v>O230117</v>
      </c>
      <c r="Q370" s="186" t="str">
        <f>IFERROR(VLOOKUP(C370,TD!$B$33:$F$37,3,0)," ")</f>
        <v>4599</v>
      </c>
      <c r="R370" s="186">
        <f>IFERROR(VLOOKUP(C370,TD!$B$33:$F$37,4,0)," ")</f>
        <v>20240207</v>
      </c>
      <c r="S370" s="51" t="s">
        <v>179</v>
      </c>
      <c r="T370" s="186" t="str">
        <f>IFERROR(VLOOKUP(S370,TD!$J$34:$K$44,2,0)," ")</f>
        <v>Infraestructura Tecnológica   (Sistemas de Información y Tecnologia)</v>
      </c>
      <c r="U370" s="187" t="str">
        <f>CONCATENATE(S370,"-",T370)</f>
        <v>11-Infraestructura Tecnológica   (Sistemas de Información y Tecnologia)</v>
      </c>
      <c r="V370" s="51" t="s">
        <v>239</v>
      </c>
      <c r="W370" s="186" t="str">
        <f>IFERROR(VLOOKUP(V370,TD!$N$34:$O$46,2,0)," ")</f>
        <v>Servicios tecnológicos</v>
      </c>
      <c r="X370" s="187" t="str">
        <f>CONCATENATE(V370,"_",W370)</f>
        <v>007_Servicios tecnológicos</v>
      </c>
      <c r="Y370" s="187" t="str">
        <f>CONCATENATE(U370," ",X370)</f>
        <v>11-Infraestructura Tecnológica   (Sistemas de Información y Tecnologia) 007_Servicios tecnológicos</v>
      </c>
      <c r="Z370" s="186" t="str">
        <f>CONCATENATE(P370,Q370,R370,S370,V370)</f>
        <v>O23011745992024020711007</v>
      </c>
      <c r="AA370" s="186" t="str">
        <f>IFERROR(VLOOKUP(Y370,TD!$K$47:$L$65,2,0)," ")</f>
        <v>PM/0131/0111/45990070207</v>
      </c>
      <c r="AB370" s="53" t="s">
        <v>138</v>
      </c>
      <c r="AC370" s="188" t="s">
        <v>204</v>
      </c>
    </row>
    <row r="371" spans="2:29" s="28" customFormat="1" ht="56" x14ac:dyDescent="0.35">
      <c r="B371" s="127">
        <v>20250358</v>
      </c>
      <c r="C371" s="129" t="s">
        <v>208</v>
      </c>
      <c r="D371" s="189" t="s">
        <v>162</v>
      </c>
      <c r="E371" s="190" t="s">
        <v>355</v>
      </c>
      <c r="F371" s="189" t="s">
        <v>775</v>
      </c>
      <c r="G371" s="189" t="s">
        <v>155</v>
      </c>
      <c r="H371" s="130">
        <v>80111600</v>
      </c>
      <c r="I371" s="191">
        <v>2</v>
      </c>
      <c r="J371" s="126">
        <v>11</v>
      </c>
      <c r="K371" s="126">
        <v>0</v>
      </c>
      <c r="L371" s="125">
        <v>37250000</v>
      </c>
      <c r="M371" s="189" t="s">
        <v>464</v>
      </c>
      <c r="N371" s="125" t="s">
        <v>113</v>
      </c>
      <c r="O371" s="190" t="s">
        <v>214</v>
      </c>
      <c r="P371" s="192" t="str">
        <f>IFERROR(VLOOKUP(C371,TD!$B$33:$F$37,2,0)," ")</f>
        <v>O230117</v>
      </c>
      <c r="Q371" s="192" t="str">
        <f>IFERROR(VLOOKUP(C371,TD!$B$33:$F$37,3,0)," ")</f>
        <v>4599</v>
      </c>
      <c r="R371" s="192">
        <f>IFERROR(VLOOKUP(C371,TD!$B$33:$F$37,4,0)," ")</f>
        <v>20240207</v>
      </c>
      <c r="S371" s="190" t="s">
        <v>179</v>
      </c>
      <c r="T371" s="192" t="str">
        <f>IFERROR(VLOOKUP(S371,TD!$J$34:$K$44,2,0)," ")</f>
        <v>Infraestructura Tecnológica   (Sistemas de Información y Tecnologia)</v>
      </c>
      <c r="U371" s="187" t="str">
        <f>CONCATENATE(S371,"-",T371)</f>
        <v>11-Infraestructura Tecnológica   (Sistemas de Información y Tecnologia)</v>
      </c>
      <c r="V371" s="190" t="s">
        <v>239</v>
      </c>
      <c r="W371" s="192" t="str">
        <f>IFERROR(VLOOKUP(V371,TD!$N$34:$O$46,2,0)," ")</f>
        <v>Servicios tecnológicos</v>
      </c>
      <c r="X371" s="187" t="str">
        <f>CONCATENATE(V371,"_",W371)</f>
        <v>007_Servicios tecnológicos</v>
      </c>
      <c r="Y371" s="187" t="str">
        <f>CONCATENATE(U371," ",X371)</f>
        <v>11-Infraestructura Tecnológica   (Sistemas de Información y Tecnologia) 007_Servicios tecnológicos</v>
      </c>
      <c r="Z371" s="192" t="str">
        <f>CONCATENATE(P371,Q371,R371,S371,V371)</f>
        <v>O23011745992024020711007</v>
      </c>
      <c r="AA371" s="192" t="str">
        <f>IFERROR(VLOOKUP(Y371,TD!$K$47:$L$65,2,0)," ")</f>
        <v>PM/0131/0111/45990070207</v>
      </c>
      <c r="AB371" s="125" t="s">
        <v>138</v>
      </c>
      <c r="AC371" s="193" t="s">
        <v>204</v>
      </c>
    </row>
    <row r="372" spans="2:29" s="28" customFormat="1" ht="56" x14ac:dyDescent="0.35">
      <c r="B372" s="127">
        <v>20250359</v>
      </c>
      <c r="C372" s="129" t="s">
        <v>208</v>
      </c>
      <c r="D372" s="189" t="s">
        <v>162</v>
      </c>
      <c r="E372" s="190" t="s">
        <v>355</v>
      </c>
      <c r="F372" s="189" t="s">
        <v>776</v>
      </c>
      <c r="G372" s="189" t="s">
        <v>155</v>
      </c>
      <c r="H372" s="130">
        <v>80111600</v>
      </c>
      <c r="I372" s="191">
        <v>2</v>
      </c>
      <c r="J372" s="126">
        <v>11</v>
      </c>
      <c r="K372" s="126">
        <v>0</v>
      </c>
      <c r="L372" s="125">
        <v>74500000</v>
      </c>
      <c r="M372" s="189" t="s">
        <v>464</v>
      </c>
      <c r="N372" s="125" t="s">
        <v>113</v>
      </c>
      <c r="O372" s="190" t="s">
        <v>216</v>
      </c>
      <c r="P372" s="192" t="str">
        <f>IFERROR(VLOOKUP(C372,TD!$B$33:$F$37,2,0)," ")</f>
        <v>O230117</v>
      </c>
      <c r="Q372" s="192" t="str">
        <f>IFERROR(VLOOKUP(C372,TD!$B$33:$F$37,3,0)," ")</f>
        <v>4599</v>
      </c>
      <c r="R372" s="192">
        <f>IFERROR(VLOOKUP(C372,TD!$B$33:$F$37,4,0)," ")</f>
        <v>20240207</v>
      </c>
      <c r="S372" s="190" t="s">
        <v>179</v>
      </c>
      <c r="T372" s="192" t="str">
        <f>IFERROR(VLOOKUP(S372,TD!$J$34:$K$44,2,0)," ")</f>
        <v>Infraestructura Tecnológica   (Sistemas de Información y Tecnologia)</v>
      </c>
      <c r="U372" s="187" t="str">
        <f>CONCATENATE(S372,"-",T372)</f>
        <v>11-Infraestructura Tecnológica   (Sistemas de Información y Tecnologia)</v>
      </c>
      <c r="V372" s="190" t="s">
        <v>239</v>
      </c>
      <c r="W372" s="192" t="str">
        <f>IFERROR(VLOOKUP(V372,TD!$N$34:$O$46,2,0)," ")</f>
        <v>Servicios tecnológicos</v>
      </c>
      <c r="X372" s="187" t="str">
        <f>CONCATENATE(V372,"_",W372)</f>
        <v>007_Servicios tecnológicos</v>
      </c>
      <c r="Y372" s="187" t="str">
        <f>CONCATENATE(U372," ",X372)</f>
        <v>11-Infraestructura Tecnológica   (Sistemas de Información y Tecnologia) 007_Servicios tecnológicos</v>
      </c>
      <c r="Z372" s="192" t="str">
        <f>CONCATENATE(P372,Q372,R372,S372,V372)</f>
        <v>O23011745992024020711007</v>
      </c>
      <c r="AA372" s="192" t="str">
        <f>IFERROR(VLOOKUP(Y372,TD!$K$47:$L$65,2,0)," ")</f>
        <v>PM/0131/0111/45990070207</v>
      </c>
      <c r="AB372" s="125" t="s">
        <v>138</v>
      </c>
      <c r="AC372" s="193" t="s">
        <v>204</v>
      </c>
    </row>
    <row r="373" spans="2:29" s="28" customFormat="1" ht="84" x14ac:dyDescent="0.35">
      <c r="B373" s="127">
        <v>20250360</v>
      </c>
      <c r="C373" s="129" t="s">
        <v>208</v>
      </c>
      <c r="D373" s="189" t="s">
        <v>162</v>
      </c>
      <c r="E373" s="190" t="s">
        <v>355</v>
      </c>
      <c r="F373" s="189" t="s">
        <v>410</v>
      </c>
      <c r="G373" s="189" t="s">
        <v>155</v>
      </c>
      <c r="H373" s="130">
        <v>80111600</v>
      </c>
      <c r="I373" s="191">
        <v>2</v>
      </c>
      <c r="J373" s="126">
        <v>11</v>
      </c>
      <c r="K373" s="126">
        <v>0</v>
      </c>
      <c r="L373" s="125">
        <v>78000000</v>
      </c>
      <c r="M373" s="189" t="s">
        <v>464</v>
      </c>
      <c r="N373" s="125" t="s">
        <v>113</v>
      </c>
      <c r="O373" s="190" t="s">
        <v>215</v>
      </c>
      <c r="P373" s="192" t="str">
        <f>IFERROR(VLOOKUP(C373,TD!$B$33:$F$37,2,0)," ")</f>
        <v>O230117</v>
      </c>
      <c r="Q373" s="192" t="str">
        <f>IFERROR(VLOOKUP(C373,TD!$B$33:$F$37,3,0)," ")</f>
        <v>4599</v>
      </c>
      <c r="R373" s="192">
        <f>IFERROR(VLOOKUP(C373,TD!$B$33:$F$37,4,0)," ")</f>
        <v>20240207</v>
      </c>
      <c r="S373" s="190" t="s">
        <v>179</v>
      </c>
      <c r="T373" s="192" t="str">
        <f>IFERROR(VLOOKUP(S373,TD!$J$34:$K$44,2,0)," ")</f>
        <v>Infraestructura Tecnológica   (Sistemas de Información y Tecnologia)</v>
      </c>
      <c r="U373" s="187" t="str">
        <f>CONCATENATE(S373,"-",T373)</f>
        <v>11-Infraestructura Tecnológica   (Sistemas de Información y Tecnologia)</v>
      </c>
      <c r="V373" s="190" t="s">
        <v>239</v>
      </c>
      <c r="W373" s="192" t="str">
        <f>IFERROR(VLOOKUP(V373,TD!$N$34:$O$46,2,0)," ")</f>
        <v>Servicios tecnológicos</v>
      </c>
      <c r="X373" s="187" t="str">
        <f>CONCATENATE(V373,"_",W373)</f>
        <v>007_Servicios tecnológicos</v>
      </c>
      <c r="Y373" s="187" t="str">
        <f>CONCATENATE(U373," ",X373)</f>
        <v>11-Infraestructura Tecnológica   (Sistemas de Información y Tecnologia) 007_Servicios tecnológicos</v>
      </c>
      <c r="Z373" s="192" t="str">
        <f>CONCATENATE(P373,Q373,R373,S373,V373)</f>
        <v>O23011745992024020711007</v>
      </c>
      <c r="AA373" s="192" t="str">
        <f>IFERROR(VLOOKUP(Y373,TD!$K$47:$L$65,2,0)," ")</f>
        <v>PM/0131/0111/45990070207</v>
      </c>
      <c r="AB373" s="125" t="s">
        <v>120</v>
      </c>
      <c r="AC373" s="193" t="s">
        <v>204</v>
      </c>
    </row>
    <row r="374" spans="2:29" s="28" customFormat="1" ht="56" x14ac:dyDescent="0.35">
      <c r="B374" s="127">
        <v>20250361</v>
      </c>
      <c r="C374" s="129" t="s">
        <v>208</v>
      </c>
      <c r="D374" s="189" t="s">
        <v>162</v>
      </c>
      <c r="E374" s="190" t="s">
        <v>355</v>
      </c>
      <c r="F374" s="189" t="s">
        <v>777</v>
      </c>
      <c r="G374" s="189" t="s">
        <v>155</v>
      </c>
      <c r="H374" s="130">
        <v>80111600</v>
      </c>
      <c r="I374" s="191">
        <v>2</v>
      </c>
      <c r="J374" s="126">
        <v>11</v>
      </c>
      <c r="K374" s="126">
        <v>0</v>
      </c>
      <c r="L374" s="125">
        <v>37250000</v>
      </c>
      <c r="M374" s="189" t="s">
        <v>464</v>
      </c>
      <c r="N374" s="125" t="s">
        <v>113</v>
      </c>
      <c r="O374" s="190" t="s">
        <v>215</v>
      </c>
      <c r="P374" s="192" t="str">
        <f>IFERROR(VLOOKUP(C374,TD!$B$33:$F$37,2,0)," ")</f>
        <v>O230117</v>
      </c>
      <c r="Q374" s="192" t="str">
        <f>IFERROR(VLOOKUP(C374,TD!$B$33:$F$37,3,0)," ")</f>
        <v>4599</v>
      </c>
      <c r="R374" s="192">
        <f>IFERROR(VLOOKUP(C374,TD!$B$33:$F$37,4,0)," ")</f>
        <v>20240207</v>
      </c>
      <c r="S374" s="190" t="s">
        <v>179</v>
      </c>
      <c r="T374" s="192" t="str">
        <f>IFERROR(VLOOKUP(S374,TD!$J$34:$K$44,2,0)," ")</f>
        <v>Infraestructura Tecnológica   (Sistemas de Información y Tecnologia)</v>
      </c>
      <c r="U374" s="187" t="str">
        <f>CONCATENATE(S374,"-",T374)</f>
        <v>11-Infraestructura Tecnológica   (Sistemas de Información y Tecnologia)</v>
      </c>
      <c r="V374" s="190" t="s">
        <v>239</v>
      </c>
      <c r="W374" s="192" t="str">
        <f>IFERROR(VLOOKUP(V374,TD!$N$34:$O$46,2,0)," ")</f>
        <v>Servicios tecnológicos</v>
      </c>
      <c r="X374" s="187" t="str">
        <f>CONCATENATE(V374,"_",W374)</f>
        <v>007_Servicios tecnológicos</v>
      </c>
      <c r="Y374" s="187" t="str">
        <f>CONCATENATE(U374," ",X374)</f>
        <v>11-Infraestructura Tecnológica   (Sistemas de Información y Tecnologia) 007_Servicios tecnológicos</v>
      </c>
      <c r="Z374" s="192" t="str">
        <f>CONCATENATE(P374,Q374,R374,S374,V374)</f>
        <v>O23011745992024020711007</v>
      </c>
      <c r="AA374" s="192" t="str">
        <f>IFERROR(VLOOKUP(Y374,TD!$K$47:$L$65,2,0)," ")</f>
        <v>PM/0131/0111/45990070207</v>
      </c>
      <c r="AB374" s="125" t="s">
        <v>138</v>
      </c>
      <c r="AC374" s="193" t="s">
        <v>204</v>
      </c>
    </row>
    <row r="375" spans="2:29" s="28" customFormat="1" ht="56" x14ac:dyDescent="0.35">
      <c r="B375" s="127">
        <v>20250362</v>
      </c>
      <c r="C375" s="129" t="s">
        <v>208</v>
      </c>
      <c r="D375" s="189" t="s">
        <v>162</v>
      </c>
      <c r="E375" s="190" t="s">
        <v>355</v>
      </c>
      <c r="F375" s="189" t="s">
        <v>778</v>
      </c>
      <c r="G375" s="189" t="s">
        <v>155</v>
      </c>
      <c r="H375" s="130">
        <v>80111600</v>
      </c>
      <c r="I375" s="191">
        <v>2</v>
      </c>
      <c r="J375" s="126">
        <v>11</v>
      </c>
      <c r="K375" s="126">
        <v>0</v>
      </c>
      <c r="L375" s="125">
        <v>85500000</v>
      </c>
      <c r="M375" s="189" t="s">
        <v>464</v>
      </c>
      <c r="N375" s="125" t="s">
        <v>113</v>
      </c>
      <c r="O375" s="190" t="s">
        <v>214</v>
      </c>
      <c r="P375" s="192" t="str">
        <f>IFERROR(VLOOKUP(C375,TD!$B$33:$F$37,2,0)," ")</f>
        <v>O230117</v>
      </c>
      <c r="Q375" s="192" t="str">
        <f>IFERROR(VLOOKUP(C375,TD!$B$33:$F$37,3,0)," ")</f>
        <v>4599</v>
      </c>
      <c r="R375" s="192">
        <f>IFERROR(VLOOKUP(C375,TD!$B$33:$F$37,4,0)," ")</f>
        <v>20240207</v>
      </c>
      <c r="S375" s="190" t="s">
        <v>179</v>
      </c>
      <c r="T375" s="192" t="str">
        <f>IFERROR(VLOOKUP(S375,TD!$J$34:$K$44,2,0)," ")</f>
        <v>Infraestructura Tecnológica   (Sistemas de Información y Tecnologia)</v>
      </c>
      <c r="U375" s="187" t="str">
        <f>CONCATENATE(S375,"-",T375)</f>
        <v>11-Infraestructura Tecnológica   (Sistemas de Información y Tecnologia)</v>
      </c>
      <c r="V375" s="190" t="s">
        <v>239</v>
      </c>
      <c r="W375" s="192" t="str">
        <f>IFERROR(VLOOKUP(V375,TD!$N$34:$O$46,2,0)," ")</f>
        <v>Servicios tecnológicos</v>
      </c>
      <c r="X375" s="187" t="str">
        <f>CONCATENATE(V375,"_",W375)</f>
        <v>007_Servicios tecnológicos</v>
      </c>
      <c r="Y375" s="187" t="str">
        <f>CONCATENATE(U375," ",X375)</f>
        <v>11-Infraestructura Tecnológica   (Sistemas de Información y Tecnologia) 007_Servicios tecnológicos</v>
      </c>
      <c r="Z375" s="192" t="str">
        <f>CONCATENATE(P375,Q375,R375,S375,V375)</f>
        <v>O23011745992024020711007</v>
      </c>
      <c r="AA375" s="192" t="str">
        <f>IFERROR(VLOOKUP(Y375,TD!$K$47:$L$65,2,0)," ")</f>
        <v>PM/0131/0111/45990070207</v>
      </c>
      <c r="AB375" s="125" t="s">
        <v>138</v>
      </c>
      <c r="AC375" s="193" t="s">
        <v>204</v>
      </c>
    </row>
    <row r="376" spans="2:29" s="28" customFormat="1" ht="56" x14ac:dyDescent="0.35">
      <c r="B376" s="77">
        <v>20250363</v>
      </c>
      <c r="C376" s="50" t="s">
        <v>208</v>
      </c>
      <c r="D376" s="184" t="s">
        <v>162</v>
      </c>
      <c r="E376" s="51" t="s">
        <v>355</v>
      </c>
      <c r="F376" s="184" t="s">
        <v>779</v>
      </c>
      <c r="G376" s="184" t="s">
        <v>155</v>
      </c>
      <c r="H376" s="93">
        <v>80111600</v>
      </c>
      <c r="I376" s="185">
        <v>2</v>
      </c>
      <c r="J376" s="52">
        <v>11</v>
      </c>
      <c r="K376" s="52">
        <v>0</v>
      </c>
      <c r="L376" s="53">
        <v>68310000</v>
      </c>
      <c r="M376" s="184" t="s">
        <v>464</v>
      </c>
      <c r="N376" s="53" t="s">
        <v>113</v>
      </c>
      <c r="O376" s="51" t="s">
        <v>216</v>
      </c>
      <c r="P376" s="186" t="str">
        <f>IFERROR(VLOOKUP(C376,TD!$B$33:$F$37,2,0)," ")</f>
        <v>O230117</v>
      </c>
      <c r="Q376" s="186" t="str">
        <f>IFERROR(VLOOKUP(C376,TD!$B$33:$F$37,3,0)," ")</f>
        <v>4599</v>
      </c>
      <c r="R376" s="186">
        <f>IFERROR(VLOOKUP(C376,TD!$B$33:$F$37,4,0)," ")</f>
        <v>20240207</v>
      </c>
      <c r="S376" s="51" t="s">
        <v>179</v>
      </c>
      <c r="T376" s="186" t="str">
        <f>IFERROR(VLOOKUP(S376,TD!$J$34:$K$44,2,0)," ")</f>
        <v>Infraestructura Tecnológica   (Sistemas de Información y Tecnologia)</v>
      </c>
      <c r="U376" s="187" t="str">
        <f>CONCATENATE(S376,"-",T376)</f>
        <v>11-Infraestructura Tecnológica   (Sistemas de Información y Tecnologia)</v>
      </c>
      <c r="V376" s="51" t="s">
        <v>239</v>
      </c>
      <c r="W376" s="186" t="str">
        <f>IFERROR(VLOOKUP(V376,TD!$N$34:$O$46,2,0)," ")</f>
        <v>Servicios tecnológicos</v>
      </c>
      <c r="X376" s="187" t="str">
        <f>CONCATENATE(V376,"_",W376)</f>
        <v>007_Servicios tecnológicos</v>
      </c>
      <c r="Y376" s="187" t="str">
        <f>CONCATENATE(U376," ",X376)</f>
        <v>11-Infraestructura Tecnológica   (Sistemas de Información y Tecnologia) 007_Servicios tecnológicos</v>
      </c>
      <c r="Z376" s="186" t="str">
        <f>CONCATENATE(P376,Q376,R376,S376,V376)</f>
        <v>O23011745992024020711007</v>
      </c>
      <c r="AA376" s="186" t="str">
        <f>IFERROR(VLOOKUP(Y376,TD!$K$47:$L$65,2,0)," ")</f>
        <v>PM/0131/0111/45990070207</v>
      </c>
      <c r="AB376" s="53" t="s">
        <v>138</v>
      </c>
      <c r="AC376" s="188" t="s">
        <v>204</v>
      </c>
    </row>
    <row r="377" spans="2:29" s="28" customFormat="1" ht="56" x14ac:dyDescent="0.35">
      <c r="B377" s="127">
        <v>20250364</v>
      </c>
      <c r="C377" s="129" t="s">
        <v>208</v>
      </c>
      <c r="D377" s="189" t="s">
        <v>162</v>
      </c>
      <c r="E377" s="190" t="s">
        <v>355</v>
      </c>
      <c r="F377" s="189" t="s">
        <v>411</v>
      </c>
      <c r="G377" s="189" t="s">
        <v>155</v>
      </c>
      <c r="H377" s="130">
        <v>80111600</v>
      </c>
      <c r="I377" s="191">
        <v>2</v>
      </c>
      <c r="J377" s="126">
        <v>11</v>
      </c>
      <c r="K377" s="126">
        <v>0</v>
      </c>
      <c r="L377" s="125">
        <v>64000000</v>
      </c>
      <c r="M377" s="189" t="s">
        <v>464</v>
      </c>
      <c r="N377" s="125" t="s">
        <v>113</v>
      </c>
      <c r="O377" s="190" t="s">
        <v>214</v>
      </c>
      <c r="P377" s="192" t="str">
        <f>IFERROR(VLOOKUP(C377,TD!$B$33:$F$37,2,0)," ")</f>
        <v>O230117</v>
      </c>
      <c r="Q377" s="192" t="str">
        <f>IFERROR(VLOOKUP(C377,TD!$B$33:$F$37,3,0)," ")</f>
        <v>4599</v>
      </c>
      <c r="R377" s="192">
        <f>IFERROR(VLOOKUP(C377,TD!$B$33:$F$37,4,0)," ")</f>
        <v>20240207</v>
      </c>
      <c r="S377" s="190" t="s">
        <v>179</v>
      </c>
      <c r="T377" s="192" t="str">
        <f>IFERROR(VLOOKUP(S377,TD!$J$34:$K$44,2,0)," ")</f>
        <v>Infraestructura Tecnológica   (Sistemas de Información y Tecnologia)</v>
      </c>
      <c r="U377" s="187" t="str">
        <f>CONCATENATE(S377,"-",T377)</f>
        <v>11-Infraestructura Tecnológica   (Sistemas de Información y Tecnologia)</v>
      </c>
      <c r="V377" s="190" t="s">
        <v>239</v>
      </c>
      <c r="W377" s="192" t="str">
        <f>IFERROR(VLOOKUP(V377,TD!$N$34:$O$46,2,0)," ")</f>
        <v>Servicios tecnológicos</v>
      </c>
      <c r="X377" s="187" t="str">
        <f>CONCATENATE(V377,"_",W377)</f>
        <v>007_Servicios tecnológicos</v>
      </c>
      <c r="Y377" s="187" t="str">
        <f>CONCATENATE(U377," ",X377)</f>
        <v>11-Infraestructura Tecnológica   (Sistemas de Información y Tecnologia) 007_Servicios tecnológicos</v>
      </c>
      <c r="Z377" s="192" t="str">
        <f>CONCATENATE(P377,Q377,R377,S377,V377)</f>
        <v>O23011745992024020711007</v>
      </c>
      <c r="AA377" s="192" t="str">
        <f>IFERROR(VLOOKUP(Y377,TD!$K$47:$L$65,2,0)," ")</f>
        <v>PM/0131/0111/45990070207</v>
      </c>
      <c r="AB377" s="125" t="s">
        <v>138</v>
      </c>
      <c r="AC377" s="193" t="s">
        <v>204</v>
      </c>
    </row>
    <row r="378" spans="2:29" s="28" customFormat="1" ht="56" x14ac:dyDescent="0.35">
      <c r="B378" s="77">
        <v>20250365</v>
      </c>
      <c r="C378" s="50" t="s">
        <v>208</v>
      </c>
      <c r="D378" s="184" t="s">
        <v>162</v>
      </c>
      <c r="E378" s="51" t="s">
        <v>355</v>
      </c>
      <c r="F378" s="184" t="s">
        <v>412</v>
      </c>
      <c r="G378" s="184" t="s">
        <v>155</v>
      </c>
      <c r="H378" s="93">
        <v>80111600</v>
      </c>
      <c r="I378" s="185">
        <v>2</v>
      </c>
      <c r="J378" s="52">
        <v>11</v>
      </c>
      <c r="K378" s="52">
        <v>0</v>
      </c>
      <c r="L378" s="53">
        <v>74800000</v>
      </c>
      <c r="M378" s="184" t="s">
        <v>464</v>
      </c>
      <c r="N378" s="53" t="s">
        <v>113</v>
      </c>
      <c r="O378" s="51" t="s">
        <v>215</v>
      </c>
      <c r="P378" s="186" t="str">
        <f>IFERROR(VLOOKUP(C378,TD!$B$33:$F$37,2,0)," ")</f>
        <v>O230117</v>
      </c>
      <c r="Q378" s="186" t="str">
        <f>IFERROR(VLOOKUP(C378,TD!$B$33:$F$37,3,0)," ")</f>
        <v>4599</v>
      </c>
      <c r="R378" s="186">
        <f>IFERROR(VLOOKUP(C378,TD!$B$33:$F$37,4,0)," ")</f>
        <v>20240207</v>
      </c>
      <c r="S378" s="51" t="s">
        <v>179</v>
      </c>
      <c r="T378" s="186" t="str">
        <f>IFERROR(VLOOKUP(S378,TD!$J$34:$K$44,2,0)," ")</f>
        <v>Infraestructura Tecnológica   (Sistemas de Información y Tecnologia)</v>
      </c>
      <c r="U378" s="187" t="str">
        <f>CONCATENATE(S378,"-",T378)</f>
        <v>11-Infraestructura Tecnológica   (Sistemas de Información y Tecnologia)</v>
      </c>
      <c r="V378" s="51" t="s">
        <v>239</v>
      </c>
      <c r="W378" s="186" t="str">
        <f>IFERROR(VLOOKUP(V378,TD!$N$34:$O$46,2,0)," ")</f>
        <v>Servicios tecnológicos</v>
      </c>
      <c r="X378" s="187" t="str">
        <f>CONCATENATE(V378,"_",W378)</f>
        <v>007_Servicios tecnológicos</v>
      </c>
      <c r="Y378" s="187" t="str">
        <f>CONCATENATE(U378," ",X378)</f>
        <v>11-Infraestructura Tecnológica   (Sistemas de Información y Tecnologia) 007_Servicios tecnológicos</v>
      </c>
      <c r="Z378" s="186" t="str">
        <f>CONCATENATE(P378,Q378,R378,S378,V378)</f>
        <v>O23011745992024020711007</v>
      </c>
      <c r="AA378" s="186" t="str">
        <f>IFERROR(VLOOKUP(Y378,TD!$K$47:$L$65,2,0)," ")</f>
        <v>PM/0131/0111/45990070207</v>
      </c>
      <c r="AB378" s="53" t="s">
        <v>138</v>
      </c>
      <c r="AC378" s="188" t="s">
        <v>204</v>
      </c>
    </row>
    <row r="379" spans="2:29" s="28" customFormat="1" ht="56" x14ac:dyDescent="0.35">
      <c r="B379" s="127">
        <v>20250366</v>
      </c>
      <c r="C379" s="129" t="s">
        <v>208</v>
      </c>
      <c r="D379" s="189" t="s">
        <v>162</v>
      </c>
      <c r="E379" s="190" t="s">
        <v>355</v>
      </c>
      <c r="F379" s="189" t="s">
        <v>780</v>
      </c>
      <c r="G379" s="189" t="s">
        <v>156</v>
      </c>
      <c r="H379" s="130">
        <v>80111600</v>
      </c>
      <c r="I379" s="191">
        <v>2</v>
      </c>
      <c r="J379" s="126">
        <v>11</v>
      </c>
      <c r="K379" s="126">
        <v>0</v>
      </c>
      <c r="L379" s="125">
        <v>30400000</v>
      </c>
      <c r="M379" s="189" t="s">
        <v>464</v>
      </c>
      <c r="N379" s="125" t="s">
        <v>113</v>
      </c>
      <c r="O379" s="190" t="s">
        <v>216</v>
      </c>
      <c r="P379" s="192" t="str">
        <f>IFERROR(VLOOKUP(C379,TD!$B$33:$F$37,2,0)," ")</f>
        <v>O230117</v>
      </c>
      <c r="Q379" s="192" t="str">
        <f>IFERROR(VLOOKUP(C379,TD!$B$33:$F$37,3,0)," ")</f>
        <v>4599</v>
      </c>
      <c r="R379" s="192">
        <f>IFERROR(VLOOKUP(C379,TD!$B$33:$F$37,4,0)," ")</f>
        <v>20240207</v>
      </c>
      <c r="S379" s="190" t="s">
        <v>179</v>
      </c>
      <c r="T379" s="192" t="str">
        <f>IFERROR(VLOOKUP(S379,TD!$J$34:$K$44,2,0)," ")</f>
        <v>Infraestructura Tecnológica   (Sistemas de Información y Tecnologia)</v>
      </c>
      <c r="U379" s="187" t="str">
        <f>CONCATENATE(S379,"-",T379)</f>
        <v>11-Infraestructura Tecnológica   (Sistemas de Información y Tecnologia)</v>
      </c>
      <c r="V379" s="190" t="s">
        <v>239</v>
      </c>
      <c r="W379" s="192" t="str">
        <f>IFERROR(VLOOKUP(V379,TD!$N$34:$O$46,2,0)," ")</f>
        <v>Servicios tecnológicos</v>
      </c>
      <c r="X379" s="187" t="str">
        <f>CONCATENATE(V379,"_",W379)</f>
        <v>007_Servicios tecnológicos</v>
      </c>
      <c r="Y379" s="187" t="str">
        <f>CONCATENATE(U379," ",X379)</f>
        <v>11-Infraestructura Tecnológica   (Sistemas de Información y Tecnologia) 007_Servicios tecnológicos</v>
      </c>
      <c r="Z379" s="192" t="str">
        <f>CONCATENATE(P379,Q379,R379,S379,V379)</f>
        <v>O23011745992024020711007</v>
      </c>
      <c r="AA379" s="192" t="str">
        <f>IFERROR(VLOOKUP(Y379,TD!$K$47:$L$65,2,0)," ")</f>
        <v>PM/0131/0111/45990070207</v>
      </c>
      <c r="AB379" s="125" t="s">
        <v>138</v>
      </c>
      <c r="AC379" s="193" t="s">
        <v>204</v>
      </c>
    </row>
    <row r="380" spans="2:29" s="28" customFormat="1" ht="56" x14ac:dyDescent="0.35">
      <c r="B380" s="127">
        <v>20250367</v>
      </c>
      <c r="C380" s="129" t="s">
        <v>208</v>
      </c>
      <c r="D380" s="189" t="s">
        <v>162</v>
      </c>
      <c r="E380" s="190" t="s">
        <v>355</v>
      </c>
      <c r="F380" s="189" t="s">
        <v>781</v>
      </c>
      <c r="G380" s="189" t="s">
        <v>156</v>
      </c>
      <c r="H380" s="130">
        <v>80111600</v>
      </c>
      <c r="I380" s="191">
        <v>2</v>
      </c>
      <c r="J380" s="126">
        <v>11</v>
      </c>
      <c r="K380" s="126">
        <v>0</v>
      </c>
      <c r="L380" s="125">
        <v>33000000</v>
      </c>
      <c r="M380" s="189" t="s">
        <v>464</v>
      </c>
      <c r="N380" s="125" t="s">
        <v>113</v>
      </c>
      <c r="O380" s="190" t="s">
        <v>215</v>
      </c>
      <c r="P380" s="192" t="str">
        <f>IFERROR(VLOOKUP(C380,TD!$B$33:$F$37,2,0)," ")</f>
        <v>O230117</v>
      </c>
      <c r="Q380" s="192" t="str">
        <f>IFERROR(VLOOKUP(C380,TD!$B$33:$F$37,3,0)," ")</f>
        <v>4599</v>
      </c>
      <c r="R380" s="192">
        <f>IFERROR(VLOOKUP(C380,TD!$B$33:$F$37,4,0)," ")</f>
        <v>20240207</v>
      </c>
      <c r="S380" s="190" t="s">
        <v>179</v>
      </c>
      <c r="T380" s="192" t="str">
        <f>IFERROR(VLOOKUP(S380,TD!$J$34:$K$44,2,0)," ")</f>
        <v>Infraestructura Tecnológica   (Sistemas de Información y Tecnologia)</v>
      </c>
      <c r="U380" s="187" t="str">
        <f>CONCATENATE(S380,"-",T380)</f>
        <v>11-Infraestructura Tecnológica   (Sistemas de Información y Tecnologia)</v>
      </c>
      <c r="V380" s="190" t="s">
        <v>239</v>
      </c>
      <c r="W380" s="192" t="str">
        <f>IFERROR(VLOOKUP(V380,TD!$N$34:$O$46,2,0)," ")</f>
        <v>Servicios tecnológicos</v>
      </c>
      <c r="X380" s="187" t="str">
        <f>CONCATENATE(V380,"_",W380)</f>
        <v>007_Servicios tecnológicos</v>
      </c>
      <c r="Y380" s="187" t="str">
        <f>CONCATENATE(U380," ",X380)</f>
        <v>11-Infraestructura Tecnológica   (Sistemas de Información y Tecnologia) 007_Servicios tecnológicos</v>
      </c>
      <c r="Z380" s="192" t="str">
        <f>CONCATENATE(P380,Q380,R380,S380,V380)</f>
        <v>O23011745992024020711007</v>
      </c>
      <c r="AA380" s="192" t="str">
        <f>IFERROR(VLOOKUP(Y380,TD!$K$47:$L$65,2,0)," ")</f>
        <v>PM/0131/0111/45990070207</v>
      </c>
      <c r="AB380" s="125" t="s">
        <v>138</v>
      </c>
      <c r="AC380" s="193" t="s">
        <v>204</v>
      </c>
    </row>
    <row r="381" spans="2:29" s="28" customFormat="1" ht="56" x14ac:dyDescent="0.35">
      <c r="B381" s="127">
        <v>20250368</v>
      </c>
      <c r="C381" s="129" t="s">
        <v>208</v>
      </c>
      <c r="D381" s="189" t="s">
        <v>162</v>
      </c>
      <c r="E381" s="190" t="s">
        <v>355</v>
      </c>
      <c r="F381" s="189" t="s">
        <v>782</v>
      </c>
      <c r="G381" s="189" t="s">
        <v>156</v>
      </c>
      <c r="H381" s="130">
        <v>80111600</v>
      </c>
      <c r="I381" s="191">
        <v>2</v>
      </c>
      <c r="J381" s="126">
        <v>11</v>
      </c>
      <c r="K381" s="126">
        <v>0</v>
      </c>
      <c r="L381" s="125">
        <v>39600000</v>
      </c>
      <c r="M381" s="189" t="s">
        <v>464</v>
      </c>
      <c r="N381" s="125" t="s">
        <v>113</v>
      </c>
      <c r="O381" s="190" t="s">
        <v>215</v>
      </c>
      <c r="P381" s="192" t="str">
        <f>IFERROR(VLOOKUP(C381,TD!$B$33:$F$37,2,0)," ")</f>
        <v>O230117</v>
      </c>
      <c r="Q381" s="192" t="str">
        <f>IFERROR(VLOOKUP(C381,TD!$B$33:$F$37,3,0)," ")</f>
        <v>4599</v>
      </c>
      <c r="R381" s="192">
        <f>IFERROR(VLOOKUP(C381,TD!$B$33:$F$37,4,0)," ")</f>
        <v>20240207</v>
      </c>
      <c r="S381" s="190" t="s">
        <v>179</v>
      </c>
      <c r="T381" s="192" t="str">
        <f>IFERROR(VLOOKUP(S381,TD!$J$34:$K$44,2,0)," ")</f>
        <v>Infraestructura Tecnológica   (Sistemas de Información y Tecnologia)</v>
      </c>
      <c r="U381" s="187" t="str">
        <f>CONCATENATE(S381,"-",T381)</f>
        <v>11-Infraestructura Tecnológica   (Sistemas de Información y Tecnologia)</v>
      </c>
      <c r="V381" s="190" t="s">
        <v>239</v>
      </c>
      <c r="W381" s="192" t="str">
        <f>IFERROR(VLOOKUP(V381,TD!$N$34:$O$46,2,0)," ")</f>
        <v>Servicios tecnológicos</v>
      </c>
      <c r="X381" s="187" t="str">
        <f>CONCATENATE(V381,"_",W381)</f>
        <v>007_Servicios tecnológicos</v>
      </c>
      <c r="Y381" s="187" t="str">
        <f>CONCATENATE(U381," ",X381)</f>
        <v>11-Infraestructura Tecnológica   (Sistemas de Información y Tecnologia) 007_Servicios tecnológicos</v>
      </c>
      <c r="Z381" s="192" t="str">
        <f>CONCATENATE(P381,Q381,R381,S381,V381)</f>
        <v>O23011745992024020711007</v>
      </c>
      <c r="AA381" s="192" t="str">
        <f>IFERROR(VLOOKUP(Y381,TD!$K$47:$L$65,2,0)," ")</f>
        <v>PM/0131/0111/45990070207</v>
      </c>
      <c r="AB381" s="125" t="s">
        <v>138</v>
      </c>
      <c r="AC381" s="193" t="s">
        <v>204</v>
      </c>
    </row>
    <row r="382" spans="2:29" s="28" customFormat="1" ht="56" x14ac:dyDescent="0.35">
      <c r="B382" s="127">
        <v>20250369</v>
      </c>
      <c r="C382" s="129" t="s">
        <v>208</v>
      </c>
      <c r="D382" s="189" t="s">
        <v>162</v>
      </c>
      <c r="E382" s="190" t="s">
        <v>355</v>
      </c>
      <c r="F382" s="189" t="s">
        <v>783</v>
      </c>
      <c r="G382" s="189" t="s">
        <v>156</v>
      </c>
      <c r="H382" s="130">
        <v>80111600</v>
      </c>
      <c r="I382" s="191">
        <v>2</v>
      </c>
      <c r="J382" s="126">
        <v>11</v>
      </c>
      <c r="K382" s="126">
        <v>0</v>
      </c>
      <c r="L382" s="125">
        <v>38000000</v>
      </c>
      <c r="M382" s="189" t="s">
        <v>464</v>
      </c>
      <c r="N382" s="125" t="s">
        <v>113</v>
      </c>
      <c r="O382" s="190" t="s">
        <v>215</v>
      </c>
      <c r="P382" s="192" t="str">
        <f>IFERROR(VLOOKUP(C382,TD!$B$33:$F$37,2,0)," ")</f>
        <v>O230117</v>
      </c>
      <c r="Q382" s="192" t="str">
        <f>IFERROR(VLOOKUP(C382,TD!$B$33:$F$37,3,0)," ")</f>
        <v>4599</v>
      </c>
      <c r="R382" s="192">
        <f>IFERROR(VLOOKUP(C382,TD!$B$33:$F$37,4,0)," ")</f>
        <v>20240207</v>
      </c>
      <c r="S382" s="190" t="s">
        <v>179</v>
      </c>
      <c r="T382" s="192" t="str">
        <f>IFERROR(VLOOKUP(S382,TD!$J$34:$K$44,2,0)," ")</f>
        <v>Infraestructura Tecnológica   (Sistemas de Información y Tecnologia)</v>
      </c>
      <c r="U382" s="187" t="str">
        <f>CONCATENATE(S382,"-",T382)</f>
        <v>11-Infraestructura Tecnológica   (Sistemas de Información y Tecnologia)</v>
      </c>
      <c r="V382" s="190" t="s">
        <v>239</v>
      </c>
      <c r="W382" s="192" t="str">
        <f>IFERROR(VLOOKUP(V382,TD!$N$34:$O$46,2,0)," ")</f>
        <v>Servicios tecnológicos</v>
      </c>
      <c r="X382" s="187" t="str">
        <f>CONCATENATE(V382,"_",W382)</f>
        <v>007_Servicios tecnológicos</v>
      </c>
      <c r="Y382" s="187" t="str">
        <f>CONCATENATE(U382," ",X382)</f>
        <v>11-Infraestructura Tecnológica   (Sistemas de Información y Tecnologia) 007_Servicios tecnológicos</v>
      </c>
      <c r="Z382" s="192" t="str">
        <f>CONCATENATE(P382,Q382,R382,S382,V382)</f>
        <v>O23011745992024020711007</v>
      </c>
      <c r="AA382" s="192" t="str">
        <f>IFERROR(VLOOKUP(Y382,TD!$K$47:$L$65,2,0)," ")</f>
        <v>PM/0131/0111/45990070207</v>
      </c>
      <c r="AB382" s="125" t="s">
        <v>138</v>
      </c>
      <c r="AC382" s="193" t="s">
        <v>204</v>
      </c>
    </row>
    <row r="383" spans="2:29" s="28" customFormat="1" ht="56" x14ac:dyDescent="0.35">
      <c r="B383" s="127">
        <v>20250370</v>
      </c>
      <c r="C383" s="129" t="s">
        <v>208</v>
      </c>
      <c r="D383" s="189" t="s">
        <v>162</v>
      </c>
      <c r="E383" s="190" t="s">
        <v>355</v>
      </c>
      <c r="F383" s="189" t="s">
        <v>784</v>
      </c>
      <c r="G383" s="189" t="s">
        <v>156</v>
      </c>
      <c r="H383" s="130">
        <v>80111600</v>
      </c>
      <c r="I383" s="191">
        <v>2</v>
      </c>
      <c r="J383" s="126">
        <v>11</v>
      </c>
      <c r="K383" s="126">
        <v>0</v>
      </c>
      <c r="L383" s="125">
        <v>22500000</v>
      </c>
      <c r="M383" s="189" t="s">
        <v>464</v>
      </c>
      <c r="N383" s="125" t="s">
        <v>113</v>
      </c>
      <c r="O383" s="190" t="s">
        <v>215</v>
      </c>
      <c r="P383" s="192" t="str">
        <f>IFERROR(VLOOKUP(C383,TD!$B$33:$F$37,2,0)," ")</f>
        <v>O230117</v>
      </c>
      <c r="Q383" s="192" t="str">
        <f>IFERROR(VLOOKUP(C383,TD!$B$33:$F$37,3,0)," ")</f>
        <v>4599</v>
      </c>
      <c r="R383" s="192">
        <f>IFERROR(VLOOKUP(C383,TD!$B$33:$F$37,4,0)," ")</f>
        <v>20240207</v>
      </c>
      <c r="S383" s="190" t="s">
        <v>179</v>
      </c>
      <c r="T383" s="192" t="str">
        <f>IFERROR(VLOOKUP(S383,TD!$J$34:$K$44,2,0)," ")</f>
        <v>Infraestructura Tecnológica   (Sistemas de Información y Tecnologia)</v>
      </c>
      <c r="U383" s="187" t="str">
        <f>CONCATENATE(S383,"-",T383)</f>
        <v>11-Infraestructura Tecnológica   (Sistemas de Información y Tecnologia)</v>
      </c>
      <c r="V383" s="190" t="s">
        <v>239</v>
      </c>
      <c r="W383" s="192" t="str">
        <f>IFERROR(VLOOKUP(V383,TD!$N$34:$O$46,2,0)," ")</f>
        <v>Servicios tecnológicos</v>
      </c>
      <c r="X383" s="187" t="str">
        <f>CONCATENATE(V383,"_",W383)</f>
        <v>007_Servicios tecnológicos</v>
      </c>
      <c r="Y383" s="187" t="str">
        <f>CONCATENATE(U383," ",X383)</f>
        <v>11-Infraestructura Tecnológica   (Sistemas de Información y Tecnologia) 007_Servicios tecnológicos</v>
      </c>
      <c r="Z383" s="192" t="str">
        <f>CONCATENATE(P383,Q383,R383,S383,V383)</f>
        <v>O23011745992024020711007</v>
      </c>
      <c r="AA383" s="192" t="str">
        <f>IFERROR(VLOOKUP(Y383,TD!$K$47:$L$65,2,0)," ")</f>
        <v>PM/0131/0111/45990070207</v>
      </c>
      <c r="AB383" s="125" t="s">
        <v>138</v>
      </c>
      <c r="AC383" s="193" t="s">
        <v>204</v>
      </c>
    </row>
    <row r="384" spans="2:29" s="28" customFormat="1" ht="56" x14ac:dyDescent="0.35">
      <c r="B384" s="127">
        <v>20250371</v>
      </c>
      <c r="C384" s="129" t="s">
        <v>208</v>
      </c>
      <c r="D384" s="189" t="s">
        <v>162</v>
      </c>
      <c r="E384" s="190" t="s">
        <v>355</v>
      </c>
      <c r="F384" s="189" t="s">
        <v>785</v>
      </c>
      <c r="G384" s="189" t="s">
        <v>155</v>
      </c>
      <c r="H384" s="130">
        <v>80111600</v>
      </c>
      <c r="I384" s="191">
        <v>3</v>
      </c>
      <c r="J384" s="126">
        <v>10</v>
      </c>
      <c r="K384" s="126">
        <v>0</v>
      </c>
      <c r="L384" s="125">
        <v>45000000</v>
      </c>
      <c r="M384" s="189" t="s">
        <v>464</v>
      </c>
      <c r="N384" s="125" t="s">
        <v>113</v>
      </c>
      <c r="O384" s="190" t="s">
        <v>214</v>
      </c>
      <c r="P384" s="192" t="str">
        <f>IFERROR(VLOOKUP(C384,TD!$B$33:$F$37,2,0)," ")</f>
        <v>O230117</v>
      </c>
      <c r="Q384" s="192" t="str">
        <f>IFERROR(VLOOKUP(C384,TD!$B$33:$F$37,3,0)," ")</f>
        <v>4599</v>
      </c>
      <c r="R384" s="192">
        <f>IFERROR(VLOOKUP(C384,TD!$B$33:$F$37,4,0)," ")</f>
        <v>20240207</v>
      </c>
      <c r="S384" s="190" t="s">
        <v>179</v>
      </c>
      <c r="T384" s="192" t="str">
        <f>IFERROR(VLOOKUP(S384,TD!$J$34:$K$44,2,0)," ")</f>
        <v>Infraestructura Tecnológica   (Sistemas de Información y Tecnologia)</v>
      </c>
      <c r="U384" s="187" t="str">
        <f>CONCATENATE(S384,"-",T384)</f>
        <v>11-Infraestructura Tecnológica   (Sistemas de Información y Tecnologia)</v>
      </c>
      <c r="V384" s="190" t="s">
        <v>239</v>
      </c>
      <c r="W384" s="192" t="str">
        <f>IFERROR(VLOOKUP(V384,TD!$N$34:$O$46,2,0)," ")</f>
        <v>Servicios tecnológicos</v>
      </c>
      <c r="X384" s="187" t="str">
        <f>CONCATENATE(V384,"_",W384)</f>
        <v>007_Servicios tecnológicos</v>
      </c>
      <c r="Y384" s="187" t="str">
        <f>CONCATENATE(U384," ",X384)</f>
        <v>11-Infraestructura Tecnológica   (Sistemas de Información y Tecnologia) 007_Servicios tecnológicos</v>
      </c>
      <c r="Z384" s="192" t="str">
        <f>CONCATENATE(P384,Q384,R384,S384,V384)</f>
        <v>O23011745992024020711007</v>
      </c>
      <c r="AA384" s="192" t="str">
        <f>IFERROR(VLOOKUP(Y384,TD!$K$47:$L$65,2,0)," ")</f>
        <v>PM/0131/0111/45990070207</v>
      </c>
      <c r="AB384" s="125" t="s">
        <v>138</v>
      </c>
      <c r="AC384" s="193" t="s">
        <v>204</v>
      </c>
    </row>
    <row r="385" spans="2:29" s="28" customFormat="1" ht="56" x14ac:dyDescent="0.35">
      <c r="B385" s="127">
        <v>20250372</v>
      </c>
      <c r="C385" s="129" t="s">
        <v>208</v>
      </c>
      <c r="D385" s="189" t="s">
        <v>162</v>
      </c>
      <c r="E385" s="190" t="s">
        <v>355</v>
      </c>
      <c r="F385" s="189" t="s">
        <v>786</v>
      </c>
      <c r="G385" s="189" t="s">
        <v>156</v>
      </c>
      <c r="H385" s="130">
        <v>80111600</v>
      </c>
      <c r="I385" s="191">
        <v>2</v>
      </c>
      <c r="J385" s="126">
        <v>11</v>
      </c>
      <c r="K385" s="126">
        <v>0</v>
      </c>
      <c r="L385" s="125">
        <v>45000000</v>
      </c>
      <c r="M385" s="189" t="s">
        <v>464</v>
      </c>
      <c r="N385" s="125" t="s">
        <v>113</v>
      </c>
      <c r="O385" s="190" t="s">
        <v>216</v>
      </c>
      <c r="P385" s="192" t="str">
        <f>IFERROR(VLOOKUP(C385,TD!$B$33:$F$37,2,0)," ")</f>
        <v>O230117</v>
      </c>
      <c r="Q385" s="192" t="str">
        <f>IFERROR(VLOOKUP(C385,TD!$B$33:$F$37,3,0)," ")</f>
        <v>4599</v>
      </c>
      <c r="R385" s="192">
        <f>IFERROR(VLOOKUP(C385,TD!$B$33:$F$37,4,0)," ")</f>
        <v>20240207</v>
      </c>
      <c r="S385" s="190" t="s">
        <v>179</v>
      </c>
      <c r="T385" s="192" t="str">
        <f>IFERROR(VLOOKUP(S385,TD!$J$34:$K$44,2,0)," ")</f>
        <v>Infraestructura Tecnológica   (Sistemas de Información y Tecnologia)</v>
      </c>
      <c r="U385" s="187" t="str">
        <f>CONCATENATE(S385,"-",T385)</f>
        <v>11-Infraestructura Tecnológica   (Sistemas de Información y Tecnologia)</v>
      </c>
      <c r="V385" s="190" t="s">
        <v>239</v>
      </c>
      <c r="W385" s="192" t="str">
        <f>IFERROR(VLOOKUP(V385,TD!$N$34:$O$46,2,0)," ")</f>
        <v>Servicios tecnológicos</v>
      </c>
      <c r="X385" s="187" t="str">
        <f>CONCATENATE(V385,"_",W385)</f>
        <v>007_Servicios tecnológicos</v>
      </c>
      <c r="Y385" s="187" t="str">
        <f>CONCATENATE(U385," ",X385)</f>
        <v>11-Infraestructura Tecnológica   (Sistemas de Información y Tecnologia) 007_Servicios tecnológicos</v>
      </c>
      <c r="Z385" s="192" t="str">
        <f>CONCATENATE(P385,Q385,R385,S385,V385)</f>
        <v>O23011745992024020711007</v>
      </c>
      <c r="AA385" s="192" t="str">
        <f>IFERROR(VLOOKUP(Y385,TD!$K$47:$L$65,2,0)," ")</f>
        <v>PM/0131/0111/45990070207</v>
      </c>
      <c r="AB385" s="125" t="s">
        <v>138</v>
      </c>
      <c r="AC385" s="193" t="s">
        <v>204</v>
      </c>
    </row>
    <row r="386" spans="2:29" s="28" customFormat="1" ht="56" x14ac:dyDescent="0.35">
      <c r="B386" s="127">
        <v>20250373</v>
      </c>
      <c r="C386" s="129" t="s">
        <v>208</v>
      </c>
      <c r="D386" s="189" t="s">
        <v>162</v>
      </c>
      <c r="E386" s="190" t="s">
        <v>355</v>
      </c>
      <c r="F386" s="189" t="s">
        <v>787</v>
      </c>
      <c r="G386" s="189" t="s">
        <v>155</v>
      </c>
      <c r="H386" s="130">
        <v>80111600</v>
      </c>
      <c r="I386" s="191">
        <v>2</v>
      </c>
      <c r="J386" s="126">
        <v>11</v>
      </c>
      <c r="K386" s="126">
        <v>0</v>
      </c>
      <c r="L386" s="125">
        <v>77000000</v>
      </c>
      <c r="M386" s="189" t="s">
        <v>464</v>
      </c>
      <c r="N386" s="125" t="s">
        <v>113</v>
      </c>
      <c r="O386" s="190" t="s">
        <v>217</v>
      </c>
      <c r="P386" s="192" t="str">
        <f>IFERROR(VLOOKUP(C386,TD!$B$33:$F$37,2,0)," ")</f>
        <v>O230117</v>
      </c>
      <c r="Q386" s="192" t="str">
        <f>IFERROR(VLOOKUP(C386,TD!$B$33:$F$37,3,0)," ")</f>
        <v>4599</v>
      </c>
      <c r="R386" s="192">
        <f>IFERROR(VLOOKUP(C386,TD!$B$33:$F$37,4,0)," ")</f>
        <v>20240207</v>
      </c>
      <c r="S386" s="190" t="s">
        <v>179</v>
      </c>
      <c r="T386" s="192" t="str">
        <f>IFERROR(VLOOKUP(S386,TD!$J$34:$K$44,2,0)," ")</f>
        <v>Infraestructura Tecnológica   (Sistemas de Información y Tecnologia)</v>
      </c>
      <c r="U386" s="187" t="str">
        <f>CONCATENATE(S386,"-",T386)</f>
        <v>11-Infraestructura Tecnológica   (Sistemas de Información y Tecnologia)</v>
      </c>
      <c r="V386" s="190" t="s">
        <v>239</v>
      </c>
      <c r="W386" s="192" t="str">
        <f>IFERROR(VLOOKUP(V386,TD!$N$34:$O$46,2,0)," ")</f>
        <v>Servicios tecnológicos</v>
      </c>
      <c r="X386" s="187" t="str">
        <f>CONCATENATE(V386,"_",W386)</f>
        <v>007_Servicios tecnológicos</v>
      </c>
      <c r="Y386" s="187" t="str">
        <f>CONCATENATE(U386," ",X386)</f>
        <v>11-Infraestructura Tecnológica   (Sistemas de Información y Tecnologia) 007_Servicios tecnológicos</v>
      </c>
      <c r="Z386" s="192" t="str">
        <f>CONCATENATE(P386,Q386,R386,S386,V386)</f>
        <v>O23011745992024020711007</v>
      </c>
      <c r="AA386" s="192" t="str">
        <f>IFERROR(VLOOKUP(Y386,TD!$K$47:$L$65,2,0)," ")</f>
        <v>PM/0131/0111/45990070207</v>
      </c>
      <c r="AB386" s="125" t="s">
        <v>138</v>
      </c>
      <c r="AC386" s="193" t="s">
        <v>204</v>
      </c>
    </row>
    <row r="387" spans="2:29" s="28" customFormat="1" ht="56" x14ac:dyDescent="0.35">
      <c r="B387" s="77">
        <v>20250374</v>
      </c>
      <c r="C387" s="50" t="s">
        <v>208</v>
      </c>
      <c r="D387" s="184" t="s">
        <v>162</v>
      </c>
      <c r="E387" s="51" t="s">
        <v>355</v>
      </c>
      <c r="F387" s="184" t="s">
        <v>788</v>
      </c>
      <c r="G387" s="184" t="s">
        <v>155</v>
      </c>
      <c r="H387" s="93">
        <v>80111600</v>
      </c>
      <c r="I387" s="185">
        <v>2</v>
      </c>
      <c r="J387" s="185">
        <v>11</v>
      </c>
      <c r="K387" s="52">
        <v>0</v>
      </c>
      <c r="L387" s="53">
        <v>77000000</v>
      </c>
      <c r="M387" s="184" t="s">
        <v>464</v>
      </c>
      <c r="N387" s="53" t="s">
        <v>113</v>
      </c>
      <c r="O387" s="51" t="s">
        <v>214</v>
      </c>
      <c r="P387" s="186" t="str">
        <f>IFERROR(VLOOKUP(C387,TD!$B$33:$F$37,2,0)," ")</f>
        <v>O230117</v>
      </c>
      <c r="Q387" s="186" t="str">
        <f>IFERROR(VLOOKUP(C387,TD!$B$33:$F$37,3,0)," ")</f>
        <v>4599</v>
      </c>
      <c r="R387" s="186">
        <f>IFERROR(VLOOKUP(C387,TD!$B$33:$F$37,4,0)," ")</f>
        <v>20240207</v>
      </c>
      <c r="S387" s="51" t="s">
        <v>179</v>
      </c>
      <c r="T387" s="186" t="str">
        <f>IFERROR(VLOOKUP(S387,TD!$J$34:$K$44,2,0)," ")</f>
        <v>Infraestructura Tecnológica   (Sistemas de Información y Tecnologia)</v>
      </c>
      <c r="U387" s="187" t="str">
        <f>CONCATENATE(S387,"-",T387)</f>
        <v>11-Infraestructura Tecnológica   (Sistemas de Información y Tecnologia)</v>
      </c>
      <c r="V387" s="51" t="s">
        <v>239</v>
      </c>
      <c r="W387" s="186" t="str">
        <f>IFERROR(VLOOKUP(V387,TD!$N$34:$O$46,2,0)," ")</f>
        <v>Servicios tecnológicos</v>
      </c>
      <c r="X387" s="187" t="str">
        <f>CONCATENATE(V387,"_",W387)</f>
        <v>007_Servicios tecnológicos</v>
      </c>
      <c r="Y387" s="187" t="str">
        <f>CONCATENATE(U387," ",X387)</f>
        <v>11-Infraestructura Tecnológica   (Sistemas de Información y Tecnologia) 007_Servicios tecnológicos</v>
      </c>
      <c r="Z387" s="186" t="str">
        <f>CONCATENATE(P387,Q387,R387,S387,V387)</f>
        <v>O23011745992024020711007</v>
      </c>
      <c r="AA387" s="186" t="str">
        <f>IFERROR(VLOOKUP(Y387,TD!$K$47:$L$65,2,0)," ")</f>
        <v>PM/0131/0111/45990070207</v>
      </c>
      <c r="AB387" s="53" t="s">
        <v>138</v>
      </c>
      <c r="AC387" s="188" t="s">
        <v>204</v>
      </c>
    </row>
    <row r="388" spans="2:29" s="28" customFormat="1" ht="56" x14ac:dyDescent="0.35">
      <c r="B388" s="127">
        <v>20250375</v>
      </c>
      <c r="C388" s="129" t="s">
        <v>208</v>
      </c>
      <c r="D388" s="189" t="s">
        <v>162</v>
      </c>
      <c r="E388" s="190" t="s">
        <v>355</v>
      </c>
      <c r="F388" s="189" t="s">
        <v>788</v>
      </c>
      <c r="G388" s="189" t="s">
        <v>155</v>
      </c>
      <c r="H388" s="130">
        <v>80111600</v>
      </c>
      <c r="I388" s="191">
        <v>2</v>
      </c>
      <c r="J388" s="191">
        <v>11</v>
      </c>
      <c r="K388" s="126">
        <v>0</v>
      </c>
      <c r="L388" s="125">
        <v>70000000</v>
      </c>
      <c r="M388" s="189" t="s">
        <v>464</v>
      </c>
      <c r="N388" s="125" t="s">
        <v>113</v>
      </c>
      <c r="O388" s="190" t="s">
        <v>214</v>
      </c>
      <c r="P388" s="192" t="str">
        <f>IFERROR(VLOOKUP(C388,TD!$B$33:$F$37,2,0)," ")</f>
        <v>O230117</v>
      </c>
      <c r="Q388" s="192" t="str">
        <f>IFERROR(VLOOKUP(C388,TD!$B$33:$F$37,3,0)," ")</f>
        <v>4599</v>
      </c>
      <c r="R388" s="192">
        <f>IFERROR(VLOOKUP(C388,TD!$B$33:$F$37,4,0)," ")</f>
        <v>20240207</v>
      </c>
      <c r="S388" s="190" t="s">
        <v>179</v>
      </c>
      <c r="T388" s="192" t="str">
        <f>IFERROR(VLOOKUP(S388,TD!$J$34:$K$44,2,0)," ")</f>
        <v>Infraestructura Tecnológica   (Sistemas de Información y Tecnologia)</v>
      </c>
      <c r="U388" s="187" t="str">
        <f>CONCATENATE(S388,"-",T388)</f>
        <v>11-Infraestructura Tecnológica   (Sistemas de Información y Tecnologia)</v>
      </c>
      <c r="V388" s="190" t="s">
        <v>239</v>
      </c>
      <c r="W388" s="192" t="str">
        <f>IFERROR(VLOOKUP(V388,TD!$N$34:$O$46,2,0)," ")</f>
        <v>Servicios tecnológicos</v>
      </c>
      <c r="X388" s="187" t="str">
        <f>CONCATENATE(V388,"_",W388)</f>
        <v>007_Servicios tecnológicos</v>
      </c>
      <c r="Y388" s="187" t="str">
        <f>CONCATENATE(U388," ",X388)</f>
        <v>11-Infraestructura Tecnológica   (Sistemas de Información y Tecnologia) 007_Servicios tecnológicos</v>
      </c>
      <c r="Z388" s="192" t="str">
        <f>CONCATENATE(P388,Q388,R388,S388,V388)</f>
        <v>O23011745992024020711007</v>
      </c>
      <c r="AA388" s="192" t="str">
        <f>IFERROR(VLOOKUP(Y388,TD!$K$47:$L$65,2,0)," ")</f>
        <v>PM/0131/0111/45990070207</v>
      </c>
      <c r="AB388" s="125" t="s">
        <v>138</v>
      </c>
      <c r="AC388" s="193" t="s">
        <v>204</v>
      </c>
    </row>
    <row r="389" spans="2:29" s="28" customFormat="1" ht="56" x14ac:dyDescent="0.35">
      <c r="B389" s="127">
        <v>20250376</v>
      </c>
      <c r="C389" s="129" t="s">
        <v>208</v>
      </c>
      <c r="D389" s="189" t="s">
        <v>162</v>
      </c>
      <c r="E389" s="190" t="s">
        <v>355</v>
      </c>
      <c r="F389" s="189" t="s">
        <v>789</v>
      </c>
      <c r="G389" s="189" t="s">
        <v>155</v>
      </c>
      <c r="H389" s="130">
        <v>80111600</v>
      </c>
      <c r="I389" s="191">
        <v>2</v>
      </c>
      <c r="J389" s="191">
        <v>11</v>
      </c>
      <c r="K389" s="126">
        <v>0</v>
      </c>
      <c r="L389" s="125">
        <v>40410000</v>
      </c>
      <c r="M389" s="189" t="s">
        <v>464</v>
      </c>
      <c r="N389" s="125" t="s">
        <v>113</v>
      </c>
      <c r="O389" s="190" t="s">
        <v>214</v>
      </c>
      <c r="P389" s="192" t="str">
        <f>IFERROR(VLOOKUP(C389,TD!$B$33:$F$37,2,0)," ")</f>
        <v>O230117</v>
      </c>
      <c r="Q389" s="192" t="str">
        <f>IFERROR(VLOOKUP(C389,TD!$B$33:$F$37,3,0)," ")</f>
        <v>4599</v>
      </c>
      <c r="R389" s="192">
        <f>IFERROR(VLOOKUP(C389,TD!$B$33:$F$37,4,0)," ")</f>
        <v>20240207</v>
      </c>
      <c r="S389" s="190" t="s">
        <v>179</v>
      </c>
      <c r="T389" s="192" t="str">
        <f>IFERROR(VLOOKUP(S389,TD!$J$34:$K$44,2,0)," ")</f>
        <v>Infraestructura Tecnológica   (Sistemas de Información y Tecnologia)</v>
      </c>
      <c r="U389" s="187" t="str">
        <f>CONCATENATE(S389,"-",T389)</f>
        <v>11-Infraestructura Tecnológica   (Sistemas de Información y Tecnologia)</v>
      </c>
      <c r="V389" s="190" t="s">
        <v>239</v>
      </c>
      <c r="W389" s="192" t="str">
        <f>IFERROR(VLOOKUP(V389,TD!$N$34:$O$46,2,0)," ")</f>
        <v>Servicios tecnológicos</v>
      </c>
      <c r="X389" s="187" t="str">
        <f>CONCATENATE(V389,"_",W389)</f>
        <v>007_Servicios tecnológicos</v>
      </c>
      <c r="Y389" s="187" t="str">
        <f>CONCATENATE(U389," ",X389)</f>
        <v>11-Infraestructura Tecnológica   (Sistemas de Información y Tecnologia) 007_Servicios tecnológicos</v>
      </c>
      <c r="Z389" s="192" t="str">
        <f>CONCATENATE(P389,Q389,R389,S389,V389)</f>
        <v>O23011745992024020711007</v>
      </c>
      <c r="AA389" s="192" t="str">
        <f>IFERROR(VLOOKUP(Y389,TD!$K$47:$L$65,2,0)," ")</f>
        <v>PM/0131/0111/45990070207</v>
      </c>
      <c r="AB389" s="125" t="s">
        <v>138</v>
      </c>
      <c r="AC389" s="193" t="s">
        <v>204</v>
      </c>
    </row>
    <row r="390" spans="2:29" s="28" customFormat="1" ht="56" x14ac:dyDescent="0.35">
      <c r="B390" s="127">
        <v>20250377</v>
      </c>
      <c r="C390" s="129" t="s">
        <v>208</v>
      </c>
      <c r="D390" s="189" t="s">
        <v>162</v>
      </c>
      <c r="E390" s="190" t="s">
        <v>355</v>
      </c>
      <c r="F390" s="189" t="s">
        <v>790</v>
      </c>
      <c r="G390" s="189" t="s">
        <v>155</v>
      </c>
      <c r="H390" s="130">
        <v>80111600</v>
      </c>
      <c r="I390" s="191">
        <v>2</v>
      </c>
      <c r="J390" s="191">
        <v>11</v>
      </c>
      <c r="K390" s="126">
        <v>0</v>
      </c>
      <c r="L390" s="125">
        <v>40410000</v>
      </c>
      <c r="M390" s="189" t="s">
        <v>464</v>
      </c>
      <c r="N390" s="125" t="s">
        <v>113</v>
      </c>
      <c r="O390" s="190" t="s">
        <v>214</v>
      </c>
      <c r="P390" s="192" t="str">
        <f>IFERROR(VLOOKUP(C390,TD!$B$33:$F$37,2,0)," ")</f>
        <v>O230117</v>
      </c>
      <c r="Q390" s="192" t="str">
        <f>IFERROR(VLOOKUP(C390,TD!$B$33:$F$37,3,0)," ")</f>
        <v>4599</v>
      </c>
      <c r="R390" s="192">
        <f>IFERROR(VLOOKUP(C390,TD!$B$33:$F$37,4,0)," ")</f>
        <v>20240207</v>
      </c>
      <c r="S390" s="190" t="s">
        <v>179</v>
      </c>
      <c r="T390" s="192" t="str">
        <f>IFERROR(VLOOKUP(S390,TD!$J$34:$K$44,2,0)," ")</f>
        <v>Infraestructura Tecnológica   (Sistemas de Información y Tecnologia)</v>
      </c>
      <c r="U390" s="187" t="str">
        <f>CONCATENATE(S390,"-",T390)</f>
        <v>11-Infraestructura Tecnológica   (Sistemas de Información y Tecnologia)</v>
      </c>
      <c r="V390" s="190" t="s">
        <v>239</v>
      </c>
      <c r="W390" s="192" t="str">
        <f>IFERROR(VLOOKUP(V390,TD!$N$34:$O$46,2,0)," ")</f>
        <v>Servicios tecnológicos</v>
      </c>
      <c r="X390" s="187" t="str">
        <f>CONCATENATE(V390,"_",W390)</f>
        <v>007_Servicios tecnológicos</v>
      </c>
      <c r="Y390" s="187" t="str">
        <f>CONCATENATE(U390," ",X390)</f>
        <v>11-Infraestructura Tecnológica   (Sistemas de Información y Tecnologia) 007_Servicios tecnológicos</v>
      </c>
      <c r="Z390" s="192" t="str">
        <f>CONCATENATE(P390,Q390,R390,S390,V390)</f>
        <v>O23011745992024020711007</v>
      </c>
      <c r="AA390" s="192" t="str">
        <f>IFERROR(VLOOKUP(Y390,TD!$K$47:$L$65,2,0)," ")</f>
        <v>PM/0131/0111/45990070207</v>
      </c>
      <c r="AB390" s="125" t="s">
        <v>138</v>
      </c>
      <c r="AC390" s="193" t="s">
        <v>204</v>
      </c>
    </row>
    <row r="391" spans="2:29" s="28" customFormat="1" ht="56" x14ac:dyDescent="0.35">
      <c r="B391" s="127">
        <v>20250378</v>
      </c>
      <c r="C391" s="129" t="s">
        <v>208</v>
      </c>
      <c r="D391" s="189" t="s">
        <v>162</v>
      </c>
      <c r="E391" s="190" t="s">
        <v>355</v>
      </c>
      <c r="F391" s="189" t="s">
        <v>791</v>
      </c>
      <c r="G391" s="189" t="s">
        <v>156</v>
      </c>
      <c r="H391" s="130">
        <v>80111600</v>
      </c>
      <c r="I391" s="191">
        <v>2</v>
      </c>
      <c r="J391" s="191">
        <v>11</v>
      </c>
      <c r="K391" s="126">
        <v>0</v>
      </c>
      <c r="L391" s="125">
        <v>30400000</v>
      </c>
      <c r="M391" s="189" t="s">
        <v>464</v>
      </c>
      <c r="N391" s="125" t="s">
        <v>113</v>
      </c>
      <c r="O391" s="190" t="s">
        <v>215</v>
      </c>
      <c r="P391" s="192" t="str">
        <f>IFERROR(VLOOKUP(C391,TD!$B$33:$F$37,2,0)," ")</f>
        <v>O230117</v>
      </c>
      <c r="Q391" s="192" t="str">
        <f>IFERROR(VLOOKUP(C391,TD!$B$33:$F$37,3,0)," ")</f>
        <v>4599</v>
      </c>
      <c r="R391" s="192">
        <f>IFERROR(VLOOKUP(C391,TD!$B$33:$F$37,4,0)," ")</f>
        <v>20240207</v>
      </c>
      <c r="S391" s="190" t="s">
        <v>179</v>
      </c>
      <c r="T391" s="192" t="str">
        <f>IFERROR(VLOOKUP(S391,TD!$J$34:$K$44,2,0)," ")</f>
        <v>Infraestructura Tecnológica   (Sistemas de Información y Tecnologia)</v>
      </c>
      <c r="U391" s="187" t="str">
        <f>CONCATENATE(S391,"-",T391)</f>
        <v>11-Infraestructura Tecnológica   (Sistemas de Información y Tecnologia)</v>
      </c>
      <c r="V391" s="190" t="s">
        <v>239</v>
      </c>
      <c r="W391" s="192" t="str">
        <f>IFERROR(VLOOKUP(V391,TD!$N$34:$O$46,2,0)," ")</f>
        <v>Servicios tecnológicos</v>
      </c>
      <c r="X391" s="187" t="str">
        <f>CONCATENATE(V391,"_",W391)</f>
        <v>007_Servicios tecnológicos</v>
      </c>
      <c r="Y391" s="187" t="str">
        <f>CONCATENATE(U391," ",X391)</f>
        <v>11-Infraestructura Tecnológica   (Sistemas de Información y Tecnologia) 007_Servicios tecnológicos</v>
      </c>
      <c r="Z391" s="192" t="str">
        <f>CONCATENATE(P391,Q391,R391,S391,V391)</f>
        <v>O23011745992024020711007</v>
      </c>
      <c r="AA391" s="192" t="str">
        <f>IFERROR(VLOOKUP(Y391,TD!$K$47:$L$65,2,0)," ")</f>
        <v>PM/0131/0111/45990070207</v>
      </c>
      <c r="AB391" s="125" t="s">
        <v>138</v>
      </c>
      <c r="AC391" s="193" t="s">
        <v>204</v>
      </c>
    </row>
    <row r="392" spans="2:29" s="28" customFormat="1" ht="56" x14ac:dyDescent="0.35">
      <c r="B392" s="127">
        <v>20250379</v>
      </c>
      <c r="C392" s="129" t="s">
        <v>208</v>
      </c>
      <c r="D392" s="189" t="s">
        <v>162</v>
      </c>
      <c r="E392" s="190" t="s">
        <v>355</v>
      </c>
      <c r="F392" s="189" t="s">
        <v>792</v>
      </c>
      <c r="G392" s="189" t="s">
        <v>155</v>
      </c>
      <c r="H392" s="130">
        <v>80111600</v>
      </c>
      <c r="I392" s="191">
        <v>2</v>
      </c>
      <c r="J392" s="191">
        <v>11</v>
      </c>
      <c r="K392" s="126">
        <v>0</v>
      </c>
      <c r="L392" s="125">
        <v>25800000</v>
      </c>
      <c r="M392" s="189" t="s">
        <v>464</v>
      </c>
      <c r="N392" s="125" t="s">
        <v>113</v>
      </c>
      <c r="O392" s="190" t="s">
        <v>215</v>
      </c>
      <c r="P392" s="192" t="str">
        <f>IFERROR(VLOOKUP(C392,TD!$B$33:$F$37,2,0)," ")</f>
        <v>O230117</v>
      </c>
      <c r="Q392" s="192" t="str">
        <f>IFERROR(VLOOKUP(C392,TD!$B$33:$F$37,3,0)," ")</f>
        <v>4599</v>
      </c>
      <c r="R392" s="192">
        <f>IFERROR(VLOOKUP(C392,TD!$B$33:$F$37,4,0)," ")</f>
        <v>20240207</v>
      </c>
      <c r="S392" s="190" t="s">
        <v>179</v>
      </c>
      <c r="T392" s="192" t="str">
        <f>IFERROR(VLOOKUP(S392,TD!$J$34:$K$44,2,0)," ")</f>
        <v>Infraestructura Tecnológica   (Sistemas de Información y Tecnologia)</v>
      </c>
      <c r="U392" s="187" t="str">
        <f>CONCATENATE(S392,"-",T392)</f>
        <v>11-Infraestructura Tecnológica   (Sistemas de Información y Tecnologia)</v>
      </c>
      <c r="V392" s="190" t="s">
        <v>239</v>
      </c>
      <c r="W392" s="192" t="str">
        <f>IFERROR(VLOOKUP(V392,TD!$N$34:$O$46,2,0)," ")</f>
        <v>Servicios tecnológicos</v>
      </c>
      <c r="X392" s="187" t="str">
        <f>CONCATENATE(V392,"_",W392)</f>
        <v>007_Servicios tecnológicos</v>
      </c>
      <c r="Y392" s="187" t="str">
        <f>CONCATENATE(U392," ",X392)</f>
        <v>11-Infraestructura Tecnológica   (Sistemas de Información y Tecnologia) 007_Servicios tecnológicos</v>
      </c>
      <c r="Z392" s="192" t="str">
        <f>CONCATENATE(P392,Q392,R392,S392,V392)</f>
        <v>O23011745992024020711007</v>
      </c>
      <c r="AA392" s="192" t="str">
        <f>IFERROR(VLOOKUP(Y392,TD!$K$47:$L$65,2,0)," ")</f>
        <v>PM/0131/0111/45990070207</v>
      </c>
      <c r="AB392" s="125" t="s">
        <v>138</v>
      </c>
      <c r="AC392" s="193" t="s">
        <v>204</v>
      </c>
    </row>
    <row r="393" spans="2:29" s="28" customFormat="1" ht="56" x14ac:dyDescent="0.35">
      <c r="B393" s="127">
        <v>20250380</v>
      </c>
      <c r="C393" s="129" t="s">
        <v>208</v>
      </c>
      <c r="D393" s="189" t="s">
        <v>162</v>
      </c>
      <c r="E393" s="190" t="s">
        <v>355</v>
      </c>
      <c r="F393" s="189" t="s">
        <v>793</v>
      </c>
      <c r="G393" s="189" t="s">
        <v>155</v>
      </c>
      <c r="H393" s="130">
        <v>80111600</v>
      </c>
      <c r="I393" s="191">
        <v>2</v>
      </c>
      <c r="J393" s="191">
        <v>11</v>
      </c>
      <c r="K393" s="126">
        <v>0</v>
      </c>
      <c r="L393" s="125">
        <v>47500000</v>
      </c>
      <c r="M393" s="189" t="s">
        <v>464</v>
      </c>
      <c r="N393" s="125" t="s">
        <v>113</v>
      </c>
      <c r="O393" s="190" t="s">
        <v>215</v>
      </c>
      <c r="P393" s="192" t="str">
        <f>IFERROR(VLOOKUP(C393,TD!$B$33:$F$37,2,0)," ")</f>
        <v>O230117</v>
      </c>
      <c r="Q393" s="192" t="str">
        <f>IFERROR(VLOOKUP(C393,TD!$B$33:$F$37,3,0)," ")</f>
        <v>4599</v>
      </c>
      <c r="R393" s="192">
        <f>IFERROR(VLOOKUP(C393,TD!$B$33:$F$37,4,0)," ")</f>
        <v>20240207</v>
      </c>
      <c r="S393" s="190" t="s">
        <v>179</v>
      </c>
      <c r="T393" s="192" t="str">
        <f>IFERROR(VLOOKUP(S393,TD!$J$34:$K$44,2,0)," ")</f>
        <v>Infraestructura Tecnológica   (Sistemas de Información y Tecnologia)</v>
      </c>
      <c r="U393" s="187" t="str">
        <f>CONCATENATE(S393,"-",T393)</f>
        <v>11-Infraestructura Tecnológica   (Sistemas de Información y Tecnologia)</v>
      </c>
      <c r="V393" s="190" t="s">
        <v>239</v>
      </c>
      <c r="W393" s="192" t="str">
        <f>IFERROR(VLOOKUP(V393,TD!$N$34:$O$46,2,0)," ")</f>
        <v>Servicios tecnológicos</v>
      </c>
      <c r="X393" s="187" t="str">
        <f>CONCATENATE(V393,"_",W393)</f>
        <v>007_Servicios tecnológicos</v>
      </c>
      <c r="Y393" s="187" t="str">
        <f>CONCATENATE(U393," ",X393)</f>
        <v>11-Infraestructura Tecnológica   (Sistemas de Información y Tecnologia) 007_Servicios tecnológicos</v>
      </c>
      <c r="Z393" s="192" t="str">
        <f>CONCATENATE(P393,Q393,R393,S393,V393)</f>
        <v>O23011745992024020711007</v>
      </c>
      <c r="AA393" s="192" t="str">
        <f>IFERROR(VLOOKUP(Y393,TD!$K$47:$L$65,2,0)," ")</f>
        <v>PM/0131/0111/45990070207</v>
      </c>
      <c r="AB393" s="125" t="s">
        <v>120</v>
      </c>
      <c r="AC393" s="193" t="s">
        <v>204</v>
      </c>
    </row>
    <row r="394" spans="2:29" s="28" customFormat="1" ht="56" x14ac:dyDescent="0.35">
      <c r="B394" s="127">
        <v>20250381</v>
      </c>
      <c r="C394" s="129" t="s">
        <v>208</v>
      </c>
      <c r="D394" s="189" t="s">
        <v>162</v>
      </c>
      <c r="E394" s="190" t="s">
        <v>355</v>
      </c>
      <c r="F394" s="189" t="s">
        <v>794</v>
      </c>
      <c r="G394" s="189" t="s">
        <v>155</v>
      </c>
      <c r="H394" s="130">
        <v>80111600</v>
      </c>
      <c r="I394" s="191">
        <v>2</v>
      </c>
      <c r="J394" s="191">
        <v>11</v>
      </c>
      <c r="K394" s="126">
        <v>0</v>
      </c>
      <c r="L394" s="125">
        <v>39000000</v>
      </c>
      <c r="M394" s="189" t="s">
        <v>464</v>
      </c>
      <c r="N394" s="125" t="s">
        <v>113</v>
      </c>
      <c r="O394" s="190" t="s">
        <v>215</v>
      </c>
      <c r="P394" s="192" t="str">
        <f>IFERROR(VLOOKUP(C394,TD!$B$33:$F$37,2,0)," ")</f>
        <v>O230117</v>
      </c>
      <c r="Q394" s="192" t="str">
        <f>IFERROR(VLOOKUP(C394,TD!$B$33:$F$37,3,0)," ")</f>
        <v>4599</v>
      </c>
      <c r="R394" s="192">
        <f>IFERROR(VLOOKUP(C394,TD!$B$33:$F$37,4,0)," ")</f>
        <v>20240207</v>
      </c>
      <c r="S394" s="190" t="s">
        <v>179</v>
      </c>
      <c r="T394" s="192" t="str">
        <f>IFERROR(VLOOKUP(S394,TD!$J$34:$K$44,2,0)," ")</f>
        <v>Infraestructura Tecnológica   (Sistemas de Información y Tecnologia)</v>
      </c>
      <c r="U394" s="187" t="str">
        <f>CONCATENATE(S394,"-",T394)</f>
        <v>11-Infraestructura Tecnológica   (Sistemas de Información y Tecnologia)</v>
      </c>
      <c r="V394" s="190" t="s">
        <v>239</v>
      </c>
      <c r="W394" s="192" t="str">
        <f>IFERROR(VLOOKUP(V394,TD!$N$34:$O$46,2,0)," ")</f>
        <v>Servicios tecnológicos</v>
      </c>
      <c r="X394" s="187" t="str">
        <f>CONCATENATE(V394,"_",W394)</f>
        <v>007_Servicios tecnológicos</v>
      </c>
      <c r="Y394" s="187" t="str">
        <f>CONCATENATE(U394," ",X394)</f>
        <v>11-Infraestructura Tecnológica   (Sistemas de Información y Tecnologia) 007_Servicios tecnológicos</v>
      </c>
      <c r="Z394" s="192" t="str">
        <f>CONCATENATE(P394,Q394,R394,S394,V394)</f>
        <v>O23011745992024020711007</v>
      </c>
      <c r="AA394" s="192" t="str">
        <f>IFERROR(VLOOKUP(Y394,TD!$K$47:$L$65,2,0)," ")</f>
        <v>PM/0131/0111/45990070207</v>
      </c>
      <c r="AB394" s="125" t="s">
        <v>120</v>
      </c>
      <c r="AC394" s="193" t="s">
        <v>204</v>
      </c>
    </row>
    <row r="395" spans="2:29" s="28" customFormat="1" ht="56" x14ac:dyDescent="0.35">
      <c r="B395" s="127">
        <v>20250383</v>
      </c>
      <c r="C395" s="129" t="s">
        <v>208</v>
      </c>
      <c r="D395" s="189" t="s">
        <v>162</v>
      </c>
      <c r="E395" s="190" t="s">
        <v>355</v>
      </c>
      <c r="F395" s="189" t="s">
        <v>547</v>
      </c>
      <c r="G395" s="189" t="s">
        <v>96</v>
      </c>
      <c r="H395" s="130" t="s">
        <v>795</v>
      </c>
      <c r="I395" s="191">
        <v>3</v>
      </c>
      <c r="J395" s="191">
        <v>9</v>
      </c>
      <c r="K395" s="126">
        <v>0</v>
      </c>
      <c r="L395" s="125">
        <v>95933779</v>
      </c>
      <c r="M395" s="189" t="s">
        <v>464</v>
      </c>
      <c r="N395" s="125" t="s">
        <v>123</v>
      </c>
      <c r="O395" s="190" t="s">
        <v>214</v>
      </c>
      <c r="P395" s="192" t="str">
        <f>IFERROR(VLOOKUP(C395,TD!$B$33:$F$37,2,0)," ")</f>
        <v>O230117</v>
      </c>
      <c r="Q395" s="192" t="str">
        <f>IFERROR(VLOOKUP(C395,TD!$B$33:$F$37,3,0)," ")</f>
        <v>4599</v>
      </c>
      <c r="R395" s="192">
        <f>IFERROR(VLOOKUP(C395,TD!$B$33:$F$37,4,0)," ")</f>
        <v>20240207</v>
      </c>
      <c r="S395" s="190" t="s">
        <v>179</v>
      </c>
      <c r="T395" s="192" t="str">
        <f>IFERROR(VLOOKUP(S395,TD!$J$34:$K$44,2,0)," ")</f>
        <v>Infraestructura Tecnológica   (Sistemas de Información y Tecnologia)</v>
      </c>
      <c r="U395" s="187" t="str">
        <f>CONCATENATE(S395,"-",T395)</f>
        <v>11-Infraestructura Tecnológica   (Sistemas de Información y Tecnologia)</v>
      </c>
      <c r="V395" s="190" t="s">
        <v>239</v>
      </c>
      <c r="W395" s="192" t="str">
        <f>IFERROR(VLOOKUP(V395,TD!$N$34:$O$46,2,0)," ")</f>
        <v>Servicios tecnológicos</v>
      </c>
      <c r="X395" s="187" t="str">
        <f>CONCATENATE(V395,"_",W395)</f>
        <v>007_Servicios tecnológicos</v>
      </c>
      <c r="Y395" s="187" t="str">
        <f>CONCATENATE(U395," ",X395)</f>
        <v>11-Infraestructura Tecnológica   (Sistemas de Información y Tecnologia) 007_Servicios tecnológicos</v>
      </c>
      <c r="Z395" s="192" t="str">
        <f>CONCATENATE(P395,Q395,R395,S395,V395)</f>
        <v>O23011745992024020711007</v>
      </c>
      <c r="AA395" s="192" t="str">
        <f>IFERROR(VLOOKUP(Y395,TD!$K$47:$L$65,2,0)," ")</f>
        <v>PM/0131/0111/45990070207</v>
      </c>
      <c r="AB395" s="125" t="s">
        <v>125</v>
      </c>
      <c r="AC395" s="193" t="s">
        <v>204</v>
      </c>
    </row>
    <row r="396" spans="2:29" s="28" customFormat="1" ht="56" x14ac:dyDescent="0.35">
      <c r="B396" s="127">
        <v>20250385</v>
      </c>
      <c r="C396" s="129" t="s">
        <v>208</v>
      </c>
      <c r="D396" s="189" t="s">
        <v>162</v>
      </c>
      <c r="E396" s="190" t="s">
        <v>355</v>
      </c>
      <c r="F396" s="189" t="s">
        <v>916</v>
      </c>
      <c r="G396" s="189" t="s">
        <v>109</v>
      </c>
      <c r="H396" s="130">
        <v>81111801</v>
      </c>
      <c r="I396" s="191">
        <v>10</v>
      </c>
      <c r="J396" s="191">
        <v>12</v>
      </c>
      <c r="K396" s="126">
        <v>0</v>
      </c>
      <c r="L396" s="125">
        <v>9000000</v>
      </c>
      <c r="M396" s="189" t="s">
        <v>464</v>
      </c>
      <c r="N396" s="125" t="s">
        <v>100</v>
      </c>
      <c r="O396" s="190" t="s">
        <v>214</v>
      </c>
      <c r="P396" s="192" t="str">
        <f>IFERROR(VLOOKUP(C396,TD!$B$33:$F$37,2,0)," ")</f>
        <v>O230117</v>
      </c>
      <c r="Q396" s="192" t="str">
        <f>IFERROR(VLOOKUP(C396,TD!$B$33:$F$37,3,0)," ")</f>
        <v>4599</v>
      </c>
      <c r="R396" s="192">
        <f>IFERROR(VLOOKUP(C396,TD!$B$33:$F$37,4,0)," ")</f>
        <v>20240207</v>
      </c>
      <c r="S396" s="190" t="s">
        <v>179</v>
      </c>
      <c r="T396" s="192" t="str">
        <f>IFERROR(VLOOKUP(S396,TD!$J$34:$K$44,2,0)," ")</f>
        <v>Infraestructura Tecnológica   (Sistemas de Información y Tecnologia)</v>
      </c>
      <c r="U396" s="187" t="str">
        <f>CONCATENATE(S396,"-",T396)</f>
        <v>11-Infraestructura Tecnológica   (Sistemas de Información y Tecnologia)</v>
      </c>
      <c r="V396" s="190" t="s">
        <v>239</v>
      </c>
      <c r="W396" s="192" t="str">
        <f>IFERROR(VLOOKUP(V396,TD!$N$34:$O$46,2,0)," ")</f>
        <v>Servicios tecnológicos</v>
      </c>
      <c r="X396" s="187" t="str">
        <f>CONCATENATE(V396,"_",W396)</f>
        <v>007_Servicios tecnológicos</v>
      </c>
      <c r="Y396" s="187" t="str">
        <f>CONCATENATE(U396," ",X396)</f>
        <v>11-Infraestructura Tecnológica   (Sistemas de Información y Tecnologia) 007_Servicios tecnológicos</v>
      </c>
      <c r="Z396" s="192" t="str">
        <f>CONCATENATE(P396,Q396,R396,S396,V396)</f>
        <v>O23011745992024020711007</v>
      </c>
      <c r="AA396" s="192" t="str">
        <f>IFERROR(VLOOKUP(Y396,TD!$K$47:$L$65,2,0)," ")</f>
        <v>PM/0131/0111/45990070207</v>
      </c>
      <c r="AB396" s="125" t="s">
        <v>125</v>
      </c>
      <c r="AC396" s="193" t="s">
        <v>204</v>
      </c>
    </row>
    <row r="397" spans="2:29" s="28" customFormat="1" ht="56" x14ac:dyDescent="0.35">
      <c r="B397" s="127">
        <v>20250386</v>
      </c>
      <c r="C397" s="129" t="s">
        <v>208</v>
      </c>
      <c r="D397" s="189" t="s">
        <v>162</v>
      </c>
      <c r="E397" s="190" t="s">
        <v>355</v>
      </c>
      <c r="F397" s="189" t="s">
        <v>549</v>
      </c>
      <c r="G397" s="189" t="s">
        <v>152</v>
      </c>
      <c r="H397" s="130" t="s">
        <v>550</v>
      </c>
      <c r="I397" s="191">
        <v>3</v>
      </c>
      <c r="J397" s="191">
        <v>9</v>
      </c>
      <c r="K397" s="126">
        <v>0</v>
      </c>
      <c r="L397" s="125">
        <v>216142630</v>
      </c>
      <c r="M397" s="189" t="s">
        <v>464</v>
      </c>
      <c r="N397" s="125" t="s">
        <v>95</v>
      </c>
      <c r="O397" s="190" t="s">
        <v>217</v>
      </c>
      <c r="P397" s="192" t="str">
        <f>IFERROR(VLOOKUP(C397,TD!$B$33:$F$37,2,0)," ")</f>
        <v>O230117</v>
      </c>
      <c r="Q397" s="192" t="str">
        <f>IFERROR(VLOOKUP(C397,TD!$B$33:$F$37,3,0)," ")</f>
        <v>4599</v>
      </c>
      <c r="R397" s="192">
        <f>IFERROR(VLOOKUP(C397,TD!$B$33:$F$37,4,0)," ")</f>
        <v>20240207</v>
      </c>
      <c r="S397" s="190" t="s">
        <v>179</v>
      </c>
      <c r="T397" s="192" t="str">
        <f>IFERROR(VLOOKUP(S397,TD!$J$34:$K$44,2,0)," ")</f>
        <v>Infraestructura Tecnológica   (Sistemas de Información y Tecnologia)</v>
      </c>
      <c r="U397" s="187" t="str">
        <f>CONCATENATE(S397,"-",T397)</f>
        <v>11-Infraestructura Tecnológica   (Sistemas de Información y Tecnologia)</v>
      </c>
      <c r="V397" s="190" t="s">
        <v>239</v>
      </c>
      <c r="W397" s="192" t="str">
        <f>IFERROR(VLOOKUP(V397,TD!$N$34:$O$46,2,0)," ")</f>
        <v>Servicios tecnológicos</v>
      </c>
      <c r="X397" s="187" t="str">
        <f>CONCATENATE(V397,"_",W397)</f>
        <v>007_Servicios tecnológicos</v>
      </c>
      <c r="Y397" s="187" t="str">
        <f>CONCATENATE(U397," ",X397)</f>
        <v>11-Infraestructura Tecnológica   (Sistemas de Información y Tecnologia) 007_Servicios tecnológicos</v>
      </c>
      <c r="Z397" s="192" t="str">
        <f>CONCATENATE(P397,Q397,R397,S397,V397)</f>
        <v>O23011745992024020711007</v>
      </c>
      <c r="AA397" s="192" t="str">
        <f>IFERROR(VLOOKUP(Y397,TD!$K$47:$L$65,2,0)," ")</f>
        <v>PM/0131/0111/45990070207</v>
      </c>
      <c r="AB397" s="125" t="s">
        <v>125</v>
      </c>
      <c r="AC397" s="193" t="s">
        <v>204</v>
      </c>
    </row>
    <row r="398" spans="2:29" s="28" customFormat="1" ht="56" x14ac:dyDescent="0.35">
      <c r="B398" s="127">
        <v>20250388</v>
      </c>
      <c r="C398" s="129" t="s">
        <v>208</v>
      </c>
      <c r="D398" s="189" t="s">
        <v>162</v>
      </c>
      <c r="E398" s="190" t="s">
        <v>355</v>
      </c>
      <c r="F398" s="189" t="s">
        <v>551</v>
      </c>
      <c r="G398" s="189" t="s">
        <v>96</v>
      </c>
      <c r="H398" s="130" t="s">
        <v>552</v>
      </c>
      <c r="I398" s="191">
        <v>3</v>
      </c>
      <c r="J398" s="191">
        <v>9</v>
      </c>
      <c r="K398" s="126">
        <v>0</v>
      </c>
      <c r="L398" s="125">
        <v>688906483</v>
      </c>
      <c r="M398" s="189" t="s">
        <v>464</v>
      </c>
      <c r="N398" s="125" t="s">
        <v>123</v>
      </c>
      <c r="O398" s="190" t="s">
        <v>214</v>
      </c>
      <c r="P398" s="192" t="str">
        <f>IFERROR(VLOOKUP(C398,TD!$B$33:$F$37,2,0)," ")</f>
        <v>O230117</v>
      </c>
      <c r="Q398" s="192" t="str">
        <f>IFERROR(VLOOKUP(C398,TD!$B$33:$F$37,3,0)," ")</f>
        <v>4599</v>
      </c>
      <c r="R398" s="192">
        <f>IFERROR(VLOOKUP(C398,TD!$B$33:$F$37,4,0)," ")</f>
        <v>20240207</v>
      </c>
      <c r="S398" s="190" t="s">
        <v>179</v>
      </c>
      <c r="T398" s="192" t="str">
        <f>IFERROR(VLOOKUP(S398,TD!$J$34:$K$44,2,0)," ")</f>
        <v>Infraestructura Tecnológica   (Sistemas de Información y Tecnologia)</v>
      </c>
      <c r="U398" s="187" t="str">
        <f>CONCATENATE(S398,"-",T398)</f>
        <v>11-Infraestructura Tecnológica   (Sistemas de Información y Tecnologia)</v>
      </c>
      <c r="V398" s="190" t="s">
        <v>239</v>
      </c>
      <c r="W398" s="192" t="str">
        <f>IFERROR(VLOOKUP(V398,TD!$N$34:$O$46,2,0)," ")</f>
        <v>Servicios tecnológicos</v>
      </c>
      <c r="X398" s="187" t="str">
        <f>CONCATENATE(V398,"_",W398)</f>
        <v>007_Servicios tecnológicos</v>
      </c>
      <c r="Y398" s="187" t="str">
        <f>CONCATENATE(U398," ",X398)</f>
        <v>11-Infraestructura Tecnológica   (Sistemas de Información y Tecnologia) 007_Servicios tecnológicos</v>
      </c>
      <c r="Z398" s="192" t="str">
        <f>CONCATENATE(P398,Q398,R398,S398,V398)</f>
        <v>O23011745992024020711007</v>
      </c>
      <c r="AA398" s="192" t="str">
        <f>IFERROR(VLOOKUP(Y398,TD!$K$47:$L$65,2,0)," ")</f>
        <v>PM/0131/0111/45990070207</v>
      </c>
      <c r="AB398" s="125" t="s">
        <v>130</v>
      </c>
      <c r="AC398" s="193" t="s">
        <v>204</v>
      </c>
    </row>
    <row r="399" spans="2:29" s="28" customFormat="1" ht="56" x14ac:dyDescent="0.35">
      <c r="B399" s="127">
        <v>20250389</v>
      </c>
      <c r="C399" s="129" t="s">
        <v>208</v>
      </c>
      <c r="D399" s="189" t="s">
        <v>162</v>
      </c>
      <c r="E399" s="190" t="s">
        <v>355</v>
      </c>
      <c r="F399" s="189" t="s">
        <v>553</v>
      </c>
      <c r="G399" s="189" t="s">
        <v>153</v>
      </c>
      <c r="H399" s="130">
        <v>81112401</v>
      </c>
      <c r="I399" s="191">
        <v>3</v>
      </c>
      <c r="J399" s="191">
        <v>9</v>
      </c>
      <c r="K399" s="126">
        <v>0</v>
      </c>
      <c r="L399" s="125">
        <v>26656000</v>
      </c>
      <c r="M399" s="189" t="s">
        <v>464</v>
      </c>
      <c r="N399" s="125" t="s">
        <v>100</v>
      </c>
      <c r="O399" s="190" t="s">
        <v>215</v>
      </c>
      <c r="P399" s="192" t="str">
        <f>IFERROR(VLOOKUP(C399,TD!$B$33:$F$37,2,0)," ")</f>
        <v>O230117</v>
      </c>
      <c r="Q399" s="192" t="str">
        <f>IFERROR(VLOOKUP(C399,TD!$B$33:$F$37,3,0)," ")</f>
        <v>4599</v>
      </c>
      <c r="R399" s="192">
        <f>IFERROR(VLOOKUP(C399,TD!$B$33:$F$37,4,0)," ")</f>
        <v>20240207</v>
      </c>
      <c r="S399" s="190" t="s">
        <v>179</v>
      </c>
      <c r="T399" s="192" t="str">
        <f>IFERROR(VLOOKUP(S399,TD!$J$34:$K$44,2,0)," ")</f>
        <v>Infraestructura Tecnológica   (Sistemas de Información y Tecnologia)</v>
      </c>
      <c r="U399" s="187" t="str">
        <f>CONCATENATE(S399,"-",T399)</f>
        <v>11-Infraestructura Tecnológica   (Sistemas de Información y Tecnologia)</v>
      </c>
      <c r="V399" s="192" t="s">
        <v>239</v>
      </c>
      <c r="W399" s="192" t="str">
        <f>IFERROR(VLOOKUP(V399,TD!$N$34:$O$46,2,0)," ")</f>
        <v>Servicios tecnológicos</v>
      </c>
      <c r="X399" s="199" t="str">
        <f>CONCATENATE(V399,"_",W399)</f>
        <v>007_Servicios tecnológicos</v>
      </c>
      <c r="Y399" s="109" t="str">
        <f>CONCATENATE(U399," ",X399)</f>
        <v>11-Infraestructura Tecnológica   (Sistemas de Información y Tecnologia) 007_Servicios tecnológicos</v>
      </c>
      <c r="Z399" s="190" t="str">
        <f>CONCATENATE(P399,Q399,R399,S399,V399)</f>
        <v>O23011745992024020711007</v>
      </c>
      <c r="AA399" s="200" t="str">
        <f>IFERROR(VLOOKUP(Y399,TD!$K$47:$L$65,2,0)," ")</f>
        <v>PM/0131/0111/45990070207</v>
      </c>
      <c r="AB399" s="189" t="s">
        <v>130</v>
      </c>
      <c r="AC399" s="193" t="s">
        <v>204</v>
      </c>
    </row>
    <row r="400" spans="2:29" s="28" customFormat="1" ht="56" x14ac:dyDescent="0.35">
      <c r="B400" s="127">
        <v>20250390</v>
      </c>
      <c r="C400" s="129" t="s">
        <v>208</v>
      </c>
      <c r="D400" s="189" t="s">
        <v>162</v>
      </c>
      <c r="E400" s="190" t="s">
        <v>355</v>
      </c>
      <c r="F400" s="189" t="s">
        <v>554</v>
      </c>
      <c r="G400" s="189" t="s">
        <v>139</v>
      </c>
      <c r="H400" s="130" t="s">
        <v>413</v>
      </c>
      <c r="I400" s="191">
        <v>3</v>
      </c>
      <c r="J400" s="191">
        <v>9</v>
      </c>
      <c r="K400" s="126">
        <v>0</v>
      </c>
      <c r="L400" s="125">
        <v>169000000</v>
      </c>
      <c r="M400" s="189" t="s">
        <v>464</v>
      </c>
      <c r="N400" s="125" t="s">
        <v>113</v>
      </c>
      <c r="O400" s="190" t="s">
        <v>214</v>
      </c>
      <c r="P400" s="192" t="str">
        <f>IFERROR(VLOOKUP(C400,TD!$B$33:$F$37,2,0)," ")</f>
        <v>O230117</v>
      </c>
      <c r="Q400" s="192" t="str">
        <f>IFERROR(VLOOKUP(C400,TD!$B$33:$F$37,3,0)," ")</f>
        <v>4599</v>
      </c>
      <c r="R400" s="192">
        <f>IFERROR(VLOOKUP(C400,TD!$B$33:$F$37,4,0)," ")</f>
        <v>20240207</v>
      </c>
      <c r="S400" s="190" t="s">
        <v>179</v>
      </c>
      <c r="T400" s="192" t="str">
        <f>IFERROR(VLOOKUP(S400,TD!$J$34:$K$44,2,0)," ")</f>
        <v>Infraestructura Tecnológica   (Sistemas de Información y Tecnologia)</v>
      </c>
      <c r="U400" s="187" t="str">
        <f>CONCATENATE(S400,"-",T400)</f>
        <v>11-Infraestructura Tecnológica   (Sistemas de Información y Tecnologia)</v>
      </c>
      <c r="V400" s="190" t="s">
        <v>239</v>
      </c>
      <c r="W400" s="192" t="str">
        <f>IFERROR(VLOOKUP(V400,TD!$N$34:$O$46,2,0)," ")</f>
        <v>Servicios tecnológicos</v>
      </c>
      <c r="X400" s="187" t="str">
        <f>CONCATENATE(V400,"_",W400)</f>
        <v>007_Servicios tecnológicos</v>
      </c>
      <c r="Y400" s="187" t="str">
        <f>CONCATENATE(U400," ",X400)</f>
        <v>11-Infraestructura Tecnológica   (Sistemas de Información y Tecnologia) 007_Servicios tecnológicos</v>
      </c>
      <c r="Z400" s="192" t="str">
        <f>CONCATENATE(P400,Q400,R400,S400,V400)</f>
        <v>O23011745992024020711007</v>
      </c>
      <c r="AA400" s="192" t="str">
        <f>IFERROR(VLOOKUP(Y400,TD!$K$47:$L$65,2,0)," ")</f>
        <v>PM/0131/0111/45990070207</v>
      </c>
      <c r="AB400" s="125" t="s">
        <v>125</v>
      </c>
      <c r="AC400" s="193" t="s">
        <v>204</v>
      </c>
    </row>
    <row r="401" spans="2:29" s="28" customFormat="1" ht="70" x14ac:dyDescent="0.35">
      <c r="B401" s="77">
        <v>20250394</v>
      </c>
      <c r="C401" s="50" t="s">
        <v>208</v>
      </c>
      <c r="D401" s="184" t="s">
        <v>162</v>
      </c>
      <c r="E401" s="51" t="s">
        <v>355</v>
      </c>
      <c r="F401" s="184" t="s">
        <v>555</v>
      </c>
      <c r="G401" s="184" t="s">
        <v>96</v>
      </c>
      <c r="H401" s="93" t="s">
        <v>414</v>
      </c>
      <c r="I401" s="185">
        <v>3</v>
      </c>
      <c r="J401" s="185">
        <v>9</v>
      </c>
      <c r="K401" s="52">
        <v>0</v>
      </c>
      <c r="L401" s="53">
        <v>500000000</v>
      </c>
      <c r="M401" s="184" t="s">
        <v>464</v>
      </c>
      <c r="N401" s="53" t="s">
        <v>113</v>
      </c>
      <c r="O401" s="51" t="s">
        <v>215</v>
      </c>
      <c r="P401" s="186" t="str">
        <f>IFERROR(VLOOKUP(C401,TD!$B$33:$F$37,2,0)," ")</f>
        <v>O230117</v>
      </c>
      <c r="Q401" s="186" t="str">
        <f>IFERROR(VLOOKUP(C401,TD!$B$33:$F$37,3,0)," ")</f>
        <v>4599</v>
      </c>
      <c r="R401" s="186">
        <f>IFERROR(VLOOKUP(C401,TD!$B$33:$F$37,4,0)," ")</f>
        <v>20240207</v>
      </c>
      <c r="S401" s="51" t="s">
        <v>179</v>
      </c>
      <c r="T401" s="186" t="str">
        <f>IFERROR(VLOOKUP(S401,TD!$J$34:$K$44,2,0)," ")</f>
        <v>Infraestructura Tecnológica   (Sistemas de Información y Tecnologia)</v>
      </c>
      <c r="U401" s="187" t="str">
        <f>CONCATENATE(S401,"-",T401)</f>
        <v>11-Infraestructura Tecnológica   (Sistemas de Información y Tecnologia)</v>
      </c>
      <c r="V401" s="51" t="s">
        <v>239</v>
      </c>
      <c r="W401" s="186" t="str">
        <f>IFERROR(VLOOKUP(V401,TD!$N$34:$O$46,2,0)," ")</f>
        <v>Servicios tecnológicos</v>
      </c>
      <c r="X401" s="187" t="str">
        <f>CONCATENATE(V401,"_",W401)</f>
        <v>007_Servicios tecnológicos</v>
      </c>
      <c r="Y401" s="187" t="str">
        <f>CONCATENATE(U401," ",X401)</f>
        <v>11-Infraestructura Tecnológica   (Sistemas de Información y Tecnologia) 007_Servicios tecnológicos</v>
      </c>
      <c r="Z401" s="186" t="str">
        <f>CONCATENATE(P401,Q401,R401,S401,V401)</f>
        <v>O23011745992024020711007</v>
      </c>
      <c r="AA401" s="186" t="str">
        <f>IFERROR(VLOOKUP(Y401,TD!$K$47:$L$65,2,0)," ")</f>
        <v>PM/0131/0111/45990070207</v>
      </c>
      <c r="AB401" s="53" t="s">
        <v>125</v>
      </c>
      <c r="AC401" s="188" t="s">
        <v>204</v>
      </c>
    </row>
    <row r="402" spans="2:29" s="28" customFormat="1" ht="56" x14ac:dyDescent="0.35">
      <c r="B402" s="77">
        <v>20250396</v>
      </c>
      <c r="C402" s="50" t="s">
        <v>208</v>
      </c>
      <c r="D402" s="184" t="s">
        <v>162</v>
      </c>
      <c r="E402" s="51" t="s">
        <v>355</v>
      </c>
      <c r="F402" s="184" t="s">
        <v>796</v>
      </c>
      <c r="G402" s="184" t="s">
        <v>146</v>
      </c>
      <c r="H402" s="93" t="s">
        <v>797</v>
      </c>
      <c r="I402" s="185">
        <v>3</v>
      </c>
      <c r="J402" s="185">
        <v>9</v>
      </c>
      <c r="K402" s="52">
        <v>0</v>
      </c>
      <c r="L402" s="53">
        <v>200000000</v>
      </c>
      <c r="M402" s="184" t="s">
        <v>464</v>
      </c>
      <c r="N402" s="53" t="s">
        <v>95</v>
      </c>
      <c r="O402" s="51" t="s">
        <v>215</v>
      </c>
      <c r="P402" s="186" t="str">
        <f>IFERROR(VLOOKUP(C402,TD!$B$33:$F$37,2,0)," ")</f>
        <v>O230117</v>
      </c>
      <c r="Q402" s="186" t="str">
        <f>IFERROR(VLOOKUP(C402,TD!$B$33:$F$37,3,0)," ")</f>
        <v>4599</v>
      </c>
      <c r="R402" s="186">
        <f>IFERROR(VLOOKUP(C402,TD!$B$33:$F$37,4,0)," ")</f>
        <v>20240207</v>
      </c>
      <c r="S402" s="51" t="s">
        <v>179</v>
      </c>
      <c r="T402" s="186" t="str">
        <f>IFERROR(VLOOKUP(S402,TD!$J$34:$K$44,2,0)," ")</f>
        <v>Infraestructura Tecnológica   (Sistemas de Información y Tecnologia)</v>
      </c>
      <c r="U402" s="187" t="str">
        <f>CONCATENATE(S402,"-",T402)</f>
        <v>11-Infraestructura Tecnológica   (Sistemas de Información y Tecnologia)</v>
      </c>
      <c r="V402" s="51" t="s">
        <v>239</v>
      </c>
      <c r="W402" s="186" t="str">
        <f>IFERROR(VLOOKUP(V402,TD!$N$34:$O$46,2,0)," ")</f>
        <v>Servicios tecnológicos</v>
      </c>
      <c r="X402" s="187" t="str">
        <f>CONCATENATE(V402,"_",W402)</f>
        <v>007_Servicios tecnológicos</v>
      </c>
      <c r="Y402" s="187" t="str">
        <f>CONCATENATE(U402," ",X402)</f>
        <v>11-Infraestructura Tecnológica   (Sistemas de Información y Tecnologia) 007_Servicios tecnológicos</v>
      </c>
      <c r="Z402" s="186" t="str">
        <f>CONCATENATE(P402,Q402,R402,S402,V402)</f>
        <v>O23011745992024020711007</v>
      </c>
      <c r="AA402" s="186" t="str">
        <f>IFERROR(VLOOKUP(Y402,TD!$K$47:$L$65,2,0)," ")</f>
        <v>PM/0131/0111/45990070207</v>
      </c>
      <c r="AB402" s="53" t="s">
        <v>125</v>
      </c>
      <c r="AC402" s="188" t="s">
        <v>204</v>
      </c>
    </row>
    <row r="403" spans="2:29" s="28" customFormat="1" ht="56" x14ac:dyDescent="0.35">
      <c r="B403" s="127">
        <v>20250397</v>
      </c>
      <c r="C403" s="129" t="s">
        <v>208</v>
      </c>
      <c r="D403" s="189" t="s">
        <v>162</v>
      </c>
      <c r="E403" s="190" t="s">
        <v>355</v>
      </c>
      <c r="F403" s="189" t="s">
        <v>1313</v>
      </c>
      <c r="G403" s="189" t="s">
        <v>149</v>
      </c>
      <c r="H403" s="130">
        <v>81112217</v>
      </c>
      <c r="I403" s="191">
        <v>10</v>
      </c>
      <c r="J403" s="191">
        <v>12</v>
      </c>
      <c r="K403" s="126">
        <v>0</v>
      </c>
      <c r="L403" s="125">
        <v>168943898</v>
      </c>
      <c r="M403" s="189" t="s">
        <v>464</v>
      </c>
      <c r="N403" s="125" t="s">
        <v>113</v>
      </c>
      <c r="O403" s="190" t="s">
        <v>214</v>
      </c>
      <c r="P403" s="192" t="str">
        <f>IFERROR(VLOOKUP(C403,TD!$B$33:$F$37,2,0)," ")</f>
        <v>O230117</v>
      </c>
      <c r="Q403" s="192" t="str">
        <f>IFERROR(VLOOKUP(C403,TD!$B$33:$F$37,3,0)," ")</f>
        <v>4599</v>
      </c>
      <c r="R403" s="192">
        <f>IFERROR(VLOOKUP(C403,TD!$B$33:$F$37,4,0)," ")</f>
        <v>20240207</v>
      </c>
      <c r="S403" s="190" t="s">
        <v>179</v>
      </c>
      <c r="T403" s="192" t="str">
        <f>IFERROR(VLOOKUP(S403,TD!$J$34:$K$44,2,0)," ")</f>
        <v>Infraestructura Tecnológica   (Sistemas de Información y Tecnologia)</v>
      </c>
      <c r="U403" s="187" t="str">
        <f>CONCATENATE(S403,"-",T403)</f>
        <v>11-Infraestructura Tecnológica   (Sistemas de Información y Tecnologia)</v>
      </c>
      <c r="V403" s="190" t="s">
        <v>239</v>
      </c>
      <c r="W403" s="192" t="str">
        <f>IFERROR(VLOOKUP(V403,TD!$N$34:$O$46,2,0)," ")</f>
        <v>Servicios tecnológicos</v>
      </c>
      <c r="X403" s="187" t="str">
        <f>CONCATENATE(V403,"_",W403)</f>
        <v>007_Servicios tecnológicos</v>
      </c>
      <c r="Y403" s="187" t="str">
        <f>CONCATENATE(U403," ",X403)</f>
        <v>11-Infraestructura Tecnológica   (Sistemas de Información y Tecnologia) 007_Servicios tecnológicos</v>
      </c>
      <c r="Z403" s="192" t="str">
        <f>CONCATENATE(P403,Q403,R403,S403,V403)</f>
        <v>O23011745992024020711007</v>
      </c>
      <c r="AA403" s="192" t="str">
        <f>IFERROR(VLOOKUP(Y403,TD!$K$47:$L$65,2,0)," ")</f>
        <v>PM/0131/0111/45990070207</v>
      </c>
      <c r="AB403" s="125" t="s">
        <v>125</v>
      </c>
      <c r="AC403" s="193" t="s">
        <v>205</v>
      </c>
    </row>
    <row r="404" spans="2:29" s="28" customFormat="1" ht="56" x14ac:dyDescent="0.35">
      <c r="B404" s="127">
        <v>20250398</v>
      </c>
      <c r="C404" s="129" t="s">
        <v>208</v>
      </c>
      <c r="D404" s="189" t="s">
        <v>162</v>
      </c>
      <c r="E404" s="190" t="s">
        <v>355</v>
      </c>
      <c r="F404" s="189" t="s">
        <v>556</v>
      </c>
      <c r="G404" s="189" t="s">
        <v>149</v>
      </c>
      <c r="H404" s="130">
        <v>81112217</v>
      </c>
      <c r="I404" s="191">
        <v>1</v>
      </c>
      <c r="J404" s="191">
        <v>12</v>
      </c>
      <c r="K404" s="126">
        <v>0</v>
      </c>
      <c r="L404" s="125">
        <v>16142952</v>
      </c>
      <c r="M404" s="189" t="s">
        <v>464</v>
      </c>
      <c r="N404" s="125" t="s">
        <v>113</v>
      </c>
      <c r="O404" s="190" t="s">
        <v>214</v>
      </c>
      <c r="P404" s="192" t="str">
        <f>IFERROR(VLOOKUP(C404,TD!$B$33:$F$37,2,0)," ")</f>
        <v>O230117</v>
      </c>
      <c r="Q404" s="192" t="str">
        <f>IFERROR(VLOOKUP(C404,TD!$B$33:$F$37,3,0)," ")</f>
        <v>4599</v>
      </c>
      <c r="R404" s="192">
        <f>IFERROR(VLOOKUP(C404,TD!$B$33:$F$37,4,0)," ")</f>
        <v>20240207</v>
      </c>
      <c r="S404" s="190" t="s">
        <v>179</v>
      </c>
      <c r="T404" s="192" t="str">
        <f>IFERROR(VLOOKUP(S404,TD!$J$34:$K$44,2,0)," ")</f>
        <v>Infraestructura Tecnológica   (Sistemas de Información y Tecnologia)</v>
      </c>
      <c r="U404" s="187" t="str">
        <f>CONCATENATE(S404,"-",T404)</f>
        <v>11-Infraestructura Tecnológica   (Sistemas de Información y Tecnologia)</v>
      </c>
      <c r="V404" s="190" t="s">
        <v>239</v>
      </c>
      <c r="W404" s="192" t="str">
        <f>IFERROR(VLOOKUP(V404,TD!$N$34:$O$46,2,0)," ")</f>
        <v>Servicios tecnológicos</v>
      </c>
      <c r="X404" s="187" t="str">
        <f>CONCATENATE(V404,"_",W404)</f>
        <v>007_Servicios tecnológicos</v>
      </c>
      <c r="Y404" s="187" t="str">
        <f>CONCATENATE(U404," ",X404)</f>
        <v>11-Infraestructura Tecnológica   (Sistemas de Información y Tecnologia) 007_Servicios tecnológicos</v>
      </c>
      <c r="Z404" s="192" t="str">
        <f>CONCATENATE(P404,Q404,R404,S404,V404)</f>
        <v>O23011745992024020711007</v>
      </c>
      <c r="AA404" s="192" t="str">
        <f>IFERROR(VLOOKUP(Y404,TD!$K$47:$L$65,2,0)," ")</f>
        <v>PM/0131/0111/45990070207</v>
      </c>
      <c r="AB404" s="125" t="s">
        <v>125</v>
      </c>
      <c r="AC404" s="193" t="s">
        <v>204</v>
      </c>
    </row>
    <row r="405" spans="2:29" s="28" customFormat="1" ht="84" x14ac:dyDescent="0.35">
      <c r="B405" s="127">
        <v>20250399</v>
      </c>
      <c r="C405" s="129" t="s">
        <v>208</v>
      </c>
      <c r="D405" s="189" t="s">
        <v>162</v>
      </c>
      <c r="E405" s="190" t="s">
        <v>355</v>
      </c>
      <c r="F405" s="189" t="s">
        <v>798</v>
      </c>
      <c r="G405" s="189" t="s">
        <v>96</v>
      </c>
      <c r="H405" s="130" t="s">
        <v>415</v>
      </c>
      <c r="I405" s="191">
        <v>3</v>
      </c>
      <c r="J405" s="191">
        <v>12</v>
      </c>
      <c r="K405" s="126">
        <v>0</v>
      </c>
      <c r="L405" s="125">
        <v>30000000</v>
      </c>
      <c r="M405" s="189" t="s">
        <v>464</v>
      </c>
      <c r="N405" s="125" t="s">
        <v>100</v>
      </c>
      <c r="O405" s="190" t="s">
        <v>215</v>
      </c>
      <c r="P405" s="192" t="str">
        <f>IFERROR(VLOOKUP(C405,TD!$B$33:$F$37,2,0)," ")</f>
        <v>O230117</v>
      </c>
      <c r="Q405" s="192" t="str">
        <f>IFERROR(VLOOKUP(C405,TD!$B$33:$F$37,3,0)," ")</f>
        <v>4599</v>
      </c>
      <c r="R405" s="192">
        <f>IFERROR(VLOOKUP(C405,TD!$B$33:$F$37,4,0)," ")</f>
        <v>20240207</v>
      </c>
      <c r="S405" s="190" t="s">
        <v>179</v>
      </c>
      <c r="T405" s="192" t="str">
        <f>IFERROR(VLOOKUP(S405,TD!$J$34:$K$44,2,0)," ")</f>
        <v>Infraestructura Tecnológica   (Sistemas de Información y Tecnologia)</v>
      </c>
      <c r="U405" s="187" t="str">
        <f>CONCATENATE(S405,"-",T405)</f>
        <v>11-Infraestructura Tecnológica   (Sistemas de Información y Tecnologia)</v>
      </c>
      <c r="V405" s="190" t="s">
        <v>239</v>
      </c>
      <c r="W405" s="192" t="str">
        <f>IFERROR(VLOOKUP(V405,TD!$N$34:$O$46,2,0)," ")</f>
        <v>Servicios tecnológicos</v>
      </c>
      <c r="X405" s="187" t="str">
        <f>CONCATENATE(V405,"_",W405)</f>
        <v>007_Servicios tecnológicos</v>
      </c>
      <c r="Y405" s="187" t="str">
        <f>CONCATENATE(U405," ",X405)</f>
        <v>11-Infraestructura Tecnológica   (Sistemas de Información y Tecnologia) 007_Servicios tecnológicos</v>
      </c>
      <c r="Z405" s="192" t="str">
        <f>CONCATENATE(P405,Q405,R405,S405,V405)</f>
        <v>O23011745992024020711007</v>
      </c>
      <c r="AA405" s="192" t="str">
        <f>IFERROR(VLOOKUP(Y405,TD!$K$47:$L$65,2,0)," ")</f>
        <v>PM/0131/0111/45990070207</v>
      </c>
      <c r="AB405" s="125" t="s">
        <v>125</v>
      </c>
      <c r="AC405" s="193" t="s">
        <v>204</v>
      </c>
    </row>
    <row r="406" spans="2:29" s="28" customFormat="1" ht="98" x14ac:dyDescent="0.35">
      <c r="B406" s="127">
        <v>20250401</v>
      </c>
      <c r="C406" s="129" t="s">
        <v>208</v>
      </c>
      <c r="D406" s="189" t="s">
        <v>162</v>
      </c>
      <c r="E406" s="190" t="s">
        <v>355</v>
      </c>
      <c r="F406" s="189" t="s">
        <v>799</v>
      </c>
      <c r="G406" s="189" t="s">
        <v>109</v>
      </c>
      <c r="H406" s="130" t="s">
        <v>557</v>
      </c>
      <c r="I406" s="191">
        <v>3</v>
      </c>
      <c r="J406" s="191">
        <v>9</v>
      </c>
      <c r="K406" s="126">
        <v>0</v>
      </c>
      <c r="L406" s="125">
        <v>9999570</v>
      </c>
      <c r="M406" s="189" t="s">
        <v>464</v>
      </c>
      <c r="N406" s="125" t="s">
        <v>123</v>
      </c>
      <c r="O406" s="190" t="s">
        <v>215</v>
      </c>
      <c r="P406" s="192" t="str">
        <f>IFERROR(VLOOKUP(C406,TD!$B$33:$F$37,2,0)," ")</f>
        <v>O230117</v>
      </c>
      <c r="Q406" s="192" t="str">
        <f>IFERROR(VLOOKUP(C406,TD!$B$33:$F$37,3,0)," ")</f>
        <v>4599</v>
      </c>
      <c r="R406" s="192">
        <f>IFERROR(VLOOKUP(C406,TD!$B$33:$F$37,4,0)," ")</f>
        <v>20240207</v>
      </c>
      <c r="S406" s="190" t="s">
        <v>179</v>
      </c>
      <c r="T406" s="192" t="str">
        <f>IFERROR(VLOOKUP(S406,TD!$J$34:$K$44,2,0)," ")</f>
        <v>Infraestructura Tecnológica   (Sistemas de Información y Tecnologia)</v>
      </c>
      <c r="U406" s="187" t="str">
        <f>CONCATENATE(S406,"-",T406)</f>
        <v>11-Infraestructura Tecnológica   (Sistemas de Información y Tecnologia)</v>
      </c>
      <c r="V406" s="190" t="s">
        <v>239</v>
      </c>
      <c r="W406" s="192" t="str">
        <f>IFERROR(VLOOKUP(V406,TD!$N$34:$O$46,2,0)," ")</f>
        <v>Servicios tecnológicos</v>
      </c>
      <c r="X406" s="187" t="str">
        <f>CONCATENATE(V406,"_",W406)</f>
        <v>007_Servicios tecnológicos</v>
      </c>
      <c r="Y406" s="187" t="str">
        <f>CONCATENATE(U406," ",X406)</f>
        <v>11-Infraestructura Tecnológica   (Sistemas de Información y Tecnologia) 007_Servicios tecnológicos</v>
      </c>
      <c r="Z406" s="192" t="str">
        <f>CONCATENATE(P406,Q406,R406,S406,V406)</f>
        <v>O23011745992024020711007</v>
      </c>
      <c r="AA406" s="192" t="str">
        <f>IFERROR(VLOOKUP(Y406,TD!$K$47:$L$65,2,0)," ")</f>
        <v>PM/0131/0111/45990070207</v>
      </c>
      <c r="AB406" s="125" t="s">
        <v>125</v>
      </c>
      <c r="AC406" s="193" t="s">
        <v>204</v>
      </c>
    </row>
    <row r="407" spans="2:29" s="28" customFormat="1" ht="112" x14ac:dyDescent="0.35">
      <c r="B407" s="77">
        <v>20250402</v>
      </c>
      <c r="C407" s="50" t="s">
        <v>208</v>
      </c>
      <c r="D407" s="184" t="s">
        <v>162</v>
      </c>
      <c r="E407" s="51" t="s">
        <v>355</v>
      </c>
      <c r="F407" s="184" t="s">
        <v>800</v>
      </c>
      <c r="G407" s="184" t="s">
        <v>96</v>
      </c>
      <c r="H407" s="93" t="s">
        <v>415</v>
      </c>
      <c r="I407" s="185">
        <v>3</v>
      </c>
      <c r="J407" s="185">
        <v>9</v>
      </c>
      <c r="K407" s="52">
        <v>0</v>
      </c>
      <c r="L407" s="53">
        <v>34554076</v>
      </c>
      <c r="M407" s="184" t="s">
        <v>464</v>
      </c>
      <c r="N407" s="53" t="s">
        <v>123</v>
      </c>
      <c r="O407" s="51" t="s">
        <v>215</v>
      </c>
      <c r="P407" s="186" t="str">
        <f>IFERROR(VLOOKUP(C407,TD!$B$33:$F$37,2,0)," ")</f>
        <v>O230117</v>
      </c>
      <c r="Q407" s="186" t="str">
        <f>IFERROR(VLOOKUP(C407,TD!$B$33:$F$37,3,0)," ")</f>
        <v>4599</v>
      </c>
      <c r="R407" s="186">
        <f>IFERROR(VLOOKUP(C407,TD!$B$33:$F$37,4,0)," ")</f>
        <v>20240207</v>
      </c>
      <c r="S407" s="51" t="s">
        <v>179</v>
      </c>
      <c r="T407" s="186" t="str">
        <f>IFERROR(VLOOKUP(S407,TD!$J$34:$K$44,2,0)," ")</f>
        <v>Infraestructura Tecnológica   (Sistemas de Información y Tecnologia)</v>
      </c>
      <c r="U407" s="187" t="str">
        <f>CONCATENATE(S407,"-",T407)</f>
        <v>11-Infraestructura Tecnológica   (Sistemas de Información y Tecnologia)</v>
      </c>
      <c r="V407" s="51" t="s">
        <v>239</v>
      </c>
      <c r="W407" s="186" t="str">
        <f>IFERROR(VLOOKUP(V407,TD!$N$34:$O$46,2,0)," ")</f>
        <v>Servicios tecnológicos</v>
      </c>
      <c r="X407" s="187" t="str">
        <f>CONCATENATE(V407,"_",W407)</f>
        <v>007_Servicios tecnológicos</v>
      </c>
      <c r="Y407" s="187" t="str">
        <f>CONCATENATE(U407," ",X407)</f>
        <v>11-Infraestructura Tecnológica   (Sistemas de Información y Tecnologia) 007_Servicios tecnológicos</v>
      </c>
      <c r="Z407" s="186" t="str">
        <f>CONCATENATE(P407,Q407,R407,S407,V407)</f>
        <v>O23011745992024020711007</v>
      </c>
      <c r="AA407" s="186" t="str">
        <f>IFERROR(VLOOKUP(Y407,TD!$K$47:$L$65,2,0)," ")</f>
        <v>PM/0131/0111/45990070207</v>
      </c>
      <c r="AB407" s="53" t="s">
        <v>130</v>
      </c>
      <c r="AC407" s="188" t="s">
        <v>204</v>
      </c>
    </row>
    <row r="408" spans="2:29" s="28" customFormat="1" ht="56" x14ac:dyDescent="0.35">
      <c r="B408" s="77">
        <v>20250410</v>
      </c>
      <c r="C408" s="50" t="s">
        <v>209</v>
      </c>
      <c r="D408" s="184" t="s">
        <v>166</v>
      </c>
      <c r="E408" s="51" t="s">
        <v>558</v>
      </c>
      <c r="F408" s="184" t="s">
        <v>1049</v>
      </c>
      <c r="G408" s="184" t="s">
        <v>137</v>
      </c>
      <c r="H408" s="93" t="s">
        <v>406</v>
      </c>
      <c r="I408" s="185" t="s">
        <v>406</v>
      </c>
      <c r="J408" s="185" t="s">
        <v>406</v>
      </c>
      <c r="K408" s="52" t="s">
        <v>406</v>
      </c>
      <c r="L408" s="53">
        <v>35469000</v>
      </c>
      <c r="M408" s="184" t="s">
        <v>173</v>
      </c>
      <c r="N408" s="53" t="s">
        <v>607</v>
      </c>
      <c r="O408" s="51" t="s">
        <v>227</v>
      </c>
      <c r="P408" s="186" t="str">
        <f>IFERROR(VLOOKUP(C408,TD!$B$33:$F$37,2,0)," ")</f>
        <v>O230117</v>
      </c>
      <c r="Q408" s="186" t="str">
        <f>IFERROR(VLOOKUP(C408,TD!$B$33:$F$37,3,0)," ")</f>
        <v>4503</v>
      </c>
      <c r="R408" s="186">
        <f>IFERROR(VLOOKUP(C408,TD!$B$33:$F$37,4,0)," ")</f>
        <v>20240255</v>
      </c>
      <c r="S408" s="51" t="s">
        <v>185</v>
      </c>
      <c r="T408" s="186" t="str">
        <f>IFERROR(VLOOKUP(S408,TD!$J$34:$K$44,2,0)," ")</f>
        <v>Infraestructura física, mantenimiento y dotación (Sedes construidas, mantenidas reforzadas)</v>
      </c>
      <c r="U408" s="187" t="str">
        <f>CONCATENATE(S408,"-",T408)</f>
        <v>08-Infraestructura física, mantenimiento y dotación (Sedes construidas, mantenidas reforzadas)</v>
      </c>
      <c r="V408" s="51" t="s">
        <v>236</v>
      </c>
      <c r="W408" s="186" t="str">
        <f>IFERROR(VLOOKUP(V408,TD!$N$34:$O$46,2,0)," ")</f>
        <v>Estaciones de bomberos adecuadas</v>
      </c>
      <c r="X408" s="187" t="str">
        <f>CONCATENATE(V408,"_",W408)</f>
        <v>014_Estaciones de bomberos adecuadas</v>
      </c>
      <c r="Y408" s="187" t="str">
        <f>CONCATENATE(U408," ",X408)</f>
        <v>08-Infraestructura física, mantenimiento y dotación (Sedes construidas, mantenidas reforzadas) 014_Estaciones de bomberos adecuadas</v>
      </c>
      <c r="Z408" s="186" t="str">
        <f>CONCATENATE(P408,Q408,R408,S408,V408)</f>
        <v>O23011745032024025508014</v>
      </c>
      <c r="AA408" s="186" t="str">
        <f>IFERROR(VLOOKUP(Y408,TD!$K$47:$L$65,2,0)," ")</f>
        <v>PM/0131/0108/45030140255</v>
      </c>
      <c r="AB408" s="53" t="s">
        <v>102</v>
      </c>
      <c r="AC408" s="188" t="s">
        <v>205</v>
      </c>
    </row>
    <row r="409" spans="2:29" s="28" customFormat="1" ht="56" x14ac:dyDescent="0.35">
      <c r="B409" s="77">
        <v>20250411</v>
      </c>
      <c r="C409" s="50" t="s">
        <v>208</v>
      </c>
      <c r="D409" s="184" t="s">
        <v>166</v>
      </c>
      <c r="E409" s="51" t="s">
        <v>558</v>
      </c>
      <c r="F409" s="184" t="s">
        <v>559</v>
      </c>
      <c r="G409" s="184" t="s">
        <v>86</v>
      </c>
      <c r="H409" s="93" t="s">
        <v>560</v>
      </c>
      <c r="I409" s="185">
        <v>2</v>
      </c>
      <c r="J409" s="185">
        <v>11</v>
      </c>
      <c r="K409" s="52">
        <v>0</v>
      </c>
      <c r="L409" s="53">
        <v>16805758</v>
      </c>
      <c r="M409" s="184" t="s">
        <v>464</v>
      </c>
      <c r="N409" s="53" t="s">
        <v>608</v>
      </c>
      <c r="O409" s="51" t="s">
        <v>218</v>
      </c>
      <c r="P409" s="186" t="str">
        <f>IFERROR(VLOOKUP(C409,TD!$B$33:$F$37,2,0)," ")</f>
        <v>O230117</v>
      </c>
      <c r="Q409" s="186" t="str">
        <f>IFERROR(VLOOKUP(C409,TD!$B$33:$F$37,3,0)," ")</f>
        <v>4599</v>
      </c>
      <c r="R409" s="186">
        <f>IFERROR(VLOOKUP(C409,TD!$B$33:$F$37,4,0)," ")</f>
        <v>20240207</v>
      </c>
      <c r="S409" s="51" t="s">
        <v>185</v>
      </c>
      <c r="T409" s="186" t="str">
        <f>IFERROR(VLOOKUP(S409,TD!$J$34:$K$44,2,0)," ")</f>
        <v>Infraestructura física, mantenimiento y dotación (Sedes construidas, mantenidas reforzadas)</v>
      </c>
      <c r="U409" s="187" t="str">
        <f>CONCATENATE(S409,"-",T409)</f>
        <v>08-Infraestructura física, mantenimiento y dotación (Sedes construidas, mantenidas reforzadas)</v>
      </c>
      <c r="V409" s="51" t="s">
        <v>238</v>
      </c>
      <c r="W409" s="186" t="str">
        <f>IFERROR(VLOOKUP(V409,TD!$N$34:$O$46,2,0)," ")</f>
        <v>Sedes mantenidas</v>
      </c>
      <c r="X409" s="187" t="str">
        <f>CONCATENATE(V409,"_",W409)</f>
        <v>016_Sedes mantenidas</v>
      </c>
      <c r="Y409" s="187" t="str">
        <f>CONCATENATE(U409," ",X409)</f>
        <v>08-Infraestructura física, mantenimiento y dotación (Sedes construidas, mantenidas reforzadas) 016_Sedes mantenidas</v>
      </c>
      <c r="Z409" s="186" t="str">
        <f>CONCATENATE(P409,Q409,R409,S409,V409)</f>
        <v>O23011745992024020708016</v>
      </c>
      <c r="AA409" s="186" t="str">
        <f>IFERROR(VLOOKUP(Y409,TD!$K$47:$L$65,2,0)," ")</f>
        <v>PM/0131/0108/45990160207</v>
      </c>
      <c r="AB409" s="53" t="s">
        <v>143</v>
      </c>
      <c r="AC409" s="188" t="s">
        <v>204</v>
      </c>
    </row>
    <row r="410" spans="2:29" s="28" customFormat="1" ht="56" x14ac:dyDescent="0.35">
      <c r="B410" s="77">
        <v>20250412</v>
      </c>
      <c r="C410" s="50" t="s">
        <v>208</v>
      </c>
      <c r="D410" s="184" t="s">
        <v>166</v>
      </c>
      <c r="E410" s="51" t="s">
        <v>558</v>
      </c>
      <c r="F410" s="184" t="s">
        <v>561</v>
      </c>
      <c r="G410" s="184" t="s">
        <v>156</v>
      </c>
      <c r="H410" s="93" t="s">
        <v>609</v>
      </c>
      <c r="I410" s="185">
        <v>2</v>
      </c>
      <c r="J410" s="185">
        <v>11</v>
      </c>
      <c r="K410" s="52">
        <v>0</v>
      </c>
      <c r="L410" s="53">
        <f>33534424-3975472</f>
        <v>29558952</v>
      </c>
      <c r="M410" s="184" t="s">
        <v>464</v>
      </c>
      <c r="N410" s="53" t="s">
        <v>610</v>
      </c>
      <c r="O410" s="51" t="s">
        <v>219</v>
      </c>
      <c r="P410" s="186" t="str">
        <f>IFERROR(VLOOKUP(C410,TD!$B$33:$F$37,2,0)," ")</f>
        <v>O230117</v>
      </c>
      <c r="Q410" s="186" t="str">
        <f>IFERROR(VLOOKUP(C410,TD!$B$33:$F$37,3,0)," ")</f>
        <v>4599</v>
      </c>
      <c r="R410" s="186">
        <f>IFERROR(VLOOKUP(C410,TD!$B$33:$F$37,4,0)," ")</f>
        <v>20240207</v>
      </c>
      <c r="S410" s="51" t="s">
        <v>185</v>
      </c>
      <c r="T410" s="186" t="str">
        <f>IFERROR(VLOOKUP(S410,TD!$J$34:$K$44,2,0)," ")</f>
        <v>Infraestructura física, mantenimiento y dotación (Sedes construidas, mantenidas reforzadas)</v>
      </c>
      <c r="U410" s="187" t="str">
        <f>CONCATENATE(S410,"-",T410)</f>
        <v>08-Infraestructura física, mantenimiento y dotación (Sedes construidas, mantenidas reforzadas)</v>
      </c>
      <c r="V410" s="51" t="s">
        <v>238</v>
      </c>
      <c r="W410" s="186" t="str">
        <f>IFERROR(VLOOKUP(V410,TD!$N$34:$O$46,2,0)," ")</f>
        <v>Sedes mantenidas</v>
      </c>
      <c r="X410" s="187" t="str">
        <f>CONCATENATE(V410,"_",W410)</f>
        <v>016_Sedes mantenidas</v>
      </c>
      <c r="Y410" s="187" t="str">
        <f>CONCATENATE(U410," ",X410)</f>
        <v>08-Infraestructura física, mantenimiento y dotación (Sedes construidas, mantenidas reforzadas) 016_Sedes mantenidas</v>
      </c>
      <c r="Z410" s="186" t="str">
        <f>CONCATENATE(P410,Q410,R410,S410,V410)</f>
        <v>O23011745992024020708016</v>
      </c>
      <c r="AA410" s="186" t="str">
        <f>IFERROR(VLOOKUP(Y410,TD!$K$47:$L$65,2,0)," ")</f>
        <v>PM/0131/0108/45990160207</v>
      </c>
      <c r="AB410" s="53" t="s">
        <v>138</v>
      </c>
      <c r="AC410" s="188" t="s">
        <v>204</v>
      </c>
    </row>
    <row r="411" spans="2:29" s="28" customFormat="1" ht="56" x14ac:dyDescent="0.35">
      <c r="B411" s="127">
        <v>20250413</v>
      </c>
      <c r="C411" s="129" t="s">
        <v>208</v>
      </c>
      <c r="D411" s="189" t="s">
        <v>166</v>
      </c>
      <c r="E411" s="190" t="s">
        <v>558</v>
      </c>
      <c r="F411" s="189" t="s">
        <v>562</v>
      </c>
      <c r="G411" s="189" t="s">
        <v>155</v>
      </c>
      <c r="H411" s="130" t="s">
        <v>609</v>
      </c>
      <c r="I411" s="191">
        <v>2</v>
      </c>
      <c r="J411" s="191">
        <v>11</v>
      </c>
      <c r="K411" s="126">
        <v>0</v>
      </c>
      <c r="L411" s="125">
        <v>63809802</v>
      </c>
      <c r="M411" s="189" t="s">
        <v>464</v>
      </c>
      <c r="N411" s="125" t="s">
        <v>610</v>
      </c>
      <c r="O411" s="190" t="s">
        <v>219</v>
      </c>
      <c r="P411" s="192" t="str">
        <f>IFERROR(VLOOKUP(C411,TD!$B$33:$F$37,2,0)," ")</f>
        <v>O230117</v>
      </c>
      <c r="Q411" s="192" t="str">
        <f>IFERROR(VLOOKUP(C411,TD!$B$33:$F$37,3,0)," ")</f>
        <v>4599</v>
      </c>
      <c r="R411" s="192">
        <f>IFERROR(VLOOKUP(C411,TD!$B$33:$F$37,4,0)," ")</f>
        <v>20240207</v>
      </c>
      <c r="S411" s="190" t="s">
        <v>185</v>
      </c>
      <c r="T411" s="192" t="str">
        <f>IFERROR(VLOOKUP(S411,TD!$J$34:$K$44,2,0)," ")</f>
        <v>Infraestructura física, mantenimiento y dotación (Sedes construidas, mantenidas reforzadas)</v>
      </c>
      <c r="U411" s="187" t="str">
        <f>CONCATENATE(S411,"-",T411)</f>
        <v>08-Infraestructura física, mantenimiento y dotación (Sedes construidas, mantenidas reforzadas)</v>
      </c>
      <c r="V411" s="190" t="s">
        <v>238</v>
      </c>
      <c r="W411" s="192" t="str">
        <f>IFERROR(VLOOKUP(V411,TD!$N$34:$O$46,2,0)," ")</f>
        <v>Sedes mantenidas</v>
      </c>
      <c r="X411" s="187" t="str">
        <f>CONCATENATE(V411,"_",W411)</f>
        <v>016_Sedes mantenidas</v>
      </c>
      <c r="Y411" s="187" t="str">
        <f>CONCATENATE(U411," ",X411)</f>
        <v>08-Infraestructura física, mantenimiento y dotación (Sedes construidas, mantenidas reforzadas) 016_Sedes mantenidas</v>
      </c>
      <c r="Z411" s="192" t="str">
        <f>CONCATENATE(P411,Q411,R411,S411,V411)</f>
        <v>O23011745992024020708016</v>
      </c>
      <c r="AA411" s="192" t="str">
        <f>IFERROR(VLOOKUP(Y411,TD!$K$47:$L$65,2,0)," ")</f>
        <v>PM/0131/0108/45990160207</v>
      </c>
      <c r="AB411" s="125" t="s">
        <v>138</v>
      </c>
      <c r="AC411" s="190" t="s">
        <v>204</v>
      </c>
    </row>
    <row r="412" spans="2:29" s="28" customFormat="1" ht="56" x14ac:dyDescent="0.35">
      <c r="B412" s="77">
        <v>20250414</v>
      </c>
      <c r="C412" s="50" t="s">
        <v>208</v>
      </c>
      <c r="D412" s="184" t="s">
        <v>166</v>
      </c>
      <c r="E412" s="51" t="s">
        <v>558</v>
      </c>
      <c r="F412" s="184" t="s">
        <v>561</v>
      </c>
      <c r="G412" s="184" t="s">
        <v>156</v>
      </c>
      <c r="H412" s="93" t="s">
        <v>609</v>
      </c>
      <c r="I412" s="185">
        <v>2</v>
      </c>
      <c r="J412" s="185">
        <v>11</v>
      </c>
      <c r="K412" s="52">
        <v>0</v>
      </c>
      <c r="L412" s="53">
        <f>33534424-691144</f>
        <v>32843280</v>
      </c>
      <c r="M412" s="184" t="s">
        <v>464</v>
      </c>
      <c r="N412" s="53" t="s">
        <v>610</v>
      </c>
      <c r="O412" s="51" t="s">
        <v>219</v>
      </c>
      <c r="P412" s="186" t="str">
        <f>IFERROR(VLOOKUP(C412,TD!$B$33:$F$37,2,0)," ")</f>
        <v>O230117</v>
      </c>
      <c r="Q412" s="186" t="str">
        <f>IFERROR(VLOOKUP(C412,TD!$B$33:$F$37,3,0)," ")</f>
        <v>4599</v>
      </c>
      <c r="R412" s="186">
        <f>IFERROR(VLOOKUP(C412,TD!$B$33:$F$37,4,0)," ")</f>
        <v>20240207</v>
      </c>
      <c r="S412" s="51" t="s">
        <v>185</v>
      </c>
      <c r="T412" s="186" t="str">
        <f>IFERROR(VLOOKUP(S412,TD!$J$34:$K$44,2,0)," ")</f>
        <v>Infraestructura física, mantenimiento y dotación (Sedes construidas, mantenidas reforzadas)</v>
      </c>
      <c r="U412" s="187" t="str">
        <f>CONCATENATE(S412,"-",T412)</f>
        <v>08-Infraestructura física, mantenimiento y dotación (Sedes construidas, mantenidas reforzadas)</v>
      </c>
      <c r="V412" s="51" t="s">
        <v>238</v>
      </c>
      <c r="W412" s="186" t="str">
        <f>IFERROR(VLOOKUP(V412,TD!$N$34:$O$46,2,0)," ")</f>
        <v>Sedes mantenidas</v>
      </c>
      <c r="X412" s="187" t="str">
        <f>CONCATENATE(V412,"_",W412)</f>
        <v>016_Sedes mantenidas</v>
      </c>
      <c r="Y412" s="187" t="str">
        <f>CONCATENATE(U412," ",X412)</f>
        <v>08-Infraestructura física, mantenimiento y dotación (Sedes construidas, mantenidas reforzadas) 016_Sedes mantenidas</v>
      </c>
      <c r="Z412" s="186" t="str">
        <f>CONCATENATE(P412,Q412,R412,S412,V412)</f>
        <v>O23011745992024020708016</v>
      </c>
      <c r="AA412" s="186" t="str">
        <f>IFERROR(VLOOKUP(Y412,TD!$K$47:$L$65,2,0)," ")</f>
        <v>PM/0131/0108/45990160207</v>
      </c>
      <c r="AB412" s="53" t="s">
        <v>138</v>
      </c>
      <c r="AC412" s="188" t="s">
        <v>204</v>
      </c>
    </row>
    <row r="413" spans="2:29" s="28" customFormat="1" ht="70" x14ac:dyDescent="0.35">
      <c r="B413" s="77">
        <v>20250415</v>
      </c>
      <c r="C413" s="50" t="s">
        <v>208</v>
      </c>
      <c r="D413" s="184" t="s">
        <v>166</v>
      </c>
      <c r="E413" s="51" t="s">
        <v>558</v>
      </c>
      <c r="F413" s="184" t="s">
        <v>561</v>
      </c>
      <c r="G413" s="184" t="s">
        <v>156</v>
      </c>
      <c r="H413" s="93" t="s">
        <v>609</v>
      </c>
      <c r="I413" s="185">
        <v>2</v>
      </c>
      <c r="J413" s="185">
        <v>11</v>
      </c>
      <c r="K413" s="52">
        <v>0</v>
      </c>
      <c r="L413" s="53">
        <f>33534424-691144</f>
        <v>32843280</v>
      </c>
      <c r="M413" s="184" t="s">
        <v>464</v>
      </c>
      <c r="N413" s="53" t="s">
        <v>610</v>
      </c>
      <c r="O413" s="51" t="s">
        <v>219</v>
      </c>
      <c r="P413" s="186" t="str">
        <f>IFERROR(VLOOKUP(C413,TD!$B$33:$F$37,2,0)," ")</f>
        <v>O230117</v>
      </c>
      <c r="Q413" s="186" t="str">
        <f>IFERROR(VLOOKUP(C413,TD!$B$33:$F$37,3,0)," ")</f>
        <v>4599</v>
      </c>
      <c r="R413" s="186">
        <f>IFERROR(VLOOKUP(C413,TD!$B$33:$F$37,4,0)," ")</f>
        <v>20240207</v>
      </c>
      <c r="S413" s="51" t="s">
        <v>185</v>
      </c>
      <c r="T413" s="186" t="str">
        <f>IFERROR(VLOOKUP(S413,TD!$J$34:$K$44,2,0)," ")</f>
        <v>Infraestructura física, mantenimiento y dotación (Sedes construidas, mantenidas reforzadas)</v>
      </c>
      <c r="U413" s="187" t="str">
        <f>CONCATENATE(S413,"-",T413)</f>
        <v>08-Infraestructura física, mantenimiento y dotación (Sedes construidas, mantenidas reforzadas)</v>
      </c>
      <c r="V413" s="51" t="s">
        <v>238</v>
      </c>
      <c r="W413" s="186" t="str">
        <f>IFERROR(VLOOKUP(V413,TD!$N$34:$O$46,2,0)," ")</f>
        <v>Sedes mantenidas</v>
      </c>
      <c r="X413" s="187" t="str">
        <f>CONCATENATE(V413,"_",W413)</f>
        <v>016_Sedes mantenidas</v>
      </c>
      <c r="Y413" s="187" t="str">
        <f>CONCATENATE(U413," ",X413)</f>
        <v>08-Infraestructura física, mantenimiento y dotación (Sedes construidas, mantenidas reforzadas) 016_Sedes mantenidas</v>
      </c>
      <c r="Z413" s="186" t="str">
        <f>CONCATENATE(P413,Q413,R413,S413,V413)</f>
        <v>O23011745992024020708016</v>
      </c>
      <c r="AA413" s="186" t="str">
        <f>IFERROR(VLOOKUP(Y413,TD!$K$47:$L$65,2,0)," ")</f>
        <v>PM/0131/0108/45990160207</v>
      </c>
      <c r="AB413" s="53" t="s">
        <v>138</v>
      </c>
      <c r="AC413" s="188" t="s">
        <v>204</v>
      </c>
    </row>
    <row r="414" spans="2:29" s="28" customFormat="1" ht="70" x14ac:dyDescent="0.35">
      <c r="B414" s="77">
        <v>20250416</v>
      </c>
      <c r="C414" s="50" t="s">
        <v>208</v>
      </c>
      <c r="D414" s="184" t="s">
        <v>166</v>
      </c>
      <c r="E414" s="51" t="s">
        <v>558</v>
      </c>
      <c r="F414" s="184" t="s">
        <v>561</v>
      </c>
      <c r="G414" s="184" t="s">
        <v>156</v>
      </c>
      <c r="H414" s="93" t="s">
        <v>609</v>
      </c>
      <c r="I414" s="185">
        <v>2</v>
      </c>
      <c r="J414" s="185">
        <v>11</v>
      </c>
      <c r="K414" s="52">
        <v>0</v>
      </c>
      <c r="L414" s="53">
        <f>33534424-691144</f>
        <v>32843280</v>
      </c>
      <c r="M414" s="184" t="s">
        <v>464</v>
      </c>
      <c r="N414" s="53" t="s">
        <v>610</v>
      </c>
      <c r="O414" s="51" t="s">
        <v>219</v>
      </c>
      <c r="P414" s="186" t="str">
        <f>IFERROR(VLOOKUP(C414,TD!$B$33:$F$37,2,0)," ")</f>
        <v>O230117</v>
      </c>
      <c r="Q414" s="186" t="str">
        <f>IFERROR(VLOOKUP(C414,TD!$B$33:$F$37,3,0)," ")</f>
        <v>4599</v>
      </c>
      <c r="R414" s="186">
        <f>IFERROR(VLOOKUP(C414,TD!$B$33:$F$37,4,0)," ")</f>
        <v>20240207</v>
      </c>
      <c r="S414" s="51" t="s">
        <v>185</v>
      </c>
      <c r="T414" s="186" t="str">
        <f>IFERROR(VLOOKUP(S414,TD!$J$34:$K$44,2,0)," ")</f>
        <v>Infraestructura física, mantenimiento y dotación (Sedes construidas, mantenidas reforzadas)</v>
      </c>
      <c r="U414" s="187" t="str">
        <f>CONCATENATE(S414,"-",T414)</f>
        <v>08-Infraestructura física, mantenimiento y dotación (Sedes construidas, mantenidas reforzadas)</v>
      </c>
      <c r="V414" s="51" t="s">
        <v>238</v>
      </c>
      <c r="W414" s="186" t="str">
        <f>IFERROR(VLOOKUP(V414,TD!$N$34:$O$46,2,0)," ")</f>
        <v>Sedes mantenidas</v>
      </c>
      <c r="X414" s="187" t="str">
        <f>CONCATENATE(V414,"_",W414)</f>
        <v>016_Sedes mantenidas</v>
      </c>
      <c r="Y414" s="187" t="str">
        <f>CONCATENATE(U414," ",X414)</f>
        <v>08-Infraestructura física, mantenimiento y dotación (Sedes construidas, mantenidas reforzadas) 016_Sedes mantenidas</v>
      </c>
      <c r="Z414" s="186" t="str">
        <f>CONCATENATE(P414,Q414,R414,S414,V414)</f>
        <v>O23011745992024020708016</v>
      </c>
      <c r="AA414" s="186" t="str">
        <f>IFERROR(VLOOKUP(Y414,TD!$K$47:$L$65,2,0)," ")</f>
        <v>PM/0131/0108/45990160207</v>
      </c>
      <c r="AB414" s="53" t="s">
        <v>138</v>
      </c>
      <c r="AC414" s="188" t="s">
        <v>204</v>
      </c>
    </row>
    <row r="415" spans="2:29" s="28" customFormat="1" ht="84" x14ac:dyDescent="0.35">
      <c r="B415" s="77">
        <v>20250417</v>
      </c>
      <c r="C415" s="50" t="s">
        <v>208</v>
      </c>
      <c r="D415" s="184" t="s">
        <v>166</v>
      </c>
      <c r="E415" s="51" t="s">
        <v>558</v>
      </c>
      <c r="F415" s="184" t="s">
        <v>561</v>
      </c>
      <c r="G415" s="184" t="s">
        <v>156</v>
      </c>
      <c r="H415" s="93" t="s">
        <v>609</v>
      </c>
      <c r="I415" s="185">
        <v>2</v>
      </c>
      <c r="J415" s="185">
        <v>11</v>
      </c>
      <c r="K415" s="52">
        <v>0</v>
      </c>
      <c r="L415" s="53">
        <f>33534424-691144</f>
        <v>32843280</v>
      </c>
      <c r="M415" s="184" t="s">
        <v>464</v>
      </c>
      <c r="N415" s="53" t="s">
        <v>610</v>
      </c>
      <c r="O415" s="51" t="s">
        <v>219</v>
      </c>
      <c r="P415" s="186" t="str">
        <f>IFERROR(VLOOKUP(C415,TD!$B$33:$F$37,2,0)," ")</f>
        <v>O230117</v>
      </c>
      <c r="Q415" s="186" t="str">
        <f>IFERROR(VLOOKUP(C415,TD!$B$33:$F$37,3,0)," ")</f>
        <v>4599</v>
      </c>
      <c r="R415" s="186">
        <f>IFERROR(VLOOKUP(C415,TD!$B$33:$F$37,4,0)," ")</f>
        <v>20240207</v>
      </c>
      <c r="S415" s="51" t="s">
        <v>185</v>
      </c>
      <c r="T415" s="186" t="str">
        <f>IFERROR(VLOOKUP(S415,TD!$J$34:$K$44,2,0)," ")</f>
        <v>Infraestructura física, mantenimiento y dotación (Sedes construidas, mantenidas reforzadas)</v>
      </c>
      <c r="U415" s="187" t="str">
        <f>CONCATENATE(S415,"-",T415)</f>
        <v>08-Infraestructura física, mantenimiento y dotación (Sedes construidas, mantenidas reforzadas)</v>
      </c>
      <c r="V415" s="51" t="s">
        <v>238</v>
      </c>
      <c r="W415" s="186" t="str">
        <f>IFERROR(VLOOKUP(V415,TD!$N$34:$O$46,2,0)," ")</f>
        <v>Sedes mantenidas</v>
      </c>
      <c r="X415" s="187" t="str">
        <f>CONCATENATE(V415,"_",W415)</f>
        <v>016_Sedes mantenidas</v>
      </c>
      <c r="Y415" s="187" t="str">
        <f>CONCATENATE(U415," ",X415)</f>
        <v>08-Infraestructura física, mantenimiento y dotación (Sedes construidas, mantenidas reforzadas) 016_Sedes mantenidas</v>
      </c>
      <c r="Z415" s="186" t="str">
        <f>CONCATENATE(P415,Q415,R415,S415,V415)</f>
        <v>O23011745992024020708016</v>
      </c>
      <c r="AA415" s="186" t="str">
        <f>IFERROR(VLOOKUP(Y415,TD!$K$47:$L$65,2,0)," ")</f>
        <v>PM/0131/0108/45990160207</v>
      </c>
      <c r="AB415" s="53" t="s">
        <v>138</v>
      </c>
      <c r="AC415" s="188" t="s">
        <v>204</v>
      </c>
    </row>
    <row r="416" spans="2:29" s="28" customFormat="1" ht="112" x14ac:dyDescent="0.35">
      <c r="B416" s="77">
        <v>20250418</v>
      </c>
      <c r="C416" s="50" t="s">
        <v>208</v>
      </c>
      <c r="D416" s="184" t="s">
        <v>166</v>
      </c>
      <c r="E416" s="51" t="s">
        <v>558</v>
      </c>
      <c r="F416" s="184" t="s">
        <v>561</v>
      </c>
      <c r="G416" s="184" t="s">
        <v>156</v>
      </c>
      <c r="H416" s="93" t="s">
        <v>609</v>
      </c>
      <c r="I416" s="185">
        <v>2</v>
      </c>
      <c r="J416" s="185">
        <v>11</v>
      </c>
      <c r="K416" s="52">
        <v>0</v>
      </c>
      <c r="L416" s="53">
        <v>29558952</v>
      </c>
      <c r="M416" s="184" t="s">
        <v>464</v>
      </c>
      <c r="N416" s="53" t="s">
        <v>610</v>
      </c>
      <c r="O416" s="51" t="s">
        <v>219</v>
      </c>
      <c r="P416" s="186" t="str">
        <f>IFERROR(VLOOKUP(C416,TD!$B$33:$F$37,2,0)," ")</f>
        <v>O230117</v>
      </c>
      <c r="Q416" s="186" t="str">
        <f>IFERROR(VLOOKUP(C416,TD!$B$33:$F$37,3,0)," ")</f>
        <v>4599</v>
      </c>
      <c r="R416" s="186">
        <f>IFERROR(VLOOKUP(C416,TD!$B$33:$F$37,4,0)," ")</f>
        <v>20240207</v>
      </c>
      <c r="S416" s="51" t="s">
        <v>185</v>
      </c>
      <c r="T416" s="186" t="str">
        <f>IFERROR(VLOOKUP(S416,TD!$J$34:$K$44,2,0)," ")</f>
        <v>Infraestructura física, mantenimiento y dotación (Sedes construidas, mantenidas reforzadas)</v>
      </c>
      <c r="U416" s="187" t="str">
        <f>CONCATENATE(S416,"-",T416)</f>
        <v>08-Infraestructura física, mantenimiento y dotación (Sedes construidas, mantenidas reforzadas)</v>
      </c>
      <c r="V416" s="51" t="s">
        <v>238</v>
      </c>
      <c r="W416" s="186" t="str">
        <f>IFERROR(VLOOKUP(V416,TD!$N$34:$O$46,2,0)," ")</f>
        <v>Sedes mantenidas</v>
      </c>
      <c r="X416" s="187" t="str">
        <f>CONCATENATE(V416,"_",W416)</f>
        <v>016_Sedes mantenidas</v>
      </c>
      <c r="Y416" s="187" t="str">
        <f>CONCATENATE(U416," ",X416)</f>
        <v>08-Infraestructura física, mantenimiento y dotación (Sedes construidas, mantenidas reforzadas) 016_Sedes mantenidas</v>
      </c>
      <c r="Z416" s="186" t="str">
        <f>CONCATENATE(P416,Q416,R416,S416,V416)</f>
        <v>O23011745992024020708016</v>
      </c>
      <c r="AA416" s="186" t="str">
        <f>IFERROR(VLOOKUP(Y416,TD!$K$47:$L$65,2,0)," ")</f>
        <v>PM/0131/0108/45990160207</v>
      </c>
      <c r="AB416" s="53" t="s">
        <v>138</v>
      </c>
      <c r="AC416" s="188" t="s">
        <v>204</v>
      </c>
    </row>
    <row r="417" spans="2:29" s="28" customFormat="1" ht="84" x14ac:dyDescent="0.35">
      <c r="B417" s="77">
        <v>20250419</v>
      </c>
      <c r="C417" s="50" t="s">
        <v>208</v>
      </c>
      <c r="D417" s="184" t="s">
        <v>166</v>
      </c>
      <c r="E417" s="51" t="s">
        <v>558</v>
      </c>
      <c r="F417" s="184" t="s">
        <v>561</v>
      </c>
      <c r="G417" s="184" t="s">
        <v>156</v>
      </c>
      <c r="H417" s="93" t="s">
        <v>609</v>
      </c>
      <c r="I417" s="185">
        <v>2</v>
      </c>
      <c r="J417" s="185">
        <v>11</v>
      </c>
      <c r="K417" s="52">
        <v>0</v>
      </c>
      <c r="L417" s="53">
        <v>29558952</v>
      </c>
      <c r="M417" s="184" t="s">
        <v>464</v>
      </c>
      <c r="N417" s="53" t="s">
        <v>610</v>
      </c>
      <c r="O417" s="51" t="s">
        <v>219</v>
      </c>
      <c r="P417" s="186" t="str">
        <f>IFERROR(VLOOKUP(C417,TD!$B$33:$F$37,2,0)," ")</f>
        <v>O230117</v>
      </c>
      <c r="Q417" s="186" t="str">
        <f>IFERROR(VLOOKUP(C417,TD!$B$33:$F$37,3,0)," ")</f>
        <v>4599</v>
      </c>
      <c r="R417" s="186">
        <f>IFERROR(VLOOKUP(C417,TD!$B$33:$F$37,4,0)," ")</f>
        <v>20240207</v>
      </c>
      <c r="S417" s="51" t="s">
        <v>185</v>
      </c>
      <c r="T417" s="186" t="str">
        <f>IFERROR(VLOOKUP(S417,TD!$J$34:$K$44,2,0)," ")</f>
        <v>Infraestructura física, mantenimiento y dotación (Sedes construidas, mantenidas reforzadas)</v>
      </c>
      <c r="U417" s="187" t="str">
        <f>CONCATENATE(S417,"-",T417)</f>
        <v>08-Infraestructura física, mantenimiento y dotación (Sedes construidas, mantenidas reforzadas)</v>
      </c>
      <c r="V417" s="51" t="s">
        <v>238</v>
      </c>
      <c r="W417" s="186" t="str">
        <f>IFERROR(VLOOKUP(V417,TD!$N$34:$O$46,2,0)," ")</f>
        <v>Sedes mantenidas</v>
      </c>
      <c r="X417" s="187" t="str">
        <f>CONCATENATE(V417,"_",W417)</f>
        <v>016_Sedes mantenidas</v>
      </c>
      <c r="Y417" s="187" t="str">
        <f>CONCATENATE(U417," ",X417)</f>
        <v>08-Infraestructura física, mantenimiento y dotación (Sedes construidas, mantenidas reforzadas) 016_Sedes mantenidas</v>
      </c>
      <c r="Z417" s="186" t="str">
        <f>CONCATENATE(P417,Q417,R417,S417,V417)</f>
        <v>O23011745992024020708016</v>
      </c>
      <c r="AA417" s="186" t="str">
        <f>IFERROR(VLOOKUP(Y417,TD!$K$47:$L$65,2,0)," ")</f>
        <v>PM/0131/0108/45990160207</v>
      </c>
      <c r="AB417" s="53" t="s">
        <v>138</v>
      </c>
      <c r="AC417" s="188" t="s">
        <v>204</v>
      </c>
    </row>
    <row r="418" spans="2:29" s="28" customFormat="1" ht="56" x14ac:dyDescent="0.35">
      <c r="B418" s="127">
        <v>20250420</v>
      </c>
      <c r="C418" s="129" t="s">
        <v>208</v>
      </c>
      <c r="D418" s="189" t="s">
        <v>166</v>
      </c>
      <c r="E418" s="190" t="s">
        <v>558</v>
      </c>
      <c r="F418" s="189" t="s">
        <v>561</v>
      </c>
      <c r="G418" s="189" t="s">
        <v>156</v>
      </c>
      <c r="H418" s="130" t="s">
        <v>609</v>
      </c>
      <c r="I418" s="191">
        <v>2</v>
      </c>
      <c r="J418" s="191">
        <v>11</v>
      </c>
      <c r="K418" s="126">
        <v>0</v>
      </c>
      <c r="L418" s="125">
        <v>27000000</v>
      </c>
      <c r="M418" s="189" t="s">
        <v>464</v>
      </c>
      <c r="N418" s="125" t="s">
        <v>610</v>
      </c>
      <c r="O418" s="190" t="s">
        <v>219</v>
      </c>
      <c r="P418" s="192" t="str">
        <f>IFERROR(VLOOKUP(C418,TD!$B$33:$F$37,2,0)," ")</f>
        <v>O230117</v>
      </c>
      <c r="Q418" s="192" t="str">
        <f>IFERROR(VLOOKUP(C418,TD!$B$33:$F$37,3,0)," ")</f>
        <v>4599</v>
      </c>
      <c r="R418" s="192">
        <f>IFERROR(VLOOKUP(C418,TD!$B$33:$F$37,4,0)," ")</f>
        <v>20240207</v>
      </c>
      <c r="S418" s="190" t="s">
        <v>185</v>
      </c>
      <c r="T418" s="192" t="str">
        <f>IFERROR(VLOOKUP(S418,TD!$J$34:$K$44,2,0)," ")</f>
        <v>Infraestructura física, mantenimiento y dotación (Sedes construidas, mantenidas reforzadas)</v>
      </c>
      <c r="U418" s="187" t="str">
        <f>CONCATENATE(S418,"-",T418)</f>
        <v>08-Infraestructura física, mantenimiento y dotación (Sedes construidas, mantenidas reforzadas)</v>
      </c>
      <c r="V418" s="190" t="s">
        <v>238</v>
      </c>
      <c r="W418" s="192" t="str">
        <f>IFERROR(VLOOKUP(V418,TD!$N$34:$O$46,2,0)," ")</f>
        <v>Sedes mantenidas</v>
      </c>
      <c r="X418" s="187" t="str">
        <f>CONCATENATE(V418,"_",W418)</f>
        <v>016_Sedes mantenidas</v>
      </c>
      <c r="Y418" s="187" t="str">
        <f>CONCATENATE(U418," ",X418)</f>
        <v>08-Infraestructura física, mantenimiento y dotación (Sedes construidas, mantenidas reforzadas) 016_Sedes mantenidas</v>
      </c>
      <c r="Z418" s="192" t="str">
        <f>CONCATENATE(P418,Q418,R418,S418,V418)</f>
        <v>O23011745992024020708016</v>
      </c>
      <c r="AA418" s="192" t="str">
        <f>IFERROR(VLOOKUP(Y418,TD!$K$47:$L$65,2,0)," ")</f>
        <v>PM/0131/0108/45990160207</v>
      </c>
      <c r="AB418" s="125" t="s">
        <v>138</v>
      </c>
      <c r="AC418" s="193" t="s">
        <v>204</v>
      </c>
    </row>
    <row r="419" spans="2:29" s="28" customFormat="1" ht="56" x14ac:dyDescent="0.35">
      <c r="B419" s="77">
        <v>20250421</v>
      </c>
      <c r="C419" s="50" t="s">
        <v>208</v>
      </c>
      <c r="D419" s="184" t="s">
        <v>166</v>
      </c>
      <c r="E419" s="51" t="s">
        <v>558</v>
      </c>
      <c r="F419" s="184" t="s">
        <v>561</v>
      </c>
      <c r="G419" s="184" t="s">
        <v>156</v>
      </c>
      <c r="H419" s="93" t="s">
        <v>609</v>
      </c>
      <c r="I419" s="185">
        <v>2</v>
      </c>
      <c r="J419" s="185">
        <v>11</v>
      </c>
      <c r="K419" s="52">
        <v>0</v>
      </c>
      <c r="L419" s="53">
        <f>33534424-3975472</f>
        <v>29558952</v>
      </c>
      <c r="M419" s="184" t="s">
        <v>464</v>
      </c>
      <c r="N419" s="53" t="s">
        <v>610</v>
      </c>
      <c r="O419" s="51" t="s">
        <v>219</v>
      </c>
      <c r="P419" s="186" t="str">
        <f>IFERROR(VLOOKUP(C419,TD!$B$33:$F$37,2,0)," ")</f>
        <v>O230117</v>
      </c>
      <c r="Q419" s="186" t="str">
        <f>IFERROR(VLOOKUP(C419,TD!$B$33:$F$37,3,0)," ")</f>
        <v>4599</v>
      </c>
      <c r="R419" s="186">
        <f>IFERROR(VLOOKUP(C419,TD!$B$33:$F$37,4,0)," ")</f>
        <v>20240207</v>
      </c>
      <c r="S419" s="51" t="s">
        <v>185</v>
      </c>
      <c r="T419" s="186" t="str">
        <f>IFERROR(VLOOKUP(S419,TD!$J$34:$K$44,2,0)," ")</f>
        <v>Infraestructura física, mantenimiento y dotación (Sedes construidas, mantenidas reforzadas)</v>
      </c>
      <c r="U419" s="187" t="str">
        <f>CONCATENATE(S419,"-",T419)</f>
        <v>08-Infraestructura física, mantenimiento y dotación (Sedes construidas, mantenidas reforzadas)</v>
      </c>
      <c r="V419" s="51" t="s">
        <v>238</v>
      </c>
      <c r="W419" s="186" t="str">
        <f>IFERROR(VLOOKUP(V419,TD!$N$34:$O$46,2,0)," ")</f>
        <v>Sedes mantenidas</v>
      </c>
      <c r="X419" s="187" t="str">
        <f>CONCATENATE(V419,"_",W419)</f>
        <v>016_Sedes mantenidas</v>
      </c>
      <c r="Y419" s="187" t="str">
        <f>CONCATENATE(U419," ",X419)</f>
        <v>08-Infraestructura física, mantenimiento y dotación (Sedes construidas, mantenidas reforzadas) 016_Sedes mantenidas</v>
      </c>
      <c r="Z419" s="186" t="str">
        <f>CONCATENATE(P419,Q419,R419,S419,V419)</f>
        <v>O23011745992024020708016</v>
      </c>
      <c r="AA419" s="186" t="str">
        <f>IFERROR(VLOOKUP(Y419,TD!$K$47:$L$65,2,0)," ")</f>
        <v>PM/0131/0108/45990160207</v>
      </c>
      <c r="AB419" s="53" t="s">
        <v>138</v>
      </c>
      <c r="AC419" s="188" t="s">
        <v>204</v>
      </c>
    </row>
    <row r="420" spans="2:29" s="28" customFormat="1" ht="56" x14ac:dyDescent="0.35">
      <c r="B420" s="77">
        <v>20250422</v>
      </c>
      <c r="C420" s="50" t="s">
        <v>208</v>
      </c>
      <c r="D420" s="184" t="s">
        <v>166</v>
      </c>
      <c r="E420" s="51" t="s">
        <v>558</v>
      </c>
      <c r="F420" s="184" t="s">
        <v>561</v>
      </c>
      <c r="G420" s="184" t="s">
        <v>156</v>
      </c>
      <c r="H420" s="93" t="s">
        <v>609</v>
      </c>
      <c r="I420" s="185">
        <v>2</v>
      </c>
      <c r="J420" s="185">
        <v>11</v>
      </c>
      <c r="K420" s="52">
        <v>0</v>
      </c>
      <c r="L420" s="53">
        <f>33534424-3975472</f>
        <v>29558952</v>
      </c>
      <c r="M420" s="184" t="s">
        <v>464</v>
      </c>
      <c r="N420" s="53" t="s">
        <v>610</v>
      </c>
      <c r="O420" s="51" t="s">
        <v>219</v>
      </c>
      <c r="P420" s="186" t="str">
        <f>IFERROR(VLOOKUP(C420,TD!$B$33:$F$37,2,0)," ")</f>
        <v>O230117</v>
      </c>
      <c r="Q420" s="186" t="str">
        <f>IFERROR(VLOOKUP(C420,TD!$B$33:$F$37,3,0)," ")</f>
        <v>4599</v>
      </c>
      <c r="R420" s="186">
        <f>IFERROR(VLOOKUP(C420,TD!$B$33:$F$37,4,0)," ")</f>
        <v>20240207</v>
      </c>
      <c r="S420" s="51" t="s">
        <v>185</v>
      </c>
      <c r="T420" s="186" t="str">
        <f>IFERROR(VLOOKUP(S420,TD!$J$34:$K$44,2,0)," ")</f>
        <v>Infraestructura física, mantenimiento y dotación (Sedes construidas, mantenidas reforzadas)</v>
      </c>
      <c r="U420" s="187" t="str">
        <f>CONCATENATE(S420,"-",T420)</f>
        <v>08-Infraestructura física, mantenimiento y dotación (Sedes construidas, mantenidas reforzadas)</v>
      </c>
      <c r="V420" s="51" t="s">
        <v>238</v>
      </c>
      <c r="W420" s="186" t="str">
        <f>IFERROR(VLOOKUP(V420,TD!$N$34:$O$46,2,0)," ")</f>
        <v>Sedes mantenidas</v>
      </c>
      <c r="X420" s="187" t="str">
        <f>CONCATENATE(V420,"_",W420)</f>
        <v>016_Sedes mantenidas</v>
      </c>
      <c r="Y420" s="187" t="str">
        <f>CONCATENATE(U420," ",X420)</f>
        <v>08-Infraestructura física, mantenimiento y dotación (Sedes construidas, mantenidas reforzadas) 016_Sedes mantenidas</v>
      </c>
      <c r="Z420" s="186" t="str">
        <f>CONCATENATE(P420,Q420,R420,S420,V420)</f>
        <v>O23011745992024020708016</v>
      </c>
      <c r="AA420" s="186" t="str">
        <f>IFERROR(VLOOKUP(Y420,TD!$K$47:$L$65,2,0)," ")</f>
        <v>PM/0131/0108/45990160207</v>
      </c>
      <c r="AB420" s="53" t="s">
        <v>138</v>
      </c>
      <c r="AC420" s="188" t="s">
        <v>204</v>
      </c>
    </row>
    <row r="421" spans="2:29" s="28" customFormat="1" ht="56" x14ac:dyDescent="0.35">
      <c r="B421" s="77">
        <v>20250423</v>
      </c>
      <c r="C421" s="50" t="s">
        <v>208</v>
      </c>
      <c r="D421" s="184" t="s">
        <v>166</v>
      </c>
      <c r="E421" s="51" t="s">
        <v>558</v>
      </c>
      <c r="F421" s="184" t="s">
        <v>561</v>
      </c>
      <c r="G421" s="184" t="s">
        <v>156</v>
      </c>
      <c r="H421" s="93" t="s">
        <v>609</v>
      </c>
      <c r="I421" s="185">
        <v>2</v>
      </c>
      <c r="J421" s="185">
        <v>11</v>
      </c>
      <c r="K421" s="52">
        <v>0</v>
      </c>
      <c r="L421" s="53">
        <f>33534424-3975472</f>
        <v>29558952</v>
      </c>
      <c r="M421" s="184" t="s">
        <v>464</v>
      </c>
      <c r="N421" s="53" t="s">
        <v>610</v>
      </c>
      <c r="O421" s="51" t="s">
        <v>219</v>
      </c>
      <c r="P421" s="186" t="str">
        <f>IFERROR(VLOOKUP(C421,TD!$B$33:$F$37,2,0)," ")</f>
        <v>O230117</v>
      </c>
      <c r="Q421" s="186" t="str">
        <f>IFERROR(VLOOKUP(C421,TD!$B$33:$F$37,3,0)," ")</f>
        <v>4599</v>
      </c>
      <c r="R421" s="186">
        <f>IFERROR(VLOOKUP(C421,TD!$B$33:$F$37,4,0)," ")</f>
        <v>20240207</v>
      </c>
      <c r="S421" s="51" t="s">
        <v>185</v>
      </c>
      <c r="T421" s="186" t="str">
        <f>IFERROR(VLOOKUP(S421,TD!$J$34:$K$44,2,0)," ")</f>
        <v>Infraestructura física, mantenimiento y dotación (Sedes construidas, mantenidas reforzadas)</v>
      </c>
      <c r="U421" s="187" t="str">
        <f>CONCATENATE(S421,"-",T421)</f>
        <v>08-Infraestructura física, mantenimiento y dotación (Sedes construidas, mantenidas reforzadas)</v>
      </c>
      <c r="V421" s="51" t="s">
        <v>238</v>
      </c>
      <c r="W421" s="186" t="str">
        <f>IFERROR(VLOOKUP(V421,TD!$N$34:$O$46,2,0)," ")</f>
        <v>Sedes mantenidas</v>
      </c>
      <c r="X421" s="187" t="str">
        <f>CONCATENATE(V421,"_",W421)</f>
        <v>016_Sedes mantenidas</v>
      </c>
      <c r="Y421" s="187" t="str">
        <f>CONCATENATE(U421," ",X421)</f>
        <v>08-Infraestructura física, mantenimiento y dotación (Sedes construidas, mantenidas reforzadas) 016_Sedes mantenidas</v>
      </c>
      <c r="Z421" s="186" t="str">
        <f>CONCATENATE(P421,Q421,R421,S421,V421)</f>
        <v>O23011745992024020708016</v>
      </c>
      <c r="AA421" s="186" t="str">
        <f>IFERROR(VLOOKUP(Y421,TD!$K$47:$L$65,2,0)," ")</f>
        <v>PM/0131/0108/45990160207</v>
      </c>
      <c r="AB421" s="53" t="s">
        <v>138</v>
      </c>
      <c r="AC421" s="188" t="s">
        <v>204</v>
      </c>
    </row>
    <row r="422" spans="2:29" s="28" customFormat="1" ht="56" x14ac:dyDescent="0.35">
      <c r="B422" s="127">
        <v>20250424</v>
      </c>
      <c r="C422" s="129" t="s">
        <v>208</v>
      </c>
      <c r="D422" s="189" t="s">
        <v>166</v>
      </c>
      <c r="E422" s="190" t="s">
        <v>558</v>
      </c>
      <c r="F422" s="189" t="s">
        <v>563</v>
      </c>
      <c r="G422" s="189" t="s">
        <v>155</v>
      </c>
      <c r="H422" s="130" t="s">
        <v>609</v>
      </c>
      <c r="I422" s="191">
        <v>2</v>
      </c>
      <c r="J422" s="191">
        <v>11</v>
      </c>
      <c r="K422" s="126">
        <v>0</v>
      </c>
      <c r="L422" s="125">
        <v>64000000</v>
      </c>
      <c r="M422" s="189" t="s">
        <v>464</v>
      </c>
      <c r="N422" s="125" t="s">
        <v>610</v>
      </c>
      <c r="O422" s="190" t="s">
        <v>219</v>
      </c>
      <c r="P422" s="192" t="str">
        <f>IFERROR(VLOOKUP(C422,TD!$B$33:$F$37,2,0)," ")</f>
        <v>O230117</v>
      </c>
      <c r="Q422" s="192" t="str">
        <f>IFERROR(VLOOKUP(C422,TD!$B$33:$F$37,3,0)," ")</f>
        <v>4599</v>
      </c>
      <c r="R422" s="192">
        <f>IFERROR(VLOOKUP(C422,TD!$B$33:$F$37,4,0)," ")</f>
        <v>20240207</v>
      </c>
      <c r="S422" s="190" t="s">
        <v>185</v>
      </c>
      <c r="T422" s="192" t="str">
        <f>IFERROR(VLOOKUP(S422,TD!$J$34:$K$44,2,0)," ")</f>
        <v>Infraestructura física, mantenimiento y dotación (Sedes construidas, mantenidas reforzadas)</v>
      </c>
      <c r="U422" s="187" t="str">
        <f>CONCATENATE(S422,"-",T422)</f>
        <v>08-Infraestructura física, mantenimiento y dotación (Sedes construidas, mantenidas reforzadas)</v>
      </c>
      <c r="V422" s="190" t="s">
        <v>238</v>
      </c>
      <c r="W422" s="192" t="str">
        <f>IFERROR(VLOOKUP(V422,TD!$N$34:$O$46,2,0)," ")</f>
        <v>Sedes mantenidas</v>
      </c>
      <c r="X422" s="187" t="str">
        <f>CONCATENATE(V422,"_",W422)</f>
        <v>016_Sedes mantenidas</v>
      </c>
      <c r="Y422" s="187" t="str">
        <f>CONCATENATE(U422," ",X422)</f>
        <v>08-Infraestructura física, mantenimiento y dotación (Sedes construidas, mantenidas reforzadas) 016_Sedes mantenidas</v>
      </c>
      <c r="Z422" s="192" t="str">
        <f>CONCATENATE(P422,Q422,R422,S422,V422)</f>
        <v>O23011745992024020708016</v>
      </c>
      <c r="AA422" s="192" t="str">
        <f>IFERROR(VLOOKUP(Y422,TD!$K$47:$L$65,2,0)," ")</f>
        <v>PM/0131/0108/45990160207</v>
      </c>
      <c r="AB422" s="125" t="s">
        <v>138</v>
      </c>
      <c r="AC422" s="193" t="s">
        <v>204</v>
      </c>
    </row>
    <row r="423" spans="2:29" s="28" customFormat="1" ht="56" x14ac:dyDescent="0.35">
      <c r="B423" s="77">
        <v>20250425</v>
      </c>
      <c r="C423" s="50" t="s">
        <v>208</v>
      </c>
      <c r="D423" s="184" t="s">
        <v>166</v>
      </c>
      <c r="E423" s="51" t="s">
        <v>558</v>
      </c>
      <c r="F423" s="184" t="s">
        <v>564</v>
      </c>
      <c r="G423" s="184" t="s">
        <v>156</v>
      </c>
      <c r="H423" s="93" t="s">
        <v>609</v>
      </c>
      <c r="I423" s="185">
        <v>2</v>
      </c>
      <c r="J423" s="185">
        <v>11</v>
      </c>
      <c r="K423" s="52">
        <v>0</v>
      </c>
      <c r="L423" s="53">
        <f>33534424-3506279</f>
        <v>30028145</v>
      </c>
      <c r="M423" s="184" t="s">
        <v>464</v>
      </c>
      <c r="N423" s="53" t="s">
        <v>610</v>
      </c>
      <c r="O423" s="51" t="s">
        <v>219</v>
      </c>
      <c r="P423" s="186" t="str">
        <f>IFERROR(VLOOKUP(C423,TD!$B$33:$F$37,2,0)," ")</f>
        <v>O230117</v>
      </c>
      <c r="Q423" s="186" t="str">
        <f>IFERROR(VLOOKUP(C423,TD!$B$33:$F$37,3,0)," ")</f>
        <v>4599</v>
      </c>
      <c r="R423" s="186">
        <f>IFERROR(VLOOKUP(C423,TD!$B$33:$F$37,4,0)," ")</f>
        <v>20240207</v>
      </c>
      <c r="S423" s="51" t="s">
        <v>185</v>
      </c>
      <c r="T423" s="186" t="str">
        <f>IFERROR(VLOOKUP(S423,TD!$J$34:$K$44,2,0)," ")</f>
        <v>Infraestructura física, mantenimiento y dotación (Sedes construidas, mantenidas reforzadas)</v>
      </c>
      <c r="U423" s="187" t="str">
        <f>CONCATENATE(S423,"-",T423)</f>
        <v>08-Infraestructura física, mantenimiento y dotación (Sedes construidas, mantenidas reforzadas)</v>
      </c>
      <c r="V423" s="51" t="s">
        <v>238</v>
      </c>
      <c r="W423" s="186" t="str">
        <f>IFERROR(VLOOKUP(V423,TD!$N$34:$O$46,2,0)," ")</f>
        <v>Sedes mantenidas</v>
      </c>
      <c r="X423" s="187" t="str">
        <f>CONCATENATE(V423,"_",W423)</f>
        <v>016_Sedes mantenidas</v>
      </c>
      <c r="Y423" s="187" t="str">
        <f>CONCATENATE(U423," ",X423)</f>
        <v>08-Infraestructura física, mantenimiento y dotación (Sedes construidas, mantenidas reforzadas) 016_Sedes mantenidas</v>
      </c>
      <c r="Z423" s="186" t="str">
        <f>CONCATENATE(P423,Q423,R423,S423,V423)</f>
        <v>O23011745992024020708016</v>
      </c>
      <c r="AA423" s="186" t="str">
        <f>IFERROR(VLOOKUP(Y423,TD!$K$47:$L$65,2,0)," ")</f>
        <v>PM/0131/0108/45990160207</v>
      </c>
      <c r="AB423" s="53" t="s">
        <v>138</v>
      </c>
      <c r="AC423" s="188" t="s">
        <v>204</v>
      </c>
    </row>
    <row r="424" spans="2:29" s="28" customFormat="1" ht="56" x14ac:dyDescent="0.35">
      <c r="B424" s="77">
        <v>20250426</v>
      </c>
      <c r="C424" s="50" t="s">
        <v>208</v>
      </c>
      <c r="D424" s="184" t="s">
        <v>166</v>
      </c>
      <c r="E424" s="51" t="s">
        <v>558</v>
      </c>
      <c r="F424" s="184" t="s">
        <v>565</v>
      </c>
      <c r="G424" s="184" t="s">
        <v>155</v>
      </c>
      <c r="H424" s="93" t="s">
        <v>609</v>
      </c>
      <c r="I424" s="185">
        <v>2</v>
      </c>
      <c r="J424" s="185">
        <v>11</v>
      </c>
      <c r="K424" s="52">
        <v>0</v>
      </c>
      <c r="L424" s="53">
        <f>44000000-2711304</f>
        <v>41288696</v>
      </c>
      <c r="M424" s="184" t="s">
        <v>464</v>
      </c>
      <c r="N424" s="53" t="s">
        <v>610</v>
      </c>
      <c r="O424" s="51" t="s">
        <v>219</v>
      </c>
      <c r="P424" s="186" t="str">
        <f>IFERROR(VLOOKUP(C424,TD!$B$33:$F$37,2,0)," ")</f>
        <v>O230117</v>
      </c>
      <c r="Q424" s="186" t="str">
        <f>IFERROR(VLOOKUP(C424,TD!$B$33:$F$37,3,0)," ")</f>
        <v>4599</v>
      </c>
      <c r="R424" s="186">
        <f>IFERROR(VLOOKUP(C424,TD!$B$33:$F$37,4,0)," ")</f>
        <v>20240207</v>
      </c>
      <c r="S424" s="51" t="s">
        <v>185</v>
      </c>
      <c r="T424" s="186" t="str">
        <f>IFERROR(VLOOKUP(S424,TD!$J$34:$K$44,2,0)," ")</f>
        <v>Infraestructura física, mantenimiento y dotación (Sedes construidas, mantenidas reforzadas)</v>
      </c>
      <c r="U424" s="187" t="str">
        <f>CONCATENATE(S424,"-",T424)</f>
        <v>08-Infraestructura física, mantenimiento y dotación (Sedes construidas, mantenidas reforzadas)</v>
      </c>
      <c r="V424" s="51" t="s">
        <v>238</v>
      </c>
      <c r="W424" s="186" t="str">
        <f>IFERROR(VLOOKUP(V424,TD!$N$34:$O$46,2,0)," ")</f>
        <v>Sedes mantenidas</v>
      </c>
      <c r="X424" s="187" t="str">
        <f>CONCATENATE(V424,"_",W424)</f>
        <v>016_Sedes mantenidas</v>
      </c>
      <c r="Y424" s="187" t="str">
        <f>CONCATENATE(U424," ",X424)</f>
        <v>08-Infraestructura física, mantenimiento y dotación (Sedes construidas, mantenidas reforzadas) 016_Sedes mantenidas</v>
      </c>
      <c r="Z424" s="186" t="str">
        <f>CONCATENATE(P424,Q424,R424,S424,V424)</f>
        <v>O23011745992024020708016</v>
      </c>
      <c r="AA424" s="186" t="str">
        <f>IFERROR(VLOOKUP(Y424,TD!$K$47:$L$65,2,0)," ")</f>
        <v>PM/0131/0108/45990160207</v>
      </c>
      <c r="AB424" s="53" t="s">
        <v>138</v>
      </c>
      <c r="AC424" s="188" t="s">
        <v>204</v>
      </c>
    </row>
    <row r="425" spans="2:29" s="28" customFormat="1" ht="56" x14ac:dyDescent="0.35">
      <c r="B425" s="77">
        <v>20250427</v>
      </c>
      <c r="C425" s="50" t="s">
        <v>208</v>
      </c>
      <c r="D425" s="184" t="s">
        <v>166</v>
      </c>
      <c r="E425" s="51" t="s">
        <v>558</v>
      </c>
      <c r="F425" s="184" t="s">
        <v>566</v>
      </c>
      <c r="G425" s="184" t="s">
        <v>156</v>
      </c>
      <c r="H425" s="93" t="s">
        <v>609</v>
      </c>
      <c r="I425" s="185">
        <v>2</v>
      </c>
      <c r="J425" s="185">
        <v>11</v>
      </c>
      <c r="K425" s="52">
        <v>0</v>
      </c>
      <c r="L425" s="53">
        <f>33534424-3975472</f>
        <v>29558952</v>
      </c>
      <c r="M425" s="184" t="s">
        <v>464</v>
      </c>
      <c r="N425" s="53" t="s">
        <v>610</v>
      </c>
      <c r="O425" s="51" t="s">
        <v>219</v>
      </c>
      <c r="P425" s="186" t="str">
        <f>IFERROR(VLOOKUP(C425,TD!$B$33:$F$37,2,0)," ")</f>
        <v>O230117</v>
      </c>
      <c r="Q425" s="186" t="str">
        <f>IFERROR(VLOOKUP(C425,TD!$B$33:$F$37,3,0)," ")</f>
        <v>4599</v>
      </c>
      <c r="R425" s="186">
        <f>IFERROR(VLOOKUP(C425,TD!$B$33:$F$37,4,0)," ")</f>
        <v>20240207</v>
      </c>
      <c r="S425" s="51" t="s">
        <v>185</v>
      </c>
      <c r="T425" s="186" t="str">
        <f>IFERROR(VLOOKUP(S425,TD!$J$34:$K$44,2,0)," ")</f>
        <v>Infraestructura física, mantenimiento y dotación (Sedes construidas, mantenidas reforzadas)</v>
      </c>
      <c r="U425" s="187" t="str">
        <f>CONCATENATE(S425,"-",T425)</f>
        <v>08-Infraestructura física, mantenimiento y dotación (Sedes construidas, mantenidas reforzadas)</v>
      </c>
      <c r="V425" s="51" t="s">
        <v>238</v>
      </c>
      <c r="W425" s="186" t="str">
        <f>IFERROR(VLOOKUP(V425,TD!$N$34:$O$46,2,0)," ")</f>
        <v>Sedes mantenidas</v>
      </c>
      <c r="X425" s="187" t="str">
        <f>CONCATENATE(V425,"_",W425)</f>
        <v>016_Sedes mantenidas</v>
      </c>
      <c r="Y425" s="187" t="str">
        <f>CONCATENATE(U425," ",X425)</f>
        <v>08-Infraestructura física, mantenimiento y dotación (Sedes construidas, mantenidas reforzadas) 016_Sedes mantenidas</v>
      </c>
      <c r="Z425" s="186" t="str">
        <f>CONCATENATE(P425,Q425,R425,S425,V425)</f>
        <v>O23011745992024020708016</v>
      </c>
      <c r="AA425" s="186" t="str">
        <f>IFERROR(VLOOKUP(Y425,TD!$K$47:$L$65,2,0)," ")</f>
        <v>PM/0131/0108/45990160207</v>
      </c>
      <c r="AB425" s="53" t="s">
        <v>138</v>
      </c>
      <c r="AC425" s="188" t="s">
        <v>204</v>
      </c>
    </row>
    <row r="426" spans="2:29" s="28" customFormat="1" ht="70" x14ac:dyDescent="0.35">
      <c r="B426" s="77">
        <v>20250428</v>
      </c>
      <c r="C426" s="50" t="s">
        <v>208</v>
      </c>
      <c r="D426" s="184" t="s">
        <v>166</v>
      </c>
      <c r="E426" s="51" t="s">
        <v>558</v>
      </c>
      <c r="F426" s="184" t="s">
        <v>611</v>
      </c>
      <c r="G426" s="184" t="s">
        <v>155</v>
      </c>
      <c r="H426" s="93" t="s">
        <v>609</v>
      </c>
      <c r="I426" s="185">
        <v>2</v>
      </c>
      <c r="J426" s="185">
        <v>11</v>
      </c>
      <c r="K426" s="52">
        <v>0</v>
      </c>
      <c r="L426" s="53">
        <f>84613760-18256931</f>
        <v>66356829</v>
      </c>
      <c r="M426" s="184" t="s">
        <v>464</v>
      </c>
      <c r="N426" s="53" t="s">
        <v>610</v>
      </c>
      <c r="O426" s="51" t="s">
        <v>219</v>
      </c>
      <c r="P426" s="186" t="str">
        <f>IFERROR(VLOOKUP(C426,TD!$B$33:$F$37,2,0)," ")</f>
        <v>O230117</v>
      </c>
      <c r="Q426" s="186" t="str">
        <f>IFERROR(VLOOKUP(C426,TD!$B$33:$F$37,3,0)," ")</f>
        <v>4599</v>
      </c>
      <c r="R426" s="186">
        <f>IFERROR(VLOOKUP(C426,TD!$B$33:$F$37,4,0)," ")</f>
        <v>20240207</v>
      </c>
      <c r="S426" s="51" t="s">
        <v>185</v>
      </c>
      <c r="T426" s="186" t="str">
        <f>IFERROR(VLOOKUP(S426,TD!$J$34:$K$44,2,0)," ")</f>
        <v>Infraestructura física, mantenimiento y dotación (Sedes construidas, mantenidas reforzadas)</v>
      </c>
      <c r="U426" s="187" t="str">
        <f>CONCATENATE(S426,"-",T426)</f>
        <v>08-Infraestructura física, mantenimiento y dotación (Sedes construidas, mantenidas reforzadas)</v>
      </c>
      <c r="V426" s="51" t="s">
        <v>238</v>
      </c>
      <c r="W426" s="186" t="str">
        <f>IFERROR(VLOOKUP(V426,TD!$N$34:$O$46,2,0)," ")</f>
        <v>Sedes mantenidas</v>
      </c>
      <c r="X426" s="187" t="str">
        <f>CONCATENATE(V426,"_",W426)</f>
        <v>016_Sedes mantenidas</v>
      </c>
      <c r="Y426" s="187" t="str">
        <f>CONCATENATE(U426," ",X426)</f>
        <v>08-Infraestructura física, mantenimiento y dotación (Sedes construidas, mantenidas reforzadas) 016_Sedes mantenidas</v>
      </c>
      <c r="Z426" s="186" t="str">
        <f>CONCATENATE(P426,Q426,R426,S426,V426)</f>
        <v>O23011745992024020708016</v>
      </c>
      <c r="AA426" s="186" t="str">
        <f>IFERROR(VLOOKUP(Y426,TD!$K$47:$L$65,2,0)," ")</f>
        <v>PM/0131/0108/45990160207</v>
      </c>
      <c r="AB426" s="53" t="s">
        <v>138</v>
      </c>
      <c r="AC426" s="188" t="s">
        <v>204</v>
      </c>
    </row>
    <row r="427" spans="2:29" s="28" customFormat="1" ht="56" x14ac:dyDescent="0.35">
      <c r="B427" s="77">
        <v>20250429</v>
      </c>
      <c r="C427" s="50" t="s">
        <v>208</v>
      </c>
      <c r="D427" s="184" t="s">
        <v>166</v>
      </c>
      <c r="E427" s="51" t="s">
        <v>558</v>
      </c>
      <c r="F427" s="184" t="s">
        <v>720</v>
      </c>
      <c r="G427" s="184" t="s">
        <v>155</v>
      </c>
      <c r="H427" s="93" t="s">
        <v>609</v>
      </c>
      <c r="I427" s="185">
        <v>2</v>
      </c>
      <c r="J427" s="185">
        <v>11</v>
      </c>
      <c r="K427" s="52">
        <v>0</v>
      </c>
      <c r="L427" s="53">
        <v>56000000</v>
      </c>
      <c r="M427" s="184" t="s">
        <v>464</v>
      </c>
      <c r="N427" s="53" t="s">
        <v>610</v>
      </c>
      <c r="O427" s="51" t="s">
        <v>219</v>
      </c>
      <c r="P427" s="186" t="str">
        <f>IFERROR(VLOOKUP(C427,TD!$B$33:$F$37,2,0)," ")</f>
        <v>O230117</v>
      </c>
      <c r="Q427" s="186" t="str">
        <f>IFERROR(VLOOKUP(C427,TD!$B$33:$F$37,3,0)," ")</f>
        <v>4599</v>
      </c>
      <c r="R427" s="186">
        <f>IFERROR(VLOOKUP(C427,TD!$B$33:$F$37,4,0)," ")</f>
        <v>20240207</v>
      </c>
      <c r="S427" s="51" t="s">
        <v>185</v>
      </c>
      <c r="T427" s="186" t="str">
        <f>IFERROR(VLOOKUP(S427,TD!$J$34:$K$44,2,0)," ")</f>
        <v>Infraestructura física, mantenimiento y dotación (Sedes construidas, mantenidas reforzadas)</v>
      </c>
      <c r="U427" s="187" t="str">
        <f>CONCATENATE(S427,"-",T427)</f>
        <v>08-Infraestructura física, mantenimiento y dotación (Sedes construidas, mantenidas reforzadas)</v>
      </c>
      <c r="V427" s="51" t="s">
        <v>238</v>
      </c>
      <c r="W427" s="186" t="str">
        <f>IFERROR(VLOOKUP(V427,TD!$N$34:$O$46,2,0)," ")</f>
        <v>Sedes mantenidas</v>
      </c>
      <c r="X427" s="187" t="str">
        <f>CONCATENATE(V427,"_",W427)</f>
        <v>016_Sedes mantenidas</v>
      </c>
      <c r="Y427" s="187" t="str">
        <f>CONCATENATE(U427," ",X427)</f>
        <v>08-Infraestructura física, mantenimiento y dotación (Sedes construidas, mantenidas reforzadas) 016_Sedes mantenidas</v>
      </c>
      <c r="Z427" s="186" t="str">
        <f>CONCATENATE(P427,Q427,R427,S427,V427)</f>
        <v>O23011745992024020708016</v>
      </c>
      <c r="AA427" s="186" t="str">
        <f>IFERROR(VLOOKUP(Y427,TD!$K$47:$L$65,2,0)," ")</f>
        <v>PM/0131/0108/45990160207</v>
      </c>
      <c r="AB427" s="53" t="s">
        <v>120</v>
      </c>
      <c r="AC427" s="188" t="s">
        <v>204</v>
      </c>
    </row>
    <row r="428" spans="2:29" s="28" customFormat="1" ht="56" x14ac:dyDescent="0.35">
      <c r="B428" s="77">
        <v>20250430</v>
      </c>
      <c r="C428" s="50" t="s">
        <v>208</v>
      </c>
      <c r="D428" s="184" t="s">
        <v>166</v>
      </c>
      <c r="E428" s="51" t="s">
        <v>558</v>
      </c>
      <c r="F428" s="184" t="s">
        <v>568</v>
      </c>
      <c r="G428" s="184" t="s">
        <v>156</v>
      </c>
      <c r="H428" s="93" t="s">
        <v>609</v>
      </c>
      <c r="I428" s="185">
        <v>2</v>
      </c>
      <c r="J428" s="185">
        <v>11</v>
      </c>
      <c r="K428" s="52">
        <v>0</v>
      </c>
      <c r="L428" s="53">
        <f>33534424-8198173</f>
        <v>25336251</v>
      </c>
      <c r="M428" s="184" t="s">
        <v>464</v>
      </c>
      <c r="N428" s="53" t="s">
        <v>610</v>
      </c>
      <c r="O428" s="51" t="s">
        <v>219</v>
      </c>
      <c r="P428" s="186" t="str">
        <f>IFERROR(VLOOKUP(C428,TD!$B$33:$F$37,2,0)," ")</f>
        <v>O230117</v>
      </c>
      <c r="Q428" s="186" t="str">
        <f>IFERROR(VLOOKUP(C428,TD!$B$33:$F$37,3,0)," ")</f>
        <v>4599</v>
      </c>
      <c r="R428" s="186">
        <f>IFERROR(VLOOKUP(C428,TD!$B$33:$F$37,4,0)," ")</f>
        <v>20240207</v>
      </c>
      <c r="S428" s="51" t="s">
        <v>185</v>
      </c>
      <c r="T428" s="186" t="str">
        <f>IFERROR(VLOOKUP(S428,TD!$J$34:$K$44,2,0)," ")</f>
        <v>Infraestructura física, mantenimiento y dotación (Sedes construidas, mantenidas reforzadas)</v>
      </c>
      <c r="U428" s="187" t="str">
        <f>CONCATENATE(S428,"-",T428)</f>
        <v>08-Infraestructura física, mantenimiento y dotación (Sedes construidas, mantenidas reforzadas)</v>
      </c>
      <c r="V428" s="51" t="s">
        <v>238</v>
      </c>
      <c r="W428" s="186" t="str">
        <f>IFERROR(VLOOKUP(V428,TD!$N$34:$O$46,2,0)," ")</f>
        <v>Sedes mantenidas</v>
      </c>
      <c r="X428" s="187" t="str">
        <f>CONCATENATE(V428,"_",W428)</f>
        <v>016_Sedes mantenidas</v>
      </c>
      <c r="Y428" s="187" t="str">
        <f>CONCATENATE(U428," ",X428)</f>
        <v>08-Infraestructura física, mantenimiento y dotación (Sedes construidas, mantenidas reforzadas) 016_Sedes mantenidas</v>
      </c>
      <c r="Z428" s="186" t="str">
        <f>CONCATENATE(P428,Q428,R428,S428,V428)</f>
        <v>O23011745992024020708016</v>
      </c>
      <c r="AA428" s="186" t="str">
        <f>IFERROR(VLOOKUP(Y428,TD!$K$47:$L$65,2,0)," ")</f>
        <v>PM/0131/0108/45990160207</v>
      </c>
      <c r="AB428" s="53" t="s">
        <v>138</v>
      </c>
      <c r="AC428" s="188" t="s">
        <v>204</v>
      </c>
    </row>
    <row r="429" spans="2:29" s="28" customFormat="1" ht="56" x14ac:dyDescent="0.35">
      <c r="B429" s="77">
        <v>20250431</v>
      </c>
      <c r="C429" s="50" t="s">
        <v>208</v>
      </c>
      <c r="D429" s="184" t="s">
        <v>166</v>
      </c>
      <c r="E429" s="51" t="s">
        <v>558</v>
      </c>
      <c r="F429" s="184" t="s">
        <v>568</v>
      </c>
      <c r="G429" s="184" t="s">
        <v>156</v>
      </c>
      <c r="H429" s="93" t="s">
        <v>609</v>
      </c>
      <c r="I429" s="185">
        <v>2</v>
      </c>
      <c r="J429" s="185">
        <v>11</v>
      </c>
      <c r="K429" s="52">
        <v>0</v>
      </c>
      <c r="L429" s="53">
        <f>33534424-8198173</f>
        <v>25336251</v>
      </c>
      <c r="M429" s="184" t="s">
        <v>464</v>
      </c>
      <c r="N429" s="53" t="s">
        <v>610</v>
      </c>
      <c r="O429" s="51" t="s">
        <v>219</v>
      </c>
      <c r="P429" s="186" t="str">
        <f>IFERROR(VLOOKUP(C429,TD!$B$33:$F$37,2,0)," ")</f>
        <v>O230117</v>
      </c>
      <c r="Q429" s="186" t="str">
        <f>IFERROR(VLOOKUP(C429,TD!$B$33:$F$37,3,0)," ")</f>
        <v>4599</v>
      </c>
      <c r="R429" s="186">
        <f>IFERROR(VLOOKUP(C429,TD!$B$33:$F$37,4,0)," ")</f>
        <v>20240207</v>
      </c>
      <c r="S429" s="51" t="s">
        <v>185</v>
      </c>
      <c r="T429" s="186" t="str">
        <f>IFERROR(VLOOKUP(S429,TD!$J$34:$K$44,2,0)," ")</f>
        <v>Infraestructura física, mantenimiento y dotación (Sedes construidas, mantenidas reforzadas)</v>
      </c>
      <c r="U429" s="187" t="str">
        <f>CONCATENATE(S429,"-",T429)</f>
        <v>08-Infraestructura física, mantenimiento y dotación (Sedes construidas, mantenidas reforzadas)</v>
      </c>
      <c r="V429" s="51" t="s">
        <v>238</v>
      </c>
      <c r="W429" s="186" t="str">
        <f>IFERROR(VLOOKUP(V429,TD!$N$34:$O$46,2,0)," ")</f>
        <v>Sedes mantenidas</v>
      </c>
      <c r="X429" s="187" t="str">
        <f>CONCATENATE(V429,"_",W429)</f>
        <v>016_Sedes mantenidas</v>
      </c>
      <c r="Y429" s="187" t="str">
        <f>CONCATENATE(U429," ",X429)</f>
        <v>08-Infraestructura física, mantenimiento y dotación (Sedes construidas, mantenidas reforzadas) 016_Sedes mantenidas</v>
      </c>
      <c r="Z429" s="186" t="str">
        <f>CONCATENATE(P429,Q429,R429,S429,V429)</f>
        <v>O23011745992024020708016</v>
      </c>
      <c r="AA429" s="186" t="str">
        <f>IFERROR(VLOOKUP(Y429,TD!$K$47:$L$65,2,0)," ")</f>
        <v>PM/0131/0108/45990160207</v>
      </c>
      <c r="AB429" s="53" t="s">
        <v>138</v>
      </c>
      <c r="AC429" s="188" t="s">
        <v>204</v>
      </c>
    </row>
    <row r="430" spans="2:29" s="28" customFormat="1" ht="56" x14ac:dyDescent="0.35">
      <c r="B430" s="77">
        <v>20250432</v>
      </c>
      <c r="C430" s="50" t="s">
        <v>208</v>
      </c>
      <c r="D430" s="184" t="s">
        <v>166</v>
      </c>
      <c r="E430" s="51" t="s">
        <v>558</v>
      </c>
      <c r="F430" s="184" t="s">
        <v>568</v>
      </c>
      <c r="G430" s="184" t="s">
        <v>156</v>
      </c>
      <c r="H430" s="93" t="s">
        <v>609</v>
      </c>
      <c r="I430" s="185">
        <v>2</v>
      </c>
      <c r="J430" s="185">
        <v>11</v>
      </c>
      <c r="K430" s="52">
        <v>0</v>
      </c>
      <c r="L430" s="53">
        <f>33534424-8198173</f>
        <v>25336251</v>
      </c>
      <c r="M430" s="184" t="s">
        <v>464</v>
      </c>
      <c r="N430" s="53" t="s">
        <v>610</v>
      </c>
      <c r="O430" s="51" t="s">
        <v>219</v>
      </c>
      <c r="P430" s="186" t="str">
        <f>IFERROR(VLOOKUP(C430,TD!$B$33:$F$37,2,0)," ")</f>
        <v>O230117</v>
      </c>
      <c r="Q430" s="186" t="str">
        <f>IFERROR(VLOOKUP(C430,TD!$B$33:$F$37,3,0)," ")</f>
        <v>4599</v>
      </c>
      <c r="R430" s="186">
        <f>IFERROR(VLOOKUP(C430,TD!$B$33:$F$37,4,0)," ")</f>
        <v>20240207</v>
      </c>
      <c r="S430" s="51" t="s">
        <v>185</v>
      </c>
      <c r="T430" s="186" t="str">
        <f>IFERROR(VLOOKUP(S430,TD!$J$34:$K$44,2,0)," ")</f>
        <v>Infraestructura física, mantenimiento y dotación (Sedes construidas, mantenidas reforzadas)</v>
      </c>
      <c r="U430" s="187" t="str">
        <f>CONCATENATE(S430,"-",T430)</f>
        <v>08-Infraestructura física, mantenimiento y dotación (Sedes construidas, mantenidas reforzadas)</v>
      </c>
      <c r="V430" s="51" t="s">
        <v>238</v>
      </c>
      <c r="W430" s="186" t="str">
        <f>IFERROR(VLOOKUP(V430,TD!$N$34:$O$46,2,0)," ")</f>
        <v>Sedes mantenidas</v>
      </c>
      <c r="X430" s="187" t="str">
        <f>CONCATENATE(V430,"_",W430)</f>
        <v>016_Sedes mantenidas</v>
      </c>
      <c r="Y430" s="187" t="str">
        <f>CONCATENATE(U430," ",X430)</f>
        <v>08-Infraestructura física, mantenimiento y dotación (Sedes construidas, mantenidas reforzadas) 016_Sedes mantenidas</v>
      </c>
      <c r="Z430" s="186" t="str">
        <f>CONCATENATE(P430,Q430,R430,S430,V430)</f>
        <v>O23011745992024020708016</v>
      </c>
      <c r="AA430" s="186" t="str">
        <f>IFERROR(VLOOKUP(Y430,TD!$K$47:$L$65,2,0)," ")</f>
        <v>PM/0131/0108/45990160207</v>
      </c>
      <c r="AB430" s="53" t="s">
        <v>138</v>
      </c>
      <c r="AC430" s="188" t="s">
        <v>204</v>
      </c>
    </row>
    <row r="431" spans="2:29" s="28" customFormat="1" ht="56" x14ac:dyDescent="0.35">
      <c r="B431" s="77">
        <v>20250433</v>
      </c>
      <c r="C431" s="50" t="s">
        <v>208</v>
      </c>
      <c r="D431" s="184" t="s">
        <v>166</v>
      </c>
      <c r="E431" s="51" t="s">
        <v>558</v>
      </c>
      <c r="F431" s="184" t="s">
        <v>568</v>
      </c>
      <c r="G431" s="184" t="s">
        <v>156</v>
      </c>
      <c r="H431" s="93" t="s">
        <v>609</v>
      </c>
      <c r="I431" s="185">
        <v>2</v>
      </c>
      <c r="J431" s="185">
        <v>11</v>
      </c>
      <c r="K431" s="52">
        <v>0</v>
      </c>
      <c r="L431" s="53">
        <f>33534424-8198173</f>
        <v>25336251</v>
      </c>
      <c r="M431" s="184" t="s">
        <v>464</v>
      </c>
      <c r="N431" s="53" t="s">
        <v>610</v>
      </c>
      <c r="O431" s="51" t="s">
        <v>219</v>
      </c>
      <c r="P431" s="186" t="str">
        <f>IFERROR(VLOOKUP(C431,TD!$B$33:$F$37,2,0)," ")</f>
        <v>O230117</v>
      </c>
      <c r="Q431" s="186" t="str">
        <f>IFERROR(VLOOKUP(C431,TD!$B$33:$F$37,3,0)," ")</f>
        <v>4599</v>
      </c>
      <c r="R431" s="186">
        <f>IFERROR(VLOOKUP(C431,TD!$B$33:$F$37,4,0)," ")</f>
        <v>20240207</v>
      </c>
      <c r="S431" s="51" t="s">
        <v>185</v>
      </c>
      <c r="T431" s="186" t="str">
        <f>IFERROR(VLOOKUP(S431,TD!$J$34:$K$44,2,0)," ")</f>
        <v>Infraestructura física, mantenimiento y dotación (Sedes construidas, mantenidas reforzadas)</v>
      </c>
      <c r="U431" s="187" t="str">
        <f>CONCATENATE(S431,"-",T431)</f>
        <v>08-Infraestructura física, mantenimiento y dotación (Sedes construidas, mantenidas reforzadas)</v>
      </c>
      <c r="V431" s="51" t="s">
        <v>238</v>
      </c>
      <c r="W431" s="186" t="str">
        <f>IFERROR(VLOOKUP(V431,TD!$N$34:$O$46,2,0)," ")</f>
        <v>Sedes mantenidas</v>
      </c>
      <c r="X431" s="187" t="str">
        <f>CONCATENATE(V431,"_",W431)</f>
        <v>016_Sedes mantenidas</v>
      </c>
      <c r="Y431" s="187" t="str">
        <f>CONCATENATE(U431," ",X431)</f>
        <v>08-Infraestructura física, mantenimiento y dotación (Sedes construidas, mantenidas reforzadas) 016_Sedes mantenidas</v>
      </c>
      <c r="Z431" s="186" t="str">
        <f>CONCATENATE(P431,Q431,R431,S431,V431)</f>
        <v>O23011745992024020708016</v>
      </c>
      <c r="AA431" s="186" t="str">
        <f>IFERROR(VLOOKUP(Y431,TD!$K$47:$L$65,2,0)," ")</f>
        <v>PM/0131/0108/45990160207</v>
      </c>
      <c r="AB431" s="53" t="s">
        <v>138</v>
      </c>
      <c r="AC431" s="188" t="s">
        <v>204</v>
      </c>
    </row>
    <row r="432" spans="2:29" s="28" customFormat="1" ht="70" x14ac:dyDescent="0.35">
      <c r="B432" s="127">
        <v>20250434</v>
      </c>
      <c r="C432" s="129" t="s">
        <v>208</v>
      </c>
      <c r="D432" s="189" t="s">
        <v>166</v>
      </c>
      <c r="E432" s="190" t="s">
        <v>558</v>
      </c>
      <c r="F432" s="189" t="s">
        <v>582</v>
      </c>
      <c r="G432" s="189" t="s">
        <v>155</v>
      </c>
      <c r="H432" s="130" t="s">
        <v>609</v>
      </c>
      <c r="I432" s="191">
        <v>2</v>
      </c>
      <c r="J432" s="191">
        <v>11</v>
      </c>
      <c r="K432" s="126">
        <v>0</v>
      </c>
      <c r="L432" s="125">
        <v>72000000</v>
      </c>
      <c r="M432" s="189" t="s">
        <v>464</v>
      </c>
      <c r="N432" s="125" t="s">
        <v>610</v>
      </c>
      <c r="O432" s="190" t="s">
        <v>219</v>
      </c>
      <c r="P432" s="192" t="str">
        <f>IFERROR(VLOOKUP(C432,TD!$B$33:$F$37,2,0)," ")</f>
        <v>O230117</v>
      </c>
      <c r="Q432" s="192" t="str">
        <f>IFERROR(VLOOKUP(C432,TD!$B$33:$F$37,3,0)," ")</f>
        <v>4599</v>
      </c>
      <c r="R432" s="192">
        <f>IFERROR(VLOOKUP(C432,TD!$B$33:$F$37,4,0)," ")</f>
        <v>20240207</v>
      </c>
      <c r="S432" s="190" t="s">
        <v>185</v>
      </c>
      <c r="T432" s="192" t="str">
        <f>IFERROR(VLOOKUP(S432,TD!$J$34:$K$44,2,0)," ")</f>
        <v>Infraestructura física, mantenimiento y dotación (Sedes construidas, mantenidas reforzadas)</v>
      </c>
      <c r="U432" s="187" t="str">
        <f>CONCATENATE(S432,"-",T432)</f>
        <v>08-Infraestructura física, mantenimiento y dotación (Sedes construidas, mantenidas reforzadas)</v>
      </c>
      <c r="V432" s="190" t="s">
        <v>238</v>
      </c>
      <c r="W432" s="192" t="str">
        <f>IFERROR(VLOOKUP(V432,TD!$N$34:$O$46,2,0)," ")</f>
        <v>Sedes mantenidas</v>
      </c>
      <c r="X432" s="187" t="str">
        <f>CONCATENATE(V432,"_",W432)</f>
        <v>016_Sedes mantenidas</v>
      </c>
      <c r="Y432" s="187" t="str">
        <f>CONCATENATE(U432," ",X432)</f>
        <v>08-Infraestructura física, mantenimiento y dotación (Sedes construidas, mantenidas reforzadas) 016_Sedes mantenidas</v>
      </c>
      <c r="Z432" s="192" t="str">
        <f>CONCATENATE(P432,Q432,R432,S432,V432)</f>
        <v>O23011745992024020708016</v>
      </c>
      <c r="AA432" s="192" t="str">
        <f>IFERROR(VLOOKUP(Y432,TD!$K$47:$L$65,2,0)," ")</f>
        <v>PM/0131/0108/45990160207</v>
      </c>
      <c r="AB432" s="125" t="s">
        <v>138</v>
      </c>
      <c r="AC432" s="193" t="s">
        <v>204</v>
      </c>
    </row>
    <row r="433" spans="2:29" s="28" customFormat="1" ht="70" x14ac:dyDescent="0.35">
      <c r="B433" s="127">
        <v>20250436</v>
      </c>
      <c r="C433" s="129" t="s">
        <v>208</v>
      </c>
      <c r="D433" s="189" t="s">
        <v>166</v>
      </c>
      <c r="E433" s="190" t="s">
        <v>558</v>
      </c>
      <c r="F433" s="189" t="s">
        <v>802</v>
      </c>
      <c r="G433" s="189" t="s">
        <v>155</v>
      </c>
      <c r="H433" s="130" t="s">
        <v>609</v>
      </c>
      <c r="I433" s="191">
        <v>2</v>
      </c>
      <c r="J433" s="191">
        <v>11</v>
      </c>
      <c r="K433" s="126">
        <v>0</v>
      </c>
      <c r="L433" s="125">
        <v>59920000</v>
      </c>
      <c r="M433" s="189" t="s">
        <v>464</v>
      </c>
      <c r="N433" s="125" t="s">
        <v>610</v>
      </c>
      <c r="O433" s="190" t="s">
        <v>219</v>
      </c>
      <c r="P433" s="192" t="str">
        <f>IFERROR(VLOOKUP(C433,TD!$B$33:$F$37,2,0)," ")</f>
        <v>O230117</v>
      </c>
      <c r="Q433" s="192" t="str">
        <f>IFERROR(VLOOKUP(C433,TD!$B$33:$F$37,3,0)," ")</f>
        <v>4599</v>
      </c>
      <c r="R433" s="192">
        <f>IFERROR(VLOOKUP(C433,TD!$B$33:$F$37,4,0)," ")</f>
        <v>20240207</v>
      </c>
      <c r="S433" s="190" t="s">
        <v>185</v>
      </c>
      <c r="T433" s="192" t="str">
        <f>IFERROR(VLOOKUP(S433,TD!$J$34:$K$44,2,0)," ")</f>
        <v>Infraestructura física, mantenimiento y dotación (Sedes construidas, mantenidas reforzadas)</v>
      </c>
      <c r="U433" s="187" t="str">
        <f>CONCATENATE(S433,"-",T433)</f>
        <v>08-Infraestructura física, mantenimiento y dotación (Sedes construidas, mantenidas reforzadas)</v>
      </c>
      <c r="V433" s="190" t="s">
        <v>238</v>
      </c>
      <c r="W433" s="192" t="str">
        <f>IFERROR(VLOOKUP(V433,TD!$N$34:$O$46,2,0)," ")</f>
        <v>Sedes mantenidas</v>
      </c>
      <c r="X433" s="187" t="str">
        <f>CONCATENATE(V433,"_",W433)</f>
        <v>016_Sedes mantenidas</v>
      </c>
      <c r="Y433" s="187" t="str">
        <f>CONCATENATE(U433," ",X433)</f>
        <v>08-Infraestructura física, mantenimiento y dotación (Sedes construidas, mantenidas reforzadas) 016_Sedes mantenidas</v>
      </c>
      <c r="Z433" s="192" t="str">
        <f>CONCATENATE(P433,Q433,R433,S433,V433)</f>
        <v>O23011745992024020708016</v>
      </c>
      <c r="AA433" s="192" t="str">
        <f>IFERROR(VLOOKUP(Y433,TD!$K$47:$L$65,2,0)," ")</f>
        <v>PM/0131/0108/45990160207</v>
      </c>
      <c r="AB433" s="125" t="s">
        <v>138</v>
      </c>
      <c r="AC433" s="193" t="s">
        <v>204</v>
      </c>
    </row>
    <row r="434" spans="2:29" s="28" customFormat="1" ht="70" x14ac:dyDescent="0.35">
      <c r="B434" s="77">
        <v>20250437</v>
      </c>
      <c r="C434" s="50" t="s">
        <v>208</v>
      </c>
      <c r="D434" s="184" t="s">
        <v>166</v>
      </c>
      <c r="E434" s="51" t="s">
        <v>558</v>
      </c>
      <c r="F434" s="184" t="s">
        <v>584</v>
      </c>
      <c r="G434" s="184" t="s">
        <v>155</v>
      </c>
      <c r="H434" s="93" t="s">
        <v>609</v>
      </c>
      <c r="I434" s="185">
        <v>2</v>
      </c>
      <c r="J434" s="185">
        <v>11</v>
      </c>
      <c r="K434" s="52">
        <v>0</v>
      </c>
      <c r="L434" s="53">
        <f>77000000-15469124</f>
        <v>61530876</v>
      </c>
      <c r="M434" s="184" t="s">
        <v>464</v>
      </c>
      <c r="N434" s="53" t="s">
        <v>610</v>
      </c>
      <c r="O434" s="51" t="s">
        <v>219</v>
      </c>
      <c r="P434" s="186" t="str">
        <f>IFERROR(VLOOKUP(C434,TD!$B$33:$F$37,2,0)," ")</f>
        <v>O230117</v>
      </c>
      <c r="Q434" s="186" t="str">
        <f>IFERROR(VLOOKUP(C434,TD!$B$33:$F$37,3,0)," ")</f>
        <v>4599</v>
      </c>
      <c r="R434" s="186">
        <f>IFERROR(VLOOKUP(C434,TD!$B$33:$F$37,4,0)," ")</f>
        <v>20240207</v>
      </c>
      <c r="S434" s="51" t="s">
        <v>185</v>
      </c>
      <c r="T434" s="186" t="str">
        <f>IFERROR(VLOOKUP(S434,TD!$J$34:$K$44,2,0)," ")</f>
        <v>Infraestructura física, mantenimiento y dotación (Sedes construidas, mantenidas reforzadas)</v>
      </c>
      <c r="U434" s="187" t="str">
        <f>CONCATENATE(S434,"-",T434)</f>
        <v>08-Infraestructura física, mantenimiento y dotación (Sedes construidas, mantenidas reforzadas)</v>
      </c>
      <c r="V434" s="51" t="s">
        <v>238</v>
      </c>
      <c r="W434" s="186" t="str">
        <f>IFERROR(VLOOKUP(V434,TD!$N$34:$O$46,2,0)," ")</f>
        <v>Sedes mantenidas</v>
      </c>
      <c r="X434" s="187" t="str">
        <f>CONCATENATE(V434,"_",W434)</f>
        <v>016_Sedes mantenidas</v>
      </c>
      <c r="Y434" s="187" t="str">
        <f>CONCATENATE(U434," ",X434)</f>
        <v>08-Infraestructura física, mantenimiento y dotación (Sedes construidas, mantenidas reforzadas) 016_Sedes mantenidas</v>
      </c>
      <c r="Z434" s="186" t="str">
        <f>CONCATENATE(P434,Q434,R434,S434,V434)</f>
        <v>O23011745992024020708016</v>
      </c>
      <c r="AA434" s="186" t="str">
        <f>IFERROR(VLOOKUP(Y434,TD!$K$47:$L$65,2,0)," ")</f>
        <v>PM/0131/0108/45990160207</v>
      </c>
      <c r="AB434" s="53" t="s">
        <v>138</v>
      </c>
      <c r="AC434" s="188" t="s">
        <v>204</v>
      </c>
    </row>
    <row r="435" spans="2:29" s="28" customFormat="1" ht="56" x14ac:dyDescent="0.35">
      <c r="B435" s="77">
        <v>20250438</v>
      </c>
      <c r="C435" s="50" t="s">
        <v>208</v>
      </c>
      <c r="D435" s="184" t="s">
        <v>166</v>
      </c>
      <c r="E435" s="51" t="s">
        <v>558</v>
      </c>
      <c r="F435" s="184" t="s">
        <v>585</v>
      </c>
      <c r="G435" s="184" t="s">
        <v>156</v>
      </c>
      <c r="H435" s="93" t="s">
        <v>609</v>
      </c>
      <c r="I435" s="185">
        <v>2</v>
      </c>
      <c r="J435" s="185">
        <v>11</v>
      </c>
      <c r="K435" s="52">
        <v>0</v>
      </c>
      <c r="L435" s="53">
        <f>33534424-8198173</f>
        <v>25336251</v>
      </c>
      <c r="M435" s="184" t="s">
        <v>464</v>
      </c>
      <c r="N435" s="53" t="s">
        <v>610</v>
      </c>
      <c r="O435" s="51" t="s">
        <v>219</v>
      </c>
      <c r="P435" s="186" t="str">
        <f>IFERROR(VLOOKUP(C435,TD!$B$33:$F$37,2,0)," ")</f>
        <v>O230117</v>
      </c>
      <c r="Q435" s="186" t="str">
        <f>IFERROR(VLOOKUP(C435,TD!$B$33:$F$37,3,0)," ")</f>
        <v>4599</v>
      </c>
      <c r="R435" s="186">
        <f>IFERROR(VLOOKUP(C435,TD!$B$33:$F$37,4,0)," ")</f>
        <v>20240207</v>
      </c>
      <c r="S435" s="51" t="s">
        <v>185</v>
      </c>
      <c r="T435" s="186" t="str">
        <f>IFERROR(VLOOKUP(S435,TD!$J$34:$K$44,2,0)," ")</f>
        <v>Infraestructura física, mantenimiento y dotación (Sedes construidas, mantenidas reforzadas)</v>
      </c>
      <c r="U435" s="187" t="str">
        <f>CONCATENATE(S435,"-",T435)</f>
        <v>08-Infraestructura física, mantenimiento y dotación (Sedes construidas, mantenidas reforzadas)</v>
      </c>
      <c r="V435" s="51" t="s">
        <v>238</v>
      </c>
      <c r="W435" s="186" t="str">
        <f>IFERROR(VLOOKUP(V435,TD!$N$34:$O$46,2,0)," ")</f>
        <v>Sedes mantenidas</v>
      </c>
      <c r="X435" s="187" t="str">
        <f>CONCATENATE(V435,"_",W435)</f>
        <v>016_Sedes mantenidas</v>
      </c>
      <c r="Y435" s="187" t="str">
        <f>CONCATENATE(U435," ",X435)</f>
        <v>08-Infraestructura física, mantenimiento y dotación (Sedes construidas, mantenidas reforzadas) 016_Sedes mantenidas</v>
      </c>
      <c r="Z435" s="186" t="str">
        <f>CONCATENATE(P435,Q435,R435,S435,V435)</f>
        <v>O23011745992024020708016</v>
      </c>
      <c r="AA435" s="186" t="str">
        <f>IFERROR(VLOOKUP(Y435,TD!$K$47:$L$65,2,0)," ")</f>
        <v>PM/0131/0108/45990160207</v>
      </c>
      <c r="AB435" s="53" t="s">
        <v>138</v>
      </c>
      <c r="AC435" s="188" t="s">
        <v>204</v>
      </c>
    </row>
    <row r="436" spans="2:29" s="28" customFormat="1" ht="70" x14ac:dyDescent="0.35">
      <c r="B436" s="127">
        <v>20250439</v>
      </c>
      <c r="C436" s="129" t="s">
        <v>208</v>
      </c>
      <c r="D436" s="189" t="s">
        <v>166</v>
      </c>
      <c r="E436" s="190" t="s">
        <v>558</v>
      </c>
      <c r="F436" s="189" t="s">
        <v>586</v>
      </c>
      <c r="G436" s="189" t="s">
        <v>155</v>
      </c>
      <c r="H436" s="130" t="s">
        <v>609</v>
      </c>
      <c r="I436" s="191">
        <v>2</v>
      </c>
      <c r="J436" s="191">
        <v>11</v>
      </c>
      <c r="K436" s="126">
        <v>0</v>
      </c>
      <c r="L436" s="125">
        <v>46449783</v>
      </c>
      <c r="M436" s="189" t="s">
        <v>464</v>
      </c>
      <c r="N436" s="125" t="s">
        <v>610</v>
      </c>
      <c r="O436" s="190" t="s">
        <v>219</v>
      </c>
      <c r="P436" s="192" t="str">
        <f>IFERROR(VLOOKUP(C436,TD!$B$33:$F$37,2,0)," ")</f>
        <v>O230117</v>
      </c>
      <c r="Q436" s="192" t="str">
        <f>IFERROR(VLOOKUP(C436,TD!$B$33:$F$37,3,0)," ")</f>
        <v>4599</v>
      </c>
      <c r="R436" s="192">
        <f>IFERROR(VLOOKUP(C436,TD!$B$33:$F$37,4,0)," ")</f>
        <v>20240207</v>
      </c>
      <c r="S436" s="190" t="s">
        <v>185</v>
      </c>
      <c r="T436" s="192" t="str">
        <f>IFERROR(VLOOKUP(S436,TD!$J$34:$K$44,2,0)," ")</f>
        <v>Infraestructura física, mantenimiento y dotación (Sedes construidas, mantenidas reforzadas)</v>
      </c>
      <c r="U436" s="187" t="str">
        <f>CONCATENATE(S436,"-",T436)</f>
        <v>08-Infraestructura física, mantenimiento y dotación (Sedes construidas, mantenidas reforzadas)</v>
      </c>
      <c r="V436" s="190" t="s">
        <v>238</v>
      </c>
      <c r="W436" s="192" t="str">
        <f>IFERROR(VLOOKUP(V436,TD!$N$34:$O$46,2,0)," ")</f>
        <v>Sedes mantenidas</v>
      </c>
      <c r="X436" s="187" t="str">
        <f>CONCATENATE(V436,"_",W436)</f>
        <v>016_Sedes mantenidas</v>
      </c>
      <c r="Y436" s="187" t="str">
        <f>CONCATENATE(U436," ",X436)</f>
        <v>08-Infraestructura física, mantenimiento y dotación (Sedes construidas, mantenidas reforzadas) 016_Sedes mantenidas</v>
      </c>
      <c r="Z436" s="192" t="str">
        <f>CONCATENATE(P436,Q436,R436,S436,V436)</f>
        <v>O23011745992024020708016</v>
      </c>
      <c r="AA436" s="192" t="str">
        <f>IFERROR(VLOOKUP(Y436,TD!$K$47:$L$65,2,0)," ")</f>
        <v>PM/0131/0108/45990160207</v>
      </c>
      <c r="AB436" s="125" t="s">
        <v>138</v>
      </c>
      <c r="AC436" s="193" t="s">
        <v>204</v>
      </c>
    </row>
    <row r="437" spans="2:29" s="28" customFormat="1" ht="56" x14ac:dyDescent="0.35">
      <c r="B437" s="77">
        <v>20250440</v>
      </c>
      <c r="C437" s="50" t="s">
        <v>208</v>
      </c>
      <c r="D437" s="184" t="s">
        <v>166</v>
      </c>
      <c r="E437" s="51" t="s">
        <v>558</v>
      </c>
      <c r="F437" s="184" t="s">
        <v>587</v>
      </c>
      <c r="G437" s="184" t="s">
        <v>156</v>
      </c>
      <c r="H437" s="93" t="s">
        <v>609</v>
      </c>
      <c r="I437" s="185">
        <v>2</v>
      </c>
      <c r="J437" s="185">
        <v>11</v>
      </c>
      <c r="K437" s="52">
        <v>0</v>
      </c>
      <c r="L437" s="53">
        <v>33178419</v>
      </c>
      <c r="M437" s="184" t="s">
        <v>464</v>
      </c>
      <c r="N437" s="53" t="s">
        <v>610</v>
      </c>
      <c r="O437" s="51" t="s">
        <v>219</v>
      </c>
      <c r="P437" s="186" t="str">
        <f>IFERROR(VLOOKUP(C437,TD!$B$33:$F$37,2,0)," ")</f>
        <v>O230117</v>
      </c>
      <c r="Q437" s="186" t="str">
        <f>IFERROR(VLOOKUP(C437,TD!$B$33:$F$37,3,0)," ")</f>
        <v>4599</v>
      </c>
      <c r="R437" s="186">
        <f>IFERROR(VLOOKUP(C437,TD!$B$33:$F$37,4,0)," ")</f>
        <v>20240207</v>
      </c>
      <c r="S437" s="51" t="s">
        <v>185</v>
      </c>
      <c r="T437" s="186" t="str">
        <f>IFERROR(VLOOKUP(S437,TD!$J$34:$K$44,2,0)," ")</f>
        <v>Infraestructura física, mantenimiento y dotación (Sedes construidas, mantenidas reforzadas)</v>
      </c>
      <c r="U437" s="187" t="str">
        <f>CONCATENATE(S437,"-",T437)</f>
        <v>08-Infraestructura física, mantenimiento y dotación (Sedes construidas, mantenidas reforzadas)</v>
      </c>
      <c r="V437" s="51" t="s">
        <v>238</v>
      </c>
      <c r="W437" s="186" t="str">
        <f>IFERROR(VLOOKUP(V437,TD!$N$34:$O$46,2,0)," ")</f>
        <v>Sedes mantenidas</v>
      </c>
      <c r="X437" s="187" t="str">
        <f>CONCATENATE(V437,"_",W437)</f>
        <v>016_Sedes mantenidas</v>
      </c>
      <c r="Y437" s="187" t="str">
        <f>CONCATENATE(U437," ",X437)</f>
        <v>08-Infraestructura física, mantenimiento y dotación (Sedes construidas, mantenidas reforzadas) 016_Sedes mantenidas</v>
      </c>
      <c r="Z437" s="186" t="str">
        <f>CONCATENATE(P437,Q437,R437,S437,V437)</f>
        <v>O23011745992024020708016</v>
      </c>
      <c r="AA437" s="186" t="str">
        <f>IFERROR(VLOOKUP(Y437,TD!$K$47:$L$65,2,0)," ")</f>
        <v>PM/0131/0108/45990160207</v>
      </c>
      <c r="AB437" s="53" t="s">
        <v>138</v>
      </c>
      <c r="AC437" s="188" t="s">
        <v>204</v>
      </c>
    </row>
    <row r="438" spans="2:29" s="28" customFormat="1" ht="56" x14ac:dyDescent="0.35">
      <c r="B438" s="77">
        <v>20250442</v>
      </c>
      <c r="C438" s="50" t="s">
        <v>208</v>
      </c>
      <c r="D438" s="184" t="s">
        <v>166</v>
      </c>
      <c r="E438" s="51" t="s">
        <v>558</v>
      </c>
      <c r="F438" s="184" t="s">
        <v>587</v>
      </c>
      <c r="G438" s="184" t="s">
        <v>156</v>
      </c>
      <c r="H438" s="93" t="s">
        <v>609</v>
      </c>
      <c r="I438" s="94">
        <v>2</v>
      </c>
      <c r="J438" s="185">
        <v>11</v>
      </c>
      <c r="K438" s="52">
        <v>0</v>
      </c>
      <c r="L438" s="53">
        <v>19705973</v>
      </c>
      <c r="M438" s="184" t="s">
        <v>464</v>
      </c>
      <c r="N438" s="53" t="s">
        <v>610</v>
      </c>
      <c r="O438" s="51" t="s">
        <v>219</v>
      </c>
      <c r="P438" s="186" t="str">
        <f>IFERROR(VLOOKUP(C438,TD!$B$33:$F$37,2,0)," ")</f>
        <v>O230117</v>
      </c>
      <c r="Q438" s="186" t="str">
        <f>IFERROR(VLOOKUP(C438,TD!$B$33:$F$37,3,0)," ")</f>
        <v>4599</v>
      </c>
      <c r="R438" s="186">
        <f>IFERROR(VLOOKUP(C438,TD!$B$33:$F$37,4,0)," ")</f>
        <v>20240207</v>
      </c>
      <c r="S438" s="51" t="s">
        <v>185</v>
      </c>
      <c r="T438" s="186" t="str">
        <f>IFERROR(VLOOKUP(S438,TD!$J$34:$K$44,2,0)," ")</f>
        <v>Infraestructura física, mantenimiento y dotación (Sedes construidas, mantenidas reforzadas)</v>
      </c>
      <c r="U438" s="187" t="str">
        <f>CONCATENATE(S438,"-",T438)</f>
        <v>08-Infraestructura física, mantenimiento y dotación (Sedes construidas, mantenidas reforzadas)</v>
      </c>
      <c r="V438" s="51" t="s">
        <v>238</v>
      </c>
      <c r="W438" s="186" t="str">
        <f>IFERROR(VLOOKUP(V438,TD!$N$34:$O$46,2,0)," ")</f>
        <v>Sedes mantenidas</v>
      </c>
      <c r="X438" s="187" t="str">
        <f>CONCATENATE(V438,"_",W438)</f>
        <v>016_Sedes mantenidas</v>
      </c>
      <c r="Y438" s="187" t="str">
        <f>CONCATENATE(U438," ",X438)</f>
        <v>08-Infraestructura física, mantenimiento y dotación (Sedes construidas, mantenidas reforzadas) 016_Sedes mantenidas</v>
      </c>
      <c r="Z438" s="186" t="str">
        <f>CONCATENATE(P438,Q438,R438,S438,V438)</f>
        <v>O23011745992024020708016</v>
      </c>
      <c r="AA438" s="186" t="str">
        <f>IFERROR(VLOOKUP(Y438,TD!$K$47:$L$65,2,0)," ")</f>
        <v>PM/0131/0108/45990160207</v>
      </c>
      <c r="AB438" s="53" t="s">
        <v>138</v>
      </c>
      <c r="AC438" s="188" t="s">
        <v>204</v>
      </c>
    </row>
    <row r="439" spans="2:29" s="28" customFormat="1" ht="56" x14ac:dyDescent="0.35">
      <c r="B439" s="127">
        <v>20250443</v>
      </c>
      <c r="C439" s="129" t="s">
        <v>208</v>
      </c>
      <c r="D439" s="189" t="s">
        <v>166</v>
      </c>
      <c r="E439" s="190" t="s">
        <v>558</v>
      </c>
      <c r="F439" s="189" t="s">
        <v>587</v>
      </c>
      <c r="G439" s="189" t="s">
        <v>156</v>
      </c>
      <c r="H439" s="130" t="s">
        <v>609</v>
      </c>
      <c r="I439" s="172">
        <v>2</v>
      </c>
      <c r="J439" s="191">
        <v>11</v>
      </c>
      <c r="K439" s="126">
        <v>0</v>
      </c>
      <c r="L439" s="125">
        <v>24800000</v>
      </c>
      <c r="M439" s="189" t="s">
        <v>464</v>
      </c>
      <c r="N439" s="125" t="s">
        <v>610</v>
      </c>
      <c r="O439" s="190" t="s">
        <v>219</v>
      </c>
      <c r="P439" s="192" t="str">
        <f>IFERROR(VLOOKUP(C439,TD!$B$33:$F$37,2,0)," ")</f>
        <v>O230117</v>
      </c>
      <c r="Q439" s="192" t="str">
        <f>IFERROR(VLOOKUP(C439,TD!$B$33:$F$37,3,0)," ")</f>
        <v>4599</v>
      </c>
      <c r="R439" s="192">
        <f>IFERROR(VLOOKUP(C439,TD!$B$33:$F$37,4,0)," ")</f>
        <v>20240207</v>
      </c>
      <c r="S439" s="190" t="s">
        <v>185</v>
      </c>
      <c r="T439" s="192" t="str">
        <f>IFERROR(VLOOKUP(S439,TD!$J$34:$K$44,2,0)," ")</f>
        <v>Infraestructura física, mantenimiento y dotación (Sedes construidas, mantenidas reforzadas)</v>
      </c>
      <c r="U439" s="187" t="str">
        <f>CONCATENATE(S439,"-",T439)</f>
        <v>08-Infraestructura física, mantenimiento y dotación (Sedes construidas, mantenidas reforzadas)</v>
      </c>
      <c r="V439" s="190" t="s">
        <v>238</v>
      </c>
      <c r="W439" s="192" t="str">
        <f>IFERROR(VLOOKUP(V439,TD!$N$34:$O$46,2,0)," ")</f>
        <v>Sedes mantenidas</v>
      </c>
      <c r="X439" s="187" t="str">
        <f>CONCATENATE(V439,"_",W439)</f>
        <v>016_Sedes mantenidas</v>
      </c>
      <c r="Y439" s="187" t="str">
        <f>CONCATENATE(U439," ",X439)</f>
        <v>08-Infraestructura física, mantenimiento y dotación (Sedes construidas, mantenidas reforzadas) 016_Sedes mantenidas</v>
      </c>
      <c r="Z439" s="192" t="str">
        <f>CONCATENATE(P439,Q439,R439,S439,V439)</f>
        <v>O23011745992024020708016</v>
      </c>
      <c r="AA439" s="192" t="str">
        <f>IFERROR(VLOOKUP(Y439,TD!$K$47:$L$65,2,0)," ")</f>
        <v>PM/0131/0108/45990160207</v>
      </c>
      <c r="AB439" s="125" t="s">
        <v>138</v>
      </c>
      <c r="AC439" s="193" t="s">
        <v>204</v>
      </c>
    </row>
    <row r="440" spans="2:29" s="28" customFormat="1" ht="56" x14ac:dyDescent="0.35">
      <c r="B440" s="77">
        <v>20250444</v>
      </c>
      <c r="C440" s="50" t="s">
        <v>208</v>
      </c>
      <c r="D440" s="184" t="s">
        <v>166</v>
      </c>
      <c r="E440" s="51" t="s">
        <v>558</v>
      </c>
      <c r="F440" s="184" t="s">
        <v>721</v>
      </c>
      <c r="G440" s="184" t="s">
        <v>155</v>
      </c>
      <c r="H440" s="93" t="s">
        <v>609</v>
      </c>
      <c r="I440" s="185">
        <v>2</v>
      </c>
      <c r="J440" s="185">
        <v>11</v>
      </c>
      <c r="K440" s="52">
        <v>0</v>
      </c>
      <c r="L440" s="53">
        <v>46449783</v>
      </c>
      <c r="M440" s="184" t="s">
        <v>464</v>
      </c>
      <c r="N440" s="53" t="s">
        <v>610</v>
      </c>
      <c r="O440" s="51" t="s">
        <v>219</v>
      </c>
      <c r="P440" s="186" t="str">
        <f>IFERROR(VLOOKUP(C440,TD!$B$33:$F$37,2,0)," ")</f>
        <v>O230117</v>
      </c>
      <c r="Q440" s="186" t="str">
        <f>IFERROR(VLOOKUP(C440,TD!$B$33:$F$37,3,0)," ")</f>
        <v>4599</v>
      </c>
      <c r="R440" s="186">
        <f>IFERROR(VLOOKUP(C440,TD!$B$33:$F$37,4,0)," ")</f>
        <v>20240207</v>
      </c>
      <c r="S440" s="51" t="s">
        <v>185</v>
      </c>
      <c r="T440" s="186" t="str">
        <f>IFERROR(VLOOKUP(S440,TD!$J$34:$K$44,2,0)," ")</f>
        <v>Infraestructura física, mantenimiento y dotación (Sedes construidas, mantenidas reforzadas)</v>
      </c>
      <c r="U440" s="187" t="str">
        <f>CONCATENATE(S440,"-",T440)</f>
        <v>08-Infraestructura física, mantenimiento y dotación (Sedes construidas, mantenidas reforzadas)</v>
      </c>
      <c r="V440" s="51" t="s">
        <v>238</v>
      </c>
      <c r="W440" s="186" t="str">
        <f>IFERROR(VLOOKUP(V440,TD!$N$34:$O$46,2,0)," ")</f>
        <v>Sedes mantenidas</v>
      </c>
      <c r="X440" s="187" t="str">
        <f>CONCATENATE(V440,"_",W440)</f>
        <v>016_Sedes mantenidas</v>
      </c>
      <c r="Y440" s="187" t="str">
        <f>CONCATENATE(U440," ",X440)</f>
        <v>08-Infraestructura física, mantenimiento y dotación (Sedes construidas, mantenidas reforzadas) 016_Sedes mantenidas</v>
      </c>
      <c r="Z440" s="186" t="str">
        <f>CONCATENATE(P440,Q440,R440,S440,V440)</f>
        <v>O23011745992024020708016</v>
      </c>
      <c r="AA440" s="186" t="str">
        <f>IFERROR(VLOOKUP(Y440,TD!$K$47:$L$65,2,0)," ")</f>
        <v>PM/0131/0108/45990160207</v>
      </c>
      <c r="AB440" s="53" t="s">
        <v>138</v>
      </c>
      <c r="AC440" s="188" t="s">
        <v>204</v>
      </c>
    </row>
    <row r="441" spans="2:29" s="28" customFormat="1" ht="84" x14ac:dyDescent="0.35">
      <c r="B441" s="77">
        <v>20250445</v>
      </c>
      <c r="C441" s="50" t="s">
        <v>208</v>
      </c>
      <c r="D441" s="184" t="s">
        <v>166</v>
      </c>
      <c r="E441" s="51" t="s">
        <v>558</v>
      </c>
      <c r="F441" s="184" t="s">
        <v>722</v>
      </c>
      <c r="G441" s="184" t="s">
        <v>155</v>
      </c>
      <c r="H441" s="93" t="s">
        <v>609</v>
      </c>
      <c r="I441" s="185">
        <v>2</v>
      </c>
      <c r="J441" s="185">
        <v>11</v>
      </c>
      <c r="K441" s="52">
        <v>0</v>
      </c>
      <c r="L441" s="53">
        <v>46449783</v>
      </c>
      <c r="M441" s="184" t="s">
        <v>464</v>
      </c>
      <c r="N441" s="53" t="s">
        <v>610</v>
      </c>
      <c r="O441" s="51" t="s">
        <v>219</v>
      </c>
      <c r="P441" s="186" t="str">
        <f>IFERROR(VLOOKUP(C441,TD!$B$33:$F$37,2,0)," ")</f>
        <v>O230117</v>
      </c>
      <c r="Q441" s="186" t="str">
        <f>IFERROR(VLOOKUP(C441,TD!$B$33:$F$37,3,0)," ")</f>
        <v>4599</v>
      </c>
      <c r="R441" s="186">
        <f>IFERROR(VLOOKUP(C441,TD!$B$33:$F$37,4,0)," ")</f>
        <v>20240207</v>
      </c>
      <c r="S441" s="51" t="s">
        <v>185</v>
      </c>
      <c r="T441" s="186" t="str">
        <f>IFERROR(VLOOKUP(S441,TD!$J$34:$K$44,2,0)," ")</f>
        <v>Infraestructura física, mantenimiento y dotación (Sedes construidas, mantenidas reforzadas)</v>
      </c>
      <c r="U441" s="187" t="str">
        <f>CONCATENATE(S441,"-",T441)</f>
        <v>08-Infraestructura física, mantenimiento y dotación (Sedes construidas, mantenidas reforzadas)</v>
      </c>
      <c r="V441" s="51" t="s">
        <v>238</v>
      </c>
      <c r="W441" s="186" t="str">
        <f>IFERROR(VLOOKUP(V441,TD!$N$34:$O$46,2,0)," ")</f>
        <v>Sedes mantenidas</v>
      </c>
      <c r="X441" s="187" t="str">
        <f>CONCATENATE(V441,"_",W441)</f>
        <v>016_Sedes mantenidas</v>
      </c>
      <c r="Y441" s="187" t="str">
        <f>CONCATENATE(U441," ",X441)</f>
        <v>08-Infraestructura física, mantenimiento y dotación (Sedes construidas, mantenidas reforzadas) 016_Sedes mantenidas</v>
      </c>
      <c r="Z441" s="186" t="str">
        <f>CONCATENATE(P441,Q441,R441,S441,V441)</f>
        <v>O23011745992024020708016</v>
      </c>
      <c r="AA441" s="186" t="str">
        <f>IFERROR(VLOOKUP(Y441,TD!$K$47:$L$65,2,0)," ")</f>
        <v>PM/0131/0108/45990160207</v>
      </c>
      <c r="AB441" s="53" t="s">
        <v>138</v>
      </c>
      <c r="AC441" s="188" t="s">
        <v>204</v>
      </c>
    </row>
    <row r="442" spans="2:29" s="28" customFormat="1" ht="42" x14ac:dyDescent="0.35">
      <c r="B442" s="77">
        <v>20250446</v>
      </c>
      <c r="C442" s="50" t="s">
        <v>208</v>
      </c>
      <c r="D442" s="184" t="s">
        <v>166</v>
      </c>
      <c r="E442" s="51" t="s">
        <v>558</v>
      </c>
      <c r="F442" s="184" t="s">
        <v>723</v>
      </c>
      <c r="G442" s="184" t="s">
        <v>155</v>
      </c>
      <c r="H442" s="93" t="s">
        <v>609</v>
      </c>
      <c r="I442" s="185">
        <v>2</v>
      </c>
      <c r="J442" s="185">
        <v>11</v>
      </c>
      <c r="K442" s="52">
        <v>0</v>
      </c>
      <c r="L442" s="53">
        <v>46449783</v>
      </c>
      <c r="M442" s="184" t="s">
        <v>464</v>
      </c>
      <c r="N442" s="53" t="s">
        <v>610</v>
      </c>
      <c r="O442" s="51" t="s">
        <v>219</v>
      </c>
      <c r="P442" s="186" t="str">
        <f>IFERROR(VLOOKUP(C442,TD!$B$33:$F$37,2,0)," ")</f>
        <v>O230117</v>
      </c>
      <c r="Q442" s="186" t="str">
        <f>IFERROR(VLOOKUP(C442,TD!$B$33:$F$37,3,0)," ")</f>
        <v>4599</v>
      </c>
      <c r="R442" s="186">
        <f>IFERROR(VLOOKUP(C442,TD!$B$33:$F$37,4,0)," ")</f>
        <v>20240207</v>
      </c>
      <c r="S442" s="51" t="s">
        <v>185</v>
      </c>
      <c r="T442" s="186" t="str">
        <f>IFERROR(VLOOKUP(S442,TD!$J$34:$K$44,2,0)," ")</f>
        <v>Infraestructura física, mantenimiento y dotación (Sedes construidas, mantenidas reforzadas)</v>
      </c>
      <c r="U442" s="187" t="str">
        <f>CONCATENATE(S442,"-",T442)</f>
        <v>08-Infraestructura física, mantenimiento y dotación (Sedes construidas, mantenidas reforzadas)</v>
      </c>
      <c r="V442" s="51" t="s">
        <v>238</v>
      </c>
      <c r="W442" s="186" t="str">
        <f>IFERROR(VLOOKUP(V442,TD!$N$34:$O$46,2,0)," ")</f>
        <v>Sedes mantenidas</v>
      </c>
      <c r="X442" s="187" t="str">
        <f>CONCATENATE(V442,"_",W442)</f>
        <v>016_Sedes mantenidas</v>
      </c>
      <c r="Y442" s="187" t="str">
        <f>CONCATENATE(U442," ",X442)</f>
        <v>08-Infraestructura física, mantenimiento y dotación (Sedes construidas, mantenidas reforzadas) 016_Sedes mantenidas</v>
      </c>
      <c r="Z442" s="186" t="str">
        <f>CONCATENATE(P442,Q442,R442,S442,V442)</f>
        <v>O23011745992024020708016</v>
      </c>
      <c r="AA442" s="186" t="str">
        <f>IFERROR(VLOOKUP(Y442,TD!$K$47:$L$65,2,0)," ")</f>
        <v>PM/0131/0108/45990160207</v>
      </c>
      <c r="AB442" s="53" t="s">
        <v>138</v>
      </c>
      <c r="AC442" s="188" t="s">
        <v>204</v>
      </c>
    </row>
    <row r="443" spans="2:29" s="28" customFormat="1" ht="42" x14ac:dyDescent="0.35">
      <c r="B443" s="127">
        <v>20250447</v>
      </c>
      <c r="C443" s="129" t="s">
        <v>208</v>
      </c>
      <c r="D443" s="189" t="s">
        <v>166</v>
      </c>
      <c r="E443" s="190" t="s">
        <v>558</v>
      </c>
      <c r="F443" s="189" t="s">
        <v>588</v>
      </c>
      <c r="G443" s="189" t="s">
        <v>155</v>
      </c>
      <c r="H443" s="130" t="s">
        <v>609</v>
      </c>
      <c r="I443" s="191">
        <v>2</v>
      </c>
      <c r="J443" s="191">
        <v>11</v>
      </c>
      <c r="K443" s="126">
        <v>0</v>
      </c>
      <c r="L443" s="125">
        <v>61530876</v>
      </c>
      <c r="M443" s="189" t="s">
        <v>464</v>
      </c>
      <c r="N443" s="125" t="s">
        <v>610</v>
      </c>
      <c r="O443" s="190" t="s">
        <v>219</v>
      </c>
      <c r="P443" s="192" t="str">
        <f>IFERROR(VLOOKUP(C443,TD!$B$33:$F$37,2,0)," ")</f>
        <v>O230117</v>
      </c>
      <c r="Q443" s="192" t="str">
        <f>IFERROR(VLOOKUP(C443,TD!$B$33:$F$37,3,0)," ")</f>
        <v>4599</v>
      </c>
      <c r="R443" s="192">
        <f>IFERROR(VLOOKUP(C443,TD!$B$33:$F$37,4,0)," ")</f>
        <v>20240207</v>
      </c>
      <c r="S443" s="190" t="s">
        <v>185</v>
      </c>
      <c r="T443" s="192" t="str">
        <f>IFERROR(VLOOKUP(S443,TD!$J$34:$K$44,2,0)," ")</f>
        <v>Infraestructura física, mantenimiento y dotación (Sedes construidas, mantenidas reforzadas)</v>
      </c>
      <c r="U443" s="187" t="str">
        <f>CONCATENATE(S443,"-",T443)</f>
        <v>08-Infraestructura física, mantenimiento y dotación (Sedes construidas, mantenidas reforzadas)</v>
      </c>
      <c r="V443" s="190" t="s">
        <v>238</v>
      </c>
      <c r="W443" s="192" t="str">
        <f>IFERROR(VLOOKUP(V443,TD!$N$34:$O$46,2,0)," ")</f>
        <v>Sedes mantenidas</v>
      </c>
      <c r="X443" s="187" t="str">
        <f>CONCATENATE(V443,"_",W443)</f>
        <v>016_Sedes mantenidas</v>
      </c>
      <c r="Y443" s="187" t="str">
        <f>CONCATENATE(U443," ",X443)</f>
        <v>08-Infraestructura física, mantenimiento y dotación (Sedes construidas, mantenidas reforzadas) 016_Sedes mantenidas</v>
      </c>
      <c r="Z443" s="192" t="str">
        <f>CONCATENATE(P443,Q443,R443,S443,V443)</f>
        <v>O23011745992024020708016</v>
      </c>
      <c r="AA443" s="192" t="str">
        <f>IFERROR(VLOOKUP(Y443,TD!$K$47:$L$65,2,0)," ")</f>
        <v>PM/0131/0108/45990160207</v>
      </c>
      <c r="AB443" s="125" t="s">
        <v>138</v>
      </c>
      <c r="AC443" s="193" t="s">
        <v>204</v>
      </c>
    </row>
    <row r="444" spans="2:29" s="28" customFormat="1" ht="28" x14ac:dyDescent="0.35">
      <c r="B444" s="127">
        <v>20250448</v>
      </c>
      <c r="C444" s="50" t="s">
        <v>208</v>
      </c>
      <c r="D444" s="184" t="s">
        <v>166</v>
      </c>
      <c r="E444" s="51" t="s">
        <v>558</v>
      </c>
      <c r="F444" s="184" t="s">
        <v>567</v>
      </c>
      <c r="G444" s="184" t="s">
        <v>156</v>
      </c>
      <c r="H444" s="93" t="s">
        <v>609</v>
      </c>
      <c r="I444" s="185">
        <v>2</v>
      </c>
      <c r="J444" s="185">
        <v>11</v>
      </c>
      <c r="K444" s="52">
        <v>0</v>
      </c>
      <c r="L444" s="53">
        <v>34600000</v>
      </c>
      <c r="M444" s="184" t="s">
        <v>464</v>
      </c>
      <c r="N444" s="53" t="s">
        <v>610</v>
      </c>
      <c r="O444" s="51" t="s">
        <v>219</v>
      </c>
      <c r="P444" s="186" t="str">
        <f>IFERROR(VLOOKUP(C444,TD!$B$33:$F$37,2,0)," ")</f>
        <v>O230117</v>
      </c>
      <c r="Q444" s="186" t="str">
        <f>IFERROR(VLOOKUP(C444,TD!$B$33:$F$37,3,0)," ")</f>
        <v>4599</v>
      </c>
      <c r="R444" s="186">
        <f>IFERROR(VLOOKUP(C444,TD!$B$33:$F$37,4,0)," ")</f>
        <v>20240207</v>
      </c>
      <c r="S444" s="51" t="s">
        <v>185</v>
      </c>
      <c r="T444" s="186" t="str">
        <f>IFERROR(VLOOKUP(S444,TD!$J$34:$K$44,2,0)," ")</f>
        <v>Infraestructura física, mantenimiento y dotación (Sedes construidas, mantenidas reforzadas)</v>
      </c>
      <c r="U444" s="187" t="str">
        <f>CONCATENATE(S444,"-",T444)</f>
        <v>08-Infraestructura física, mantenimiento y dotación (Sedes construidas, mantenidas reforzadas)</v>
      </c>
      <c r="V444" s="51" t="s">
        <v>238</v>
      </c>
      <c r="W444" s="186" t="str">
        <f>IFERROR(VLOOKUP(V444,TD!$N$34:$O$46,2,0)," ")</f>
        <v>Sedes mantenidas</v>
      </c>
      <c r="X444" s="187" t="str">
        <f>CONCATENATE(V444,"_",W444)</f>
        <v>016_Sedes mantenidas</v>
      </c>
      <c r="Y444" s="187" t="str">
        <f>CONCATENATE(U444," ",X444)</f>
        <v>08-Infraestructura física, mantenimiento y dotación (Sedes construidas, mantenidas reforzadas) 016_Sedes mantenidas</v>
      </c>
      <c r="Z444" s="186" t="str">
        <f>CONCATENATE(P444,Q444,R444,S444,V444)</f>
        <v>O23011745992024020708016</v>
      </c>
      <c r="AA444" s="186" t="str">
        <f>IFERROR(VLOOKUP(Y444,TD!$K$47:$L$65,2,0)," ")</f>
        <v>PM/0131/0108/45990160207</v>
      </c>
      <c r="AB444" s="53" t="s">
        <v>138</v>
      </c>
      <c r="AC444" s="188" t="s">
        <v>204</v>
      </c>
    </row>
    <row r="445" spans="2:29" s="28" customFormat="1" ht="140" x14ac:dyDescent="0.35">
      <c r="B445" s="127">
        <v>20250449</v>
      </c>
      <c r="C445" s="50" t="s">
        <v>208</v>
      </c>
      <c r="D445" s="184" t="s">
        <v>166</v>
      </c>
      <c r="E445" s="51" t="s">
        <v>558</v>
      </c>
      <c r="F445" s="184" t="s">
        <v>569</v>
      </c>
      <c r="G445" s="184" t="s">
        <v>156</v>
      </c>
      <c r="H445" s="93" t="s">
        <v>609</v>
      </c>
      <c r="I445" s="185">
        <v>2</v>
      </c>
      <c r="J445" s="185">
        <v>11</v>
      </c>
      <c r="K445" s="52">
        <v>0</v>
      </c>
      <c r="L445" s="53">
        <v>33178419</v>
      </c>
      <c r="M445" s="184" t="s">
        <v>464</v>
      </c>
      <c r="N445" s="53" t="s">
        <v>610</v>
      </c>
      <c r="O445" s="51" t="s">
        <v>219</v>
      </c>
      <c r="P445" s="186" t="str">
        <f>IFERROR(VLOOKUP(C445,TD!$B$33:$F$37,2,0)," ")</f>
        <v>O230117</v>
      </c>
      <c r="Q445" s="186" t="str">
        <f>IFERROR(VLOOKUP(C445,TD!$B$33:$F$37,3,0)," ")</f>
        <v>4599</v>
      </c>
      <c r="R445" s="186">
        <f>IFERROR(VLOOKUP(C445,TD!$B$33:$F$37,4,0)," ")</f>
        <v>20240207</v>
      </c>
      <c r="S445" s="51" t="s">
        <v>185</v>
      </c>
      <c r="T445" s="186" t="str">
        <f>IFERROR(VLOOKUP(S445,TD!$J$34:$K$44,2,0)," ")</f>
        <v>Infraestructura física, mantenimiento y dotación (Sedes construidas, mantenidas reforzadas)</v>
      </c>
      <c r="U445" s="187" t="str">
        <f>CONCATENATE(S445,"-",T445)</f>
        <v>08-Infraestructura física, mantenimiento y dotación (Sedes construidas, mantenidas reforzadas)</v>
      </c>
      <c r="V445" s="51" t="s">
        <v>238</v>
      </c>
      <c r="W445" s="186" t="str">
        <f>IFERROR(VLOOKUP(V445,TD!$N$34:$O$46,2,0)," ")</f>
        <v>Sedes mantenidas</v>
      </c>
      <c r="X445" s="187" t="str">
        <f>CONCATENATE(V445,"_",W445)</f>
        <v>016_Sedes mantenidas</v>
      </c>
      <c r="Y445" s="187" t="str">
        <f>CONCATENATE(U445," ",X445)</f>
        <v>08-Infraestructura física, mantenimiento y dotación (Sedes construidas, mantenidas reforzadas) 016_Sedes mantenidas</v>
      </c>
      <c r="Z445" s="186" t="str">
        <f>CONCATENATE(P445,Q445,R445,S445,V445)</f>
        <v>O23011745992024020708016</v>
      </c>
      <c r="AA445" s="186" t="str">
        <f>IFERROR(VLOOKUP(Y445,TD!$K$47:$L$65,2,0)," ")</f>
        <v>PM/0131/0108/45990160207</v>
      </c>
      <c r="AB445" s="53" t="s">
        <v>138</v>
      </c>
      <c r="AC445" s="51" t="s">
        <v>204</v>
      </c>
    </row>
    <row r="446" spans="2:29" s="28" customFormat="1" ht="140" x14ac:dyDescent="0.35">
      <c r="B446" s="127">
        <v>20250450</v>
      </c>
      <c r="C446" s="129" t="s">
        <v>208</v>
      </c>
      <c r="D446" s="189" t="s">
        <v>166</v>
      </c>
      <c r="E446" s="190" t="s">
        <v>558</v>
      </c>
      <c r="F446" s="189" t="s">
        <v>570</v>
      </c>
      <c r="G446" s="189" t="s">
        <v>155</v>
      </c>
      <c r="H446" s="130" t="s">
        <v>609</v>
      </c>
      <c r="I446" s="191">
        <v>2</v>
      </c>
      <c r="J446" s="191">
        <v>11</v>
      </c>
      <c r="K446" s="126">
        <v>0</v>
      </c>
      <c r="L446" s="125">
        <v>61530876</v>
      </c>
      <c r="M446" s="189" t="s">
        <v>464</v>
      </c>
      <c r="N446" s="125" t="s">
        <v>610</v>
      </c>
      <c r="O446" s="190" t="s">
        <v>219</v>
      </c>
      <c r="P446" s="192" t="str">
        <f>IFERROR(VLOOKUP(C446,TD!$B$33:$F$37,2,0)," ")</f>
        <v>O230117</v>
      </c>
      <c r="Q446" s="192" t="str">
        <f>IFERROR(VLOOKUP(C446,TD!$B$33:$F$37,3,0)," ")</f>
        <v>4599</v>
      </c>
      <c r="R446" s="192">
        <f>IFERROR(VLOOKUP(C446,TD!$B$33:$F$37,4,0)," ")</f>
        <v>20240207</v>
      </c>
      <c r="S446" s="190" t="s">
        <v>185</v>
      </c>
      <c r="T446" s="192" t="str">
        <f>IFERROR(VLOOKUP(S446,TD!$J$34:$K$44,2,0)," ")</f>
        <v>Infraestructura física, mantenimiento y dotación (Sedes construidas, mantenidas reforzadas)</v>
      </c>
      <c r="U446" s="187" t="str">
        <f>CONCATENATE(S446,"-",T446)</f>
        <v>08-Infraestructura física, mantenimiento y dotación (Sedes construidas, mantenidas reforzadas)</v>
      </c>
      <c r="V446" s="190" t="s">
        <v>238</v>
      </c>
      <c r="W446" s="192" t="str">
        <f>IFERROR(VLOOKUP(V446,TD!$N$34:$O$46,2,0)," ")</f>
        <v>Sedes mantenidas</v>
      </c>
      <c r="X446" s="187" t="str">
        <f>CONCATENATE(V446,"_",W446)</f>
        <v>016_Sedes mantenidas</v>
      </c>
      <c r="Y446" s="187" t="str">
        <f>CONCATENATE(U446," ",X446)</f>
        <v>08-Infraestructura física, mantenimiento y dotación (Sedes construidas, mantenidas reforzadas) 016_Sedes mantenidas</v>
      </c>
      <c r="Z446" s="192" t="str">
        <f>CONCATENATE(P446,Q446,R446,S446,V446)</f>
        <v>O23011745992024020708016</v>
      </c>
      <c r="AA446" s="192" t="str">
        <f>IFERROR(VLOOKUP(Y446,TD!$K$47:$L$65,2,0)," ")</f>
        <v>PM/0131/0108/45990160207</v>
      </c>
      <c r="AB446" s="125" t="s">
        <v>138</v>
      </c>
      <c r="AC446" s="193" t="s">
        <v>204</v>
      </c>
    </row>
    <row r="447" spans="2:29" s="28" customFormat="1" ht="70" x14ac:dyDescent="0.35">
      <c r="B447" s="127">
        <v>20250451</v>
      </c>
      <c r="C447" s="50" t="s">
        <v>208</v>
      </c>
      <c r="D447" s="184" t="s">
        <v>166</v>
      </c>
      <c r="E447" s="51" t="s">
        <v>558</v>
      </c>
      <c r="F447" s="184" t="s">
        <v>571</v>
      </c>
      <c r="G447" s="184" t="s">
        <v>155</v>
      </c>
      <c r="H447" s="93" t="s">
        <v>609</v>
      </c>
      <c r="I447" s="185">
        <v>2</v>
      </c>
      <c r="J447" s="191">
        <v>11</v>
      </c>
      <c r="K447" s="126">
        <v>0</v>
      </c>
      <c r="L447" s="53">
        <v>46449783</v>
      </c>
      <c r="M447" s="184" t="s">
        <v>464</v>
      </c>
      <c r="N447" s="53" t="s">
        <v>610</v>
      </c>
      <c r="O447" s="51" t="s">
        <v>219</v>
      </c>
      <c r="P447" s="186" t="str">
        <f>IFERROR(VLOOKUP(C447,TD!$B$33:$F$37,2,0)," ")</f>
        <v>O230117</v>
      </c>
      <c r="Q447" s="186" t="str">
        <f>IFERROR(VLOOKUP(C447,TD!$B$33:$F$37,3,0)," ")</f>
        <v>4599</v>
      </c>
      <c r="R447" s="186">
        <f>IFERROR(VLOOKUP(C447,TD!$B$33:$F$37,4,0)," ")</f>
        <v>20240207</v>
      </c>
      <c r="S447" s="51" t="s">
        <v>185</v>
      </c>
      <c r="T447" s="186" t="str">
        <f>IFERROR(VLOOKUP(S447,TD!$J$34:$K$44,2,0)," ")</f>
        <v>Infraestructura física, mantenimiento y dotación (Sedes construidas, mantenidas reforzadas)</v>
      </c>
      <c r="U447" s="187" t="str">
        <f>CONCATENATE(S447,"-",T447)</f>
        <v>08-Infraestructura física, mantenimiento y dotación (Sedes construidas, mantenidas reforzadas)</v>
      </c>
      <c r="V447" s="51" t="s">
        <v>238</v>
      </c>
      <c r="W447" s="186" t="str">
        <f>IFERROR(VLOOKUP(V447,TD!$N$34:$O$46,2,0)," ")</f>
        <v>Sedes mantenidas</v>
      </c>
      <c r="X447" s="187" t="str">
        <f>CONCATENATE(V447,"_",W447)</f>
        <v>016_Sedes mantenidas</v>
      </c>
      <c r="Y447" s="187" t="str">
        <f>CONCATENATE(U447," ",X447)</f>
        <v>08-Infraestructura física, mantenimiento y dotación (Sedes construidas, mantenidas reforzadas) 016_Sedes mantenidas</v>
      </c>
      <c r="Z447" s="186" t="str">
        <f>CONCATENATE(P447,Q447,R447,S447,V447)</f>
        <v>O23011745992024020708016</v>
      </c>
      <c r="AA447" s="186" t="str">
        <f>IFERROR(VLOOKUP(Y447,TD!$K$47:$L$65,2,0)," ")</f>
        <v>PM/0131/0108/45990160207</v>
      </c>
      <c r="AB447" s="53" t="s">
        <v>120</v>
      </c>
      <c r="AC447" s="188" t="s">
        <v>204</v>
      </c>
    </row>
    <row r="448" spans="2:29" s="28" customFormat="1" ht="56" x14ac:dyDescent="0.35">
      <c r="B448" s="77">
        <v>20250452</v>
      </c>
      <c r="C448" s="50" t="s">
        <v>208</v>
      </c>
      <c r="D448" s="184" t="s">
        <v>166</v>
      </c>
      <c r="E448" s="51" t="s">
        <v>558</v>
      </c>
      <c r="F448" s="184" t="s">
        <v>591</v>
      </c>
      <c r="G448" s="184" t="s">
        <v>146</v>
      </c>
      <c r="H448" s="93" t="s">
        <v>725</v>
      </c>
      <c r="I448" s="185">
        <v>3</v>
      </c>
      <c r="J448" s="185">
        <v>8</v>
      </c>
      <c r="K448" s="52">
        <v>0</v>
      </c>
      <c r="L448" s="53">
        <v>60000000</v>
      </c>
      <c r="M448" s="184" t="s">
        <v>464</v>
      </c>
      <c r="N448" s="53" t="s">
        <v>612</v>
      </c>
      <c r="O448" s="51" t="s">
        <v>218</v>
      </c>
      <c r="P448" s="186" t="str">
        <f>IFERROR(VLOOKUP(C448,TD!$B$33:$F$37,2,0)," ")</f>
        <v>O230117</v>
      </c>
      <c r="Q448" s="186" t="str">
        <f>IFERROR(VLOOKUP(C448,TD!$B$33:$F$37,3,0)," ")</f>
        <v>4599</v>
      </c>
      <c r="R448" s="186">
        <f>IFERROR(VLOOKUP(C448,TD!$B$33:$F$37,4,0)," ")</f>
        <v>20240207</v>
      </c>
      <c r="S448" s="51" t="s">
        <v>185</v>
      </c>
      <c r="T448" s="186" t="str">
        <f>IFERROR(VLOOKUP(S448,TD!$J$34:$K$44,2,0)," ")</f>
        <v>Infraestructura física, mantenimiento y dotación (Sedes construidas, mantenidas reforzadas)</v>
      </c>
      <c r="U448" s="187" t="str">
        <f>CONCATENATE(S448,"-",T448)</f>
        <v>08-Infraestructura física, mantenimiento y dotación (Sedes construidas, mantenidas reforzadas)</v>
      </c>
      <c r="V448" s="51" t="s">
        <v>238</v>
      </c>
      <c r="W448" s="186" t="str">
        <f>IFERROR(VLOOKUP(V448,TD!$N$34:$O$46,2,0)," ")</f>
        <v>Sedes mantenidas</v>
      </c>
      <c r="X448" s="187" t="str">
        <f>CONCATENATE(V448,"_",W448)</f>
        <v>016_Sedes mantenidas</v>
      </c>
      <c r="Y448" s="187" t="str">
        <f>CONCATENATE(U448," ",X448)</f>
        <v>08-Infraestructura física, mantenimiento y dotación (Sedes construidas, mantenidas reforzadas) 016_Sedes mantenidas</v>
      </c>
      <c r="Z448" s="186" t="str">
        <f>CONCATENATE(P448,Q448,R448,S448,V448)</f>
        <v>O23011745992024020708016</v>
      </c>
      <c r="AA448" s="186" t="str">
        <f>IFERROR(VLOOKUP(Y448,TD!$K$47:$L$65,2,0)," ")</f>
        <v>PM/0131/0108/45990160207</v>
      </c>
      <c r="AB448" s="53" t="s">
        <v>147</v>
      </c>
      <c r="AC448" s="188" t="s">
        <v>204</v>
      </c>
    </row>
    <row r="449" spans="2:29" s="28" customFormat="1" ht="154" x14ac:dyDescent="0.35">
      <c r="B449" s="127">
        <v>20250453</v>
      </c>
      <c r="C449" s="129" t="s">
        <v>208</v>
      </c>
      <c r="D449" s="189" t="s">
        <v>166</v>
      </c>
      <c r="E449" s="190" t="s">
        <v>558</v>
      </c>
      <c r="F449" s="189" t="s">
        <v>592</v>
      </c>
      <c r="G449" s="189" t="s">
        <v>146</v>
      </c>
      <c r="H449" s="130" t="s">
        <v>724</v>
      </c>
      <c r="I449" s="191">
        <v>4</v>
      </c>
      <c r="J449" s="191">
        <v>8</v>
      </c>
      <c r="K449" s="126">
        <v>0</v>
      </c>
      <c r="L449" s="125">
        <v>46000000</v>
      </c>
      <c r="M449" s="189" t="s">
        <v>464</v>
      </c>
      <c r="N449" s="125" t="s">
        <v>612</v>
      </c>
      <c r="O449" s="190" t="s">
        <v>218</v>
      </c>
      <c r="P449" s="192" t="str">
        <f>IFERROR(VLOOKUP(C449,TD!$B$33:$F$37,2,0)," ")</f>
        <v>O230117</v>
      </c>
      <c r="Q449" s="192" t="str">
        <f>IFERROR(VLOOKUP(C449,TD!$B$33:$F$37,3,0)," ")</f>
        <v>4599</v>
      </c>
      <c r="R449" s="192">
        <f>IFERROR(VLOOKUP(C449,TD!$B$33:$F$37,4,0)," ")</f>
        <v>20240207</v>
      </c>
      <c r="S449" s="190" t="s">
        <v>185</v>
      </c>
      <c r="T449" s="192" t="str">
        <f>IFERROR(VLOOKUP(S449,TD!$J$34:$K$44,2,0)," ")</f>
        <v>Infraestructura física, mantenimiento y dotación (Sedes construidas, mantenidas reforzadas)</v>
      </c>
      <c r="U449" s="187" t="str">
        <f>CONCATENATE(S449,"-",T449)</f>
        <v>08-Infraestructura física, mantenimiento y dotación (Sedes construidas, mantenidas reforzadas)</v>
      </c>
      <c r="V449" s="190" t="s">
        <v>238</v>
      </c>
      <c r="W449" s="192" t="str">
        <f>IFERROR(VLOOKUP(V449,TD!$N$34:$O$46,2,0)," ")</f>
        <v>Sedes mantenidas</v>
      </c>
      <c r="X449" s="187" t="str">
        <f>CONCATENATE(V449,"_",W449)</f>
        <v>016_Sedes mantenidas</v>
      </c>
      <c r="Y449" s="187" t="str">
        <f>CONCATENATE(U449," ",X449)</f>
        <v>08-Infraestructura física, mantenimiento y dotación (Sedes construidas, mantenidas reforzadas) 016_Sedes mantenidas</v>
      </c>
      <c r="Z449" s="192" t="str">
        <f>CONCATENATE(P449,Q449,R449,S449,V449)</f>
        <v>O23011745992024020708016</v>
      </c>
      <c r="AA449" s="192" t="str">
        <f>IFERROR(VLOOKUP(Y449,TD!$K$47:$L$65,2,0)," ")</f>
        <v>PM/0131/0108/45990160207</v>
      </c>
      <c r="AB449" s="53" t="s">
        <v>147</v>
      </c>
      <c r="AC449" s="193" t="s">
        <v>204</v>
      </c>
    </row>
    <row r="450" spans="2:29" s="28" customFormat="1" ht="154" x14ac:dyDescent="0.35">
      <c r="B450" s="127">
        <v>20250454</v>
      </c>
      <c r="C450" s="129" t="s">
        <v>208</v>
      </c>
      <c r="D450" s="189" t="s">
        <v>166</v>
      </c>
      <c r="E450" s="190" t="s">
        <v>558</v>
      </c>
      <c r="F450" s="189" t="s">
        <v>849</v>
      </c>
      <c r="G450" s="189" t="s">
        <v>146</v>
      </c>
      <c r="H450" s="130" t="s">
        <v>850</v>
      </c>
      <c r="I450" s="191">
        <v>3</v>
      </c>
      <c r="J450" s="191">
        <v>0</v>
      </c>
      <c r="K450" s="126">
        <v>0</v>
      </c>
      <c r="L450" s="125">
        <v>26000000</v>
      </c>
      <c r="M450" s="189" t="s">
        <v>464</v>
      </c>
      <c r="N450" s="125" t="s">
        <v>100</v>
      </c>
      <c r="O450" s="190" t="s">
        <v>218</v>
      </c>
      <c r="P450" s="192" t="str">
        <f>IFERROR(VLOOKUP(C450,TD!$B$33:$F$37,2,0)," ")</f>
        <v>O230117</v>
      </c>
      <c r="Q450" s="192" t="str">
        <f>IFERROR(VLOOKUP(C450,TD!$B$33:$F$37,3,0)," ")</f>
        <v>4599</v>
      </c>
      <c r="R450" s="192">
        <f>IFERROR(VLOOKUP(C450,TD!$B$33:$F$37,4,0)," ")</f>
        <v>20240207</v>
      </c>
      <c r="S450" s="190" t="s">
        <v>185</v>
      </c>
      <c r="T450" s="192" t="str">
        <f>IFERROR(VLOOKUP(S450,TD!$J$34:$K$44,2,0)," ")</f>
        <v>Infraestructura física, mantenimiento y dotación (Sedes construidas, mantenidas reforzadas)</v>
      </c>
      <c r="U450" s="187" t="str">
        <f>CONCATENATE(S450,"-",T450)</f>
        <v>08-Infraestructura física, mantenimiento y dotación (Sedes construidas, mantenidas reforzadas)</v>
      </c>
      <c r="V450" s="190" t="s">
        <v>238</v>
      </c>
      <c r="W450" s="192" t="str">
        <f>IFERROR(VLOOKUP(V450,TD!$N$34:$O$46,2,0)," ")</f>
        <v>Sedes mantenidas</v>
      </c>
      <c r="X450" s="187" t="str">
        <f>CONCATENATE(V450,"_",W450)</f>
        <v>016_Sedes mantenidas</v>
      </c>
      <c r="Y450" s="187" t="str">
        <f>CONCATENATE(U450," ",X450)</f>
        <v>08-Infraestructura física, mantenimiento y dotación (Sedes construidas, mantenidas reforzadas) 016_Sedes mantenidas</v>
      </c>
      <c r="Z450" s="192" t="str">
        <f>CONCATENATE(P450,Q450,R450,S450,V450)</f>
        <v>O23011745992024020708016</v>
      </c>
      <c r="AA450" s="192" t="str">
        <f>IFERROR(VLOOKUP(Y450,TD!$K$47:$L$65,2,0)," ")</f>
        <v>PM/0131/0108/45990160207</v>
      </c>
      <c r="AB450" s="53" t="s">
        <v>147</v>
      </c>
      <c r="AC450" s="193" t="s">
        <v>205</v>
      </c>
    </row>
    <row r="451" spans="2:29" s="28" customFormat="1" ht="126" x14ac:dyDescent="0.35">
      <c r="B451" s="77">
        <v>20250455</v>
      </c>
      <c r="C451" s="50" t="s">
        <v>208</v>
      </c>
      <c r="D451" s="184" t="s">
        <v>166</v>
      </c>
      <c r="E451" s="51" t="s">
        <v>558</v>
      </c>
      <c r="F451" s="184" t="s">
        <v>948</v>
      </c>
      <c r="G451" s="184" t="s">
        <v>146</v>
      </c>
      <c r="H451" s="93" t="s">
        <v>949</v>
      </c>
      <c r="I451" s="185">
        <v>8</v>
      </c>
      <c r="J451" s="185">
        <v>8</v>
      </c>
      <c r="K451" s="52">
        <v>0</v>
      </c>
      <c r="L451" s="53">
        <v>50000000</v>
      </c>
      <c r="M451" s="184" t="s">
        <v>464</v>
      </c>
      <c r="N451" s="53" t="s">
        <v>100</v>
      </c>
      <c r="O451" s="51" t="s">
        <v>218</v>
      </c>
      <c r="P451" s="186" t="str">
        <f>IFERROR(VLOOKUP(C451,TD!$B$33:$F$37,2,0)," ")</f>
        <v>O230117</v>
      </c>
      <c r="Q451" s="186" t="str">
        <f>IFERROR(VLOOKUP(C451,TD!$B$33:$F$37,3,0)," ")</f>
        <v>4599</v>
      </c>
      <c r="R451" s="186">
        <f>IFERROR(VLOOKUP(C451,TD!$B$33:$F$37,4,0)," ")</f>
        <v>20240207</v>
      </c>
      <c r="S451" s="51" t="s">
        <v>185</v>
      </c>
      <c r="T451" s="186" t="str">
        <f>IFERROR(VLOOKUP(S451,TD!$J$34:$K$44,2,0)," ")</f>
        <v>Infraestructura física, mantenimiento y dotación (Sedes construidas, mantenidas reforzadas)</v>
      </c>
      <c r="U451" s="187" t="str">
        <f>CONCATENATE(S451,"-",T451)</f>
        <v>08-Infraestructura física, mantenimiento y dotación (Sedes construidas, mantenidas reforzadas)</v>
      </c>
      <c r="V451" s="51" t="s">
        <v>238</v>
      </c>
      <c r="W451" s="186" t="str">
        <f>IFERROR(VLOOKUP(V451,TD!$N$34:$O$46,2,0)," ")</f>
        <v>Sedes mantenidas</v>
      </c>
      <c r="X451" s="187" t="str">
        <f>CONCATENATE(V451,"_",W451)</f>
        <v>016_Sedes mantenidas</v>
      </c>
      <c r="Y451" s="187" t="str">
        <f>CONCATENATE(U451," ",X451)</f>
        <v>08-Infraestructura física, mantenimiento y dotación (Sedes construidas, mantenidas reforzadas) 016_Sedes mantenidas</v>
      </c>
      <c r="Z451" s="186" t="str">
        <f>CONCATENATE(P451,Q451,R451,S451,V451)</f>
        <v>O23011745992024020708016</v>
      </c>
      <c r="AA451" s="186" t="str">
        <f>IFERROR(VLOOKUP(Y451,TD!$K$47:$L$65,2,0)," ")</f>
        <v>PM/0131/0108/45990160207</v>
      </c>
      <c r="AB451" s="53" t="s">
        <v>147</v>
      </c>
      <c r="AC451" s="188" t="s">
        <v>204</v>
      </c>
    </row>
    <row r="452" spans="2:29" s="28" customFormat="1" ht="70" x14ac:dyDescent="0.35">
      <c r="B452" s="127">
        <v>20250456</v>
      </c>
      <c r="C452" s="129" t="s">
        <v>208</v>
      </c>
      <c r="D452" s="189" t="s">
        <v>166</v>
      </c>
      <c r="E452" s="190" t="s">
        <v>558</v>
      </c>
      <c r="F452" s="189" t="s">
        <v>851</v>
      </c>
      <c r="G452" s="189" t="s">
        <v>146</v>
      </c>
      <c r="H452" s="130" t="s">
        <v>613</v>
      </c>
      <c r="I452" s="191">
        <v>4</v>
      </c>
      <c r="J452" s="191">
        <v>10</v>
      </c>
      <c r="K452" s="126">
        <v>0</v>
      </c>
      <c r="L452" s="125">
        <v>70000000</v>
      </c>
      <c r="M452" s="189" t="s">
        <v>464</v>
      </c>
      <c r="N452" s="125" t="s">
        <v>90</v>
      </c>
      <c r="O452" s="190" t="s">
        <v>218</v>
      </c>
      <c r="P452" s="192" t="str">
        <f>IFERROR(VLOOKUP(C452,TD!$B$33:$F$37,2,0)," ")</f>
        <v>O230117</v>
      </c>
      <c r="Q452" s="192" t="str">
        <f>IFERROR(VLOOKUP(C452,TD!$B$33:$F$37,3,0)," ")</f>
        <v>4599</v>
      </c>
      <c r="R452" s="192">
        <f>IFERROR(VLOOKUP(C452,TD!$B$33:$F$37,4,0)," ")</f>
        <v>20240207</v>
      </c>
      <c r="S452" s="190" t="s">
        <v>185</v>
      </c>
      <c r="T452" s="192" t="str">
        <f>IFERROR(VLOOKUP(S452,TD!$J$34:$K$44,2,0)," ")</f>
        <v>Infraestructura física, mantenimiento y dotación (Sedes construidas, mantenidas reforzadas)</v>
      </c>
      <c r="U452" s="187" t="str">
        <f>CONCATENATE(S452,"-",T452)</f>
        <v>08-Infraestructura física, mantenimiento y dotación (Sedes construidas, mantenidas reforzadas)</v>
      </c>
      <c r="V452" s="190" t="s">
        <v>238</v>
      </c>
      <c r="W452" s="192" t="str">
        <f>IFERROR(VLOOKUP(V452,TD!$N$34:$O$46,2,0)," ")</f>
        <v>Sedes mantenidas</v>
      </c>
      <c r="X452" s="187" t="str">
        <f>CONCATENATE(V452,"_",W452)</f>
        <v>016_Sedes mantenidas</v>
      </c>
      <c r="Y452" s="187" t="str">
        <f>CONCATENATE(U452," ",X452)</f>
        <v>08-Infraestructura física, mantenimiento y dotación (Sedes construidas, mantenidas reforzadas) 016_Sedes mantenidas</v>
      </c>
      <c r="Z452" s="192" t="str">
        <f>CONCATENATE(P452,Q452,R452,S452,V452)</f>
        <v>O23011745992024020708016</v>
      </c>
      <c r="AA452" s="192" t="str">
        <f>IFERROR(VLOOKUP(Y452,TD!$K$47:$L$65,2,0)," ")</f>
        <v>PM/0131/0108/45990160207</v>
      </c>
      <c r="AB452" s="53" t="s">
        <v>147</v>
      </c>
      <c r="AC452" s="193" t="s">
        <v>204</v>
      </c>
    </row>
    <row r="453" spans="2:29" s="28" customFormat="1" ht="56" x14ac:dyDescent="0.35">
      <c r="B453" s="77">
        <v>20250457</v>
      </c>
      <c r="C453" s="50" t="s">
        <v>208</v>
      </c>
      <c r="D453" s="184" t="s">
        <v>166</v>
      </c>
      <c r="E453" s="51" t="s">
        <v>558</v>
      </c>
      <c r="F453" s="184" t="s">
        <v>614</v>
      </c>
      <c r="G453" s="184" t="s">
        <v>146</v>
      </c>
      <c r="H453" s="93" t="s">
        <v>615</v>
      </c>
      <c r="I453" s="185">
        <v>1</v>
      </c>
      <c r="J453" s="185">
        <v>9</v>
      </c>
      <c r="K453" s="52">
        <v>0</v>
      </c>
      <c r="L453" s="53">
        <v>100000000</v>
      </c>
      <c r="M453" s="184" t="s">
        <v>464</v>
      </c>
      <c r="N453" s="53" t="s">
        <v>90</v>
      </c>
      <c r="O453" s="51" t="s">
        <v>218</v>
      </c>
      <c r="P453" s="186" t="str">
        <f>IFERROR(VLOOKUP(C453,TD!$B$33:$F$37,2,0)," ")</f>
        <v>O230117</v>
      </c>
      <c r="Q453" s="186" t="str">
        <f>IFERROR(VLOOKUP(C453,TD!$B$33:$F$37,3,0)," ")</f>
        <v>4599</v>
      </c>
      <c r="R453" s="186">
        <f>IFERROR(VLOOKUP(C453,TD!$B$33:$F$37,4,0)," ")</f>
        <v>20240207</v>
      </c>
      <c r="S453" s="51" t="s">
        <v>185</v>
      </c>
      <c r="T453" s="186" t="str">
        <f>IFERROR(VLOOKUP(S453,TD!$J$34:$K$44,2,0)," ")</f>
        <v>Infraestructura física, mantenimiento y dotación (Sedes construidas, mantenidas reforzadas)</v>
      </c>
      <c r="U453" s="187" t="str">
        <f>CONCATENATE(S453,"-",T453)</f>
        <v>08-Infraestructura física, mantenimiento y dotación (Sedes construidas, mantenidas reforzadas)</v>
      </c>
      <c r="V453" s="51" t="s">
        <v>238</v>
      </c>
      <c r="W453" s="186" t="str">
        <f>IFERROR(VLOOKUP(V453,TD!$N$34:$O$46,2,0)," ")</f>
        <v>Sedes mantenidas</v>
      </c>
      <c r="X453" s="187" t="str">
        <f>CONCATENATE(V453,"_",W453)</f>
        <v>016_Sedes mantenidas</v>
      </c>
      <c r="Y453" s="187" t="str">
        <f>CONCATENATE(U453," ",X453)</f>
        <v>08-Infraestructura física, mantenimiento y dotación (Sedes construidas, mantenidas reforzadas) 016_Sedes mantenidas</v>
      </c>
      <c r="Z453" s="186" t="str">
        <f>CONCATENATE(P453,Q453,R453,S453,V453)</f>
        <v>O23011745992024020708016</v>
      </c>
      <c r="AA453" s="186" t="str">
        <f>IFERROR(VLOOKUP(Y453,TD!$K$47:$L$65,2,0)," ")</f>
        <v>PM/0131/0108/45990160207</v>
      </c>
      <c r="AB453" s="53" t="s">
        <v>147</v>
      </c>
      <c r="AC453" s="188" t="s">
        <v>204</v>
      </c>
    </row>
    <row r="454" spans="2:29" s="28" customFormat="1" ht="70" x14ac:dyDescent="0.35">
      <c r="B454" s="77">
        <v>20250459</v>
      </c>
      <c r="C454" s="50" t="s">
        <v>209</v>
      </c>
      <c r="D454" s="184" t="s">
        <v>166</v>
      </c>
      <c r="E454" s="51" t="s">
        <v>558</v>
      </c>
      <c r="F454" s="184" t="s">
        <v>726</v>
      </c>
      <c r="G454" s="184" t="s">
        <v>155</v>
      </c>
      <c r="H454" s="93" t="s">
        <v>609</v>
      </c>
      <c r="I454" s="185">
        <v>2</v>
      </c>
      <c r="J454" s="185">
        <v>11</v>
      </c>
      <c r="K454" s="52">
        <v>0</v>
      </c>
      <c r="L454" s="53">
        <v>66356829</v>
      </c>
      <c r="M454" s="184" t="s">
        <v>464</v>
      </c>
      <c r="N454" s="53" t="s">
        <v>610</v>
      </c>
      <c r="O454" s="51" t="s">
        <v>227</v>
      </c>
      <c r="P454" s="186" t="str">
        <f>IFERROR(VLOOKUP(C454,TD!$B$33:$F$37,2,0)," ")</f>
        <v>O230117</v>
      </c>
      <c r="Q454" s="186" t="str">
        <f>IFERROR(VLOOKUP(C454,TD!$B$33:$F$37,3,0)," ")</f>
        <v>4503</v>
      </c>
      <c r="R454" s="186">
        <f>IFERROR(VLOOKUP(C454,TD!$B$33:$F$37,4,0)," ")</f>
        <v>20240255</v>
      </c>
      <c r="S454" s="51" t="s">
        <v>185</v>
      </c>
      <c r="T454" s="186" t="str">
        <f>IFERROR(VLOOKUP(S454,TD!$J$34:$K$44,2,0)," ")</f>
        <v>Infraestructura física, mantenimiento y dotación (Sedes construidas, mantenidas reforzadas)</v>
      </c>
      <c r="U454" s="187" t="str">
        <f>CONCATENATE(S454,"-",T454)</f>
        <v>08-Infraestructura física, mantenimiento y dotación (Sedes construidas, mantenidas reforzadas)</v>
      </c>
      <c r="V454" s="51" t="s">
        <v>236</v>
      </c>
      <c r="W454" s="186" t="str">
        <f>IFERROR(VLOOKUP(V454,TD!$N$34:$O$46,2,0)," ")</f>
        <v>Estaciones de bomberos adecuadas</v>
      </c>
      <c r="X454" s="187" t="str">
        <f>CONCATENATE(V454,"_",W454)</f>
        <v>014_Estaciones de bomberos adecuadas</v>
      </c>
      <c r="Y454" s="187" t="str">
        <f>CONCATENATE(U454," ",X454)</f>
        <v>08-Infraestructura física, mantenimiento y dotación (Sedes construidas, mantenidas reforzadas) 014_Estaciones de bomberos adecuadas</v>
      </c>
      <c r="Z454" s="186" t="str">
        <f>CONCATENATE(P454,Q454,R454,S454,V454)</f>
        <v>O23011745032024025508014</v>
      </c>
      <c r="AA454" s="186" t="str">
        <f>IFERROR(VLOOKUP(Y454,TD!$K$47:$L$65,2,0)," ")</f>
        <v>PM/0131/0108/45030140255</v>
      </c>
      <c r="AB454" s="53" t="s">
        <v>665</v>
      </c>
      <c r="AC454" s="188" t="s">
        <v>204</v>
      </c>
    </row>
    <row r="455" spans="2:29" s="28" customFormat="1" ht="98" x14ac:dyDescent="0.35">
      <c r="B455" s="77">
        <v>20250460</v>
      </c>
      <c r="C455" s="50" t="s">
        <v>209</v>
      </c>
      <c r="D455" s="184" t="s">
        <v>166</v>
      </c>
      <c r="E455" s="51" t="s">
        <v>558</v>
      </c>
      <c r="F455" s="184" t="s">
        <v>727</v>
      </c>
      <c r="G455" s="184" t="s">
        <v>155</v>
      </c>
      <c r="H455" s="93" t="s">
        <v>609</v>
      </c>
      <c r="I455" s="185">
        <v>2</v>
      </c>
      <c r="J455" s="185">
        <v>11</v>
      </c>
      <c r="K455" s="52">
        <v>0</v>
      </c>
      <c r="L455" s="53">
        <v>81000000</v>
      </c>
      <c r="M455" s="184" t="s">
        <v>464</v>
      </c>
      <c r="N455" s="53" t="s">
        <v>610</v>
      </c>
      <c r="O455" s="51" t="s">
        <v>227</v>
      </c>
      <c r="P455" s="186" t="str">
        <f>IFERROR(VLOOKUP(C455,TD!$B$33:$F$37,2,0)," ")</f>
        <v>O230117</v>
      </c>
      <c r="Q455" s="186" t="str">
        <f>IFERROR(VLOOKUP(C455,TD!$B$33:$F$37,3,0)," ")</f>
        <v>4503</v>
      </c>
      <c r="R455" s="186">
        <f>IFERROR(VLOOKUP(C455,TD!$B$33:$F$37,4,0)," ")</f>
        <v>20240255</v>
      </c>
      <c r="S455" s="51" t="s">
        <v>185</v>
      </c>
      <c r="T455" s="186" t="str">
        <f>IFERROR(VLOOKUP(S455,TD!$J$34:$K$44,2,0)," ")</f>
        <v>Infraestructura física, mantenimiento y dotación (Sedes construidas, mantenidas reforzadas)</v>
      </c>
      <c r="U455" s="187" t="str">
        <f>CONCATENATE(S455,"-",T455)</f>
        <v>08-Infraestructura física, mantenimiento y dotación (Sedes construidas, mantenidas reforzadas)</v>
      </c>
      <c r="V455" s="51" t="s">
        <v>236</v>
      </c>
      <c r="W455" s="186" t="str">
        <f>IFERROR(VLOOKUP(V455,TD!$N$34:$O$46,2,0)," ")</f>
        <v>Estaciones de bomberos adecuadas</v>
      </c>
      <c r="X455" s="187" t="str">
        <f>CONCATENATE(V455,"_",W455)</f>
        <v>014_Estaciones de bomberos adecuadas</v>
      </c>
      <c r="Y455" s="187" t="str">
        <f>CONCATENATE(U455," ",X455)</f>
        <v>08-Infraestructura física, mantenimiento y dotación (Sedes construidas, mantenidas reforzadas) 014_Estaciones de bomberos adecuadas</v>
      </c>
      <c r="Z455" s="186" t="str">
        <f>CONCATENATE(P455,Q455,R455,S455,V455)</f>
        <v>O23011745032024025508014</v>
      </c>
      <c r="AA455" s="186" t="str">
        <f>IFERROR(VLOOKUP(Y455,TD!$K$47:$L$65,2,0)," ")</f>
        <v>PM/0131/0108/45030140255</v>
      </c>
      <c r="AB455" s="53" t="s">
        <v>665</v>
      </c>
      <c r="AC455" s="188" t="s">
        <v>204</v>
      </c>
    </row>
    <row r="456" spans="2:29" s="28" customFormat="1" ht="56" x14ac:dyDescent="0.35">
      <c r="B456" s="77">
        <v>20250461</v>
      </c>
      <c r="C456" s="50" t="s">
        <v>209</v>
      </c>
      <c r="D456" s="184" t="s">
        <v>166</v>
      </c>
      <c r="E456" s="51" t="s">
        <v>558</v>
      </c>
      <c r="F456" s="184" t="s">
        <v>727</v>
      </c>
      <c r="G456" s="184" t="s">
        <v>155</v>
      </c>
      <c r="H456" s="93" t="s">
        <v>609</v>
      </c>
      <c r="I456" s="185">
        <v>2</v>
      </c>
      <c r="J456" s="185">
        <v>11</v>
      </c>
      <c r="K456" s="52">
        <v>0</v>
      </c>
      <c r="L456" s="53">
        <v>81000000</v>
      </c>
      <c r="M456" s="184" t="s">
        <v>464</v>
      </c>
      <c r="N456" s="53" t="s">
        <v>610</v>
      </c>
      <c r="O456" s="51" t="s">
        <v>227</v>
      </c>
      <c r="P456" s="186" t="str">
        <f>IFERROR(VLOOKUP(C456,TD!$B$33:$F$37,2,0)," ")</f>
        <v>O230117</v>
      </c>
      <c r="Q456" s="186" t="str">
        <f>IFERROR(VLOOKUP(C456,TD!$B$33:$F$37,3,0)," ")</f>
        <v>4503</v>
      </c>
      <c r="R456" s="186">
        <f>IFERROR(VLOOKUP(C456,TD!$B$33:$F$37,4,0)," ")</f>
        <v>20240255</v>
      </c>
      <c r="S456" s="51" t="s">
        <v>185</v>
      </c>
      <c r="T456" s="186" t="str">
        <f>IFERROR(VLOOKUP(S456,TD!$J$34:$K$44,2,0)," ")</f>
        <v>Infraestructura física, mantenimiento y dotación (Sedes construidas, mantenidas reforzadas)</v>
      </c>
      <c r="U456" s="187" t="str">
        <f>CONCATENATE(S456,"-",T456)</f>
        <v>08-Infraestructura física, mantenimiento y dotación (Sedes construidas, mantenidas reforzadas)</v>
      </c>
      <c r="V456" s="51" t="s">
        <v>236</v>
      </c>
      <c r="W456" s="186" t="str">
        <f>IFERROR(VLOOKUP(V456,TD!$N$34:$O$46,2,0)," ")</f>
        <v>Estaciones de bomberos adecuadas</v>
      </c>
      <c r="X456" s="187" t="str">
        <f>CONCATENATE(V456,"_",W456)</f>
        <v>014_Estaciones de bomberos adecuadas</v>
      </c>
      <c r="Y456" s="187" t="str">
        <f>CONCATENATE(U456," ",X456)</f>
        <v>08-Infraestructura física, mantenimiento y dotación (Sedes construidas, mantenidas reforzadas) 014_Estaciones de bomberos adecuadas</v>
      </c>
      <c r="Z456" s="186" t="str">
        <f>CONCATENATE(P456,Q456,R456,S456,V456)</f>
        <v>O23011745032024025508014</v>
      </c>
      <c r="AA456" s="186" t="str">
        <f>IFERROR(VLOOKUP(Y456,TD!$K$47:$L$65,2,0)," ")</f>
        <v>PM/0131/0108/45030140255</v>
      </c>
      <c r="AB456" s="53" t="s">
        <v>138</v>
      </c>
      <c r="AC456" s="188" t="s">
        <v>204</v>
      </c>
    </row>
    <row r="457" spans="2:29" s="28" customFormat="1" ht="28" x14ac:dyDescent="0.35">
      <c r="B457" s="127">
        <v>20250462</v>
      </c>
      <c r="C457" s="129" t="s">
        <v>208</v>
      </c>
      <c r="D457" s="189" t="s">
        <v>166</v>
      </c>
      <c r="E457" s="190" t="s">
        <v>558</v>
      </c>
      <c r="F457" s="189" t="s">
        <v>572</v>
      </c>
      <c r="G457" s="189" t="s">
        <v>155</v>
      </c>
      <c r="H457" s="130" t="s">
        <v>609</v>
      </c>
      <c r="I457" s="191">
        <v>2</v>
      </c>
      <c r="J457" s="191">
        <v>11</v>
      </c>
      <c r="K457" s="126">
        <v>0</v>
      </c>
      <c r="L457" s="125">
        <v>66356829</v>
      </c>
      <c r="M457" s="189" t="s">
        <v>464</v>
      </c>
      <c r="N457" s="125" t="s">
        <v>610</v>
      </c>
      <c r="O457" s="190" t="s">
        <v>218</v>
      </c>
      <c r="P457" s="192" t="str">
        <f>IFERROR(VLOOKUP(C457,TD!$B$33:$F$37,2,0)," ")</f>
        <v>O230117</v>
      </c>
      <c r="Q457" s="192" t="str">
        <f>IFERROR(VLOOKUP(C457,TD!$B$33:$F$37,3,0)," ")</f>
        <v>4599</v>
      </c>
      <c r="R457" s="192">
        <f>IFERROR(VLOOKUP(C457,TD!$B$33:$F$37,4,0)," ")</f>
        <v>20240207</v>
      </c>
      <c r="S457" s="190" t="s">
        <v>185</v>
      </c>
      <c r="T457" s="192" t="str">
        <f>IFERROR(VLOOKUP(S457,TD!$J$34:$K$44,2,0)," ")</f>
        <v>Infraestructura física, mantenimiento y dotación (Sedes construidas, mantenidas reforzadas)</v>
      </c>
      <c r="U457" s="187" t="str">
        <f>CONCATENATE(S457,"-",T457)</f>
        <v>08-Infraestructura física, mantenimiento y dotación (Sedes construidas, mantenidas reforzadas)</v>
      </c>
      <c r="V457" s="190" t="s">
        <v>238</v>
      </c>
      <c r="W457" s="192" t="str">
        <f>IFERROR(VLOOKUP(V457,TD!$N$34:$O$46,2,0)," ")</f>
        <v>Sedes mantenidas</v>
      </c>
      <c r="X457" s="187" t="str">
        <f>CONCATENATE(V457,"_",W457)</f>
        <v>016_Sedes mantenidas</v>
      </c>
      <c r="Y457" s="187" t="str">
        <f>CONCATENATE(U457," ",X457)</f>
        <v>08-Infraestructura física, mantenimiento y dotación (Sedes construidas, mantenidas reforzadas) 016_Sedes mantenidas</v>
      </c>
      <c r="Z457" s="192" t="str">
        <f>CONCATENATE(P457,Q457,R457,S457,V457)</f>
        <v>O23011745992024020708016</v>
      </c>
      <c r="AA457" s="192" t="str">
        <f>IFERROR(VLOOKUP(Y457,TD!$K$47:$L$65,2,0)," ")</f>
        <v>PM/0131/0108/45990160207</v>
      </c>
      <c r="AB457" s="125" t="s">
        <v>138</v>
      </c>
      <c r="AC457" s="193" t="s">
        <v>204</v>
      </c>
    </row>
    <row r="458" spans="2:29" s="28" customFormat="1" ht="154" x14ac:dyDescent="0.35">
      <c r="B458" s="127">
        <v>20250463</v>
      </c>
      <c r="C458" s="129" t="s">
        <v>208</v>
      </c>
      <c r="D458" s="189" t="s">
        <v>166</v>
      </c>
      <c r="E458" s="190" t="s">
        <v>558</v>
      </c>
      <c r="F458" s="189" t="s">
        <v>617</v>
      </c>
      <c r="G458" s="189" t="s">
        <v>155</v>
      </c>
      <c r="H458" s="130" t="s">
        <v>609</v>
      </c>
      <c r="I458" s="191">
        <v>2</v>
      </c>
      <c r="J458" s="191">
        <v>11</v>
      </c>
      <c r="K458" s="126">
        <v>0</v>
      </c>
      <c r="L458" s="125">
        <v>81000000</v>
      </c>
      <c r="M458" s="189" t="s">
        <v>464</v>
      </c>
      <c r="N458" s="125" t="s">
        <v>610</v>
      </c>
      <c r="O458" s="190" t="s">
        <v>218</v>
      </c>
      <c r="P458" s="192" t="str">
        <f>IFERROR(VLOOKUP(C458,TD!$B$33:$F$37,2,0)," ")</f>
        <v>O230117</v>
      </c>
      <c r="Q458" s="192" t="str">
        <f>IFERROR(VLOOKUP(C458,TD!$B$33:$F$37,3,0)," ")</f>
        <v>4599</v>
      </c>
      <c r="R458" s="192">
        <f>IFERROR(VLOOKUP(C458,TD!$B$33:$F$37,4,0)," ")</f>
        <v>20240207</v>
      </c>
      <c r="S458" s="190" t="s">
        <v>185</v>
      </c>
      <c r="T458" s="192" t="str">
        <f>IFERROR(VLOOKUP(S458,TD!$J$34:$K$44,2,0)," ")</f>
        <v>Infraestructura física, mantenimiento y dotación (Sedes construidas, mantenidas reforzadas)</v>
      </c>
      <c r="U458" s="187" t="str">
        <f>CONCATENATE(S458,"-",T458)</f>
        <v>08-Infraestructura física, mantenimiento y dotación (Sedes construidas, mantenidas reforzadas)</v>
      </c>
      <c r="V458" s="190" t="s">
        <v>238</v>
      </c>
      <c r="W458" s="192" t="str">
        <f>IFERROR(VLOOKUP(V458,TD!$N$34:$O$46,2,0)," ")</f>
        <v>Sedes mantenidas</v>
      </c>
      <c r="X458" s="187" t="str">
        <f>CONCATENATE(V458,"_",W458)</f>
        <v>016_Sedes mantenidas</v>
      </c>
      <c r="Y458" s="187" t="str">
        <f>CONCATENATE(U458," ",X458)</f>
        <v>08-Infraestructura física, mantenimiento y dotación (Sedes construidas, mantenidas reforzadas) 016_Sedes mantenidas</v>
      </c>
      <c r="Z458" s="192" t="str">
        <f>CONCATENATE(P458,Q458,R458,S458,V458)</f>
        <v>O23011745992024020708016</v>
      </c>
      <c r="AA458" s="192" t="str">
        <f>IFERROR(VLOOKUP(Y458,TD!$K$47:$L$65,2,0)," ")</f>
        <v>PM/0131/0108/45990160207</v>
      </c>
      <c r="AB458" s="125" t="s">
        <v>138</v>
      </c>
      <c r="AC458" s="193" t="s">
        <v>204</v>
      </c>
    </row>
    <row r="459" spans="2:29" s="28" customFormat="1" ht="56" x14ac:dyDescent="0.35">
      <c r="B459" s="127">
        <v>20250464</v>
      </c>
      <c r="C459" s="129" t="s">
        <v>208</v>
      </c>
      <c r="D459" s="189" t="s">
        <v>166</v>
      </c>
      <c r="E459" s="190" t="s">
        <v>558</v>
      </c>
      <c r="F459" s="189" t="s">
        <v>573</v>
      </c>
      <c r="G459" s="189" t="s">
        <v>155</v>
      </c>
      <c r="H459" s="130" t="s">
        <v>609</v>
      </c>
      <c r="I459" s="191">
        <v>2</v>
      </c>
      <c r="J459" s="191">
        <v>11</v>
      </c>
      <c r="K459" s="126">
        <v>0</v>
      </c>
      <c r="L459" s="125">
        <v>83482560</v>
      </c>
      <c r="M459" s="189" t="s">
        <v>464</v>
      </c>
      <c r="N459" s="125" t="s">
        <v>610</v>
      </c>
      <c r="O459" s="190" t="s">
        <v>218</v>
      </c>
      <c r="P459" s="192" t="str">
        <f>IFERROR(VLOOKUP(C459,TD!$B$33:$F$37,2,0)," ")</f>
        <v>O230117</v>
      </c>
      <c r="Q459" s="192" t="str">
        <f>IFERROR(VLOOKUP(C459,TD!$B$33:$F$37,3,0)," ")</f>
        <v>4599</v>
      </c>
      <c r="R459" s="192">
        <f>IFERROR(VLOOKUP(C459,TD!$B$33:$F$37,4,0)," ")</f>
        <v>20240207</v>
      </c>
      <c r="S459" s="190" t="s">
        <v>185</v>
      </c>
      <c r="T459" s="192" t="str">
        <f>IFERROR(VLOOKUP(S459,TD!$J$34:$K$44,2,0)," ")</f>
        <v>Infraestructura física, mantenimiento y dotación (Sedes construidas, mantenidas reforzadas)</v>
      </c>
      <c r="U459" s="187" t="str">
        <f>CONCATENATE(S459,"-",T459)</f>
        <v>08-Infraestructura física, mantenimiento y dotación (Sedes construidas, mantenidas reforzadas)</v>
      </c>
      <c r="V459" s="190" t="s">
        <v>238</v>
      </c>
      <c r="W459" s="192" t="str">
        <f>IFERROR(VLOOKUP(V459,TD!$N$34:$O$46,2,0)," ")</f>
        <v>Sedes mantenidas</v>
      </c>
      <c r="X459" s="187" t="str">
        <f>CONCATENATE(V459,"_",W459)</f>
        <v>016_Sedes mantenidas</v>
      </c>
      <c r="Y459" s="187" t="str">
        <f>CONCATENATE(U459," ",X459)</f>
        <v>08-Infraestructura física, mantenimiento y dotación (Sedes construidas, mantenidas reforzadas) 016_Sedes mantenidas</v>
      </c>
      <c r="Z459" s="192" t="str">
        <f>CONCATENATE(P459,Q459,R459,S459,V459)</f>
        <v>O23011745992024020708016</v>
      </c>
      <c r="AA459" s="192" t="str">
        <f>IFERROR(VLOOKUP(Y459,TD!$K$47:$L$65,2,0)," ")</f>
        <v>PM/0131/0108/45990160207</v>
      </c>
      <c r="AB459" s="125" t="s">
        <v>138</v>
      </c>
      <c r="AC459" s="193" t="s">
        <v>204</v>
      </c>
    </row>
    <row r="460" spans="2:29" s="28" customFormat="1" ht="56" x14ac:dyDescent="0.35">
      <c r="B460" s="77">
        <v>20250465</v>
      </c>
      <c r="C460" s="50" t="s">
        <v>209</v>
      </c>
      <c r="D460" s="184" t="s">
        <v>166</v>
      </c>
      <c r="E460" s="51" t="s">
        <v>558</v>
      </c>
      <c r="F460" s="184" t="s">
        <v>720</v>
      </c>
      <c r="G460" s="184" t="s">
        <v>155</v>
      </c>
      <c r="H460" s="93" t="s">
        <v>609</v>
      </c>
      <c r="I460" s="185">
        <v>2</v>
      </c>
      <c r="J460" s="185">
        <v>11</v>
      </c>
      <c r="K460" s="52">
        <v>0</v>
      </c>
      <c r="L460" s="53">
        <v>66356829</v>
      </c>
      <c r="M460" s="184" t="s">
        <v>464</v>
      </c>
      <c r="N460" s="53" t="s">
        <v>610</v>
      </c>
      <c r="O460" s="51" t="s">
        <v>227</v>
      </c>
      <c r="P460" s="186" t="str">
        <f>IFERROR(VLOOKUP(C460,TD!$B$33:$F$37,2,0)," ")</f>
        <v>O230117</v>
      </c>
      <c r="Q460" s="186" t="str">
        <f>IFERROR(VLOOKUP(C460,TD!$B$33:$F$37,3,0)," ")</f>
        <v>4503</v>
      </c>
      <c r="R460" s="186">
        <f>IFERROR(VLOOKUP(C460,TD!$B$33:$F$37,4,0)," ")</f>
        <v>20240255</v>
      </c>
      <c r="S460" s="51" t="s">
        <v>185</v>
      </c>
      <c r="T460" s="186" t="str">
        <f>IFERROR(VLOOKUP(S460,TD!$J$34:$K$44,2,0)," ")</f>
        <v>Infraestructura física, mantenimiento y dotación (Sedes construidas, mantenidas reforzadas)</v>
      </c>
      <c r="U460" s="187" t="str">
        <f>CONCATENATE(S460,"-",T460)</f>
        <v>08-Infraestructura física, mantenimiento y dotación (Sedes construidas, mantenidas reforzadas)</v>
      </c>
      <c r="V460" s="51" t="s">
        <v>236</v>
      </c>
      <c r="W460" s="186" t="str">
        <f>IFERROR(VLOOKUP(V460,TD!$N$34:$O$46,2,0)," ")</f>
        <v>Estaciones de bomberos adecuadas</v>
      </c>
      <c r="X460" s="187" t="str">
        <f>CONCATENATE(V460,"_",W460)</f>
        <v>014_Estaciones de bomberos adecuadas</v>
      </c>
      <c r="Y460" s="187" t="str">
        <f>CONCATENATE(U460," ",X460)</f>
        <v>08-Infraestructura física, mantenimiento y dotación (Sedes construidas, mantenidas reforzadas) 014_Estaciones de bomberos adecuadas</v>
      </c>
      <c r="Z460" s="186" t="str">
        <f>CONCATENATE(P460,Q460,R460,S460,V460)</f>
        <v>O23011745032024025508014</v>
      </c>
      <c r="AA460" s="186" t="str">
        <f>IFERROR(VLOOKUP(Y460,TD!$K$47:$L$65,2,0)," ")</f>
        <v>PM/0131/0108/45030140255</v>
      </c>
      <c r="AB460" s="53" t="s">
        <v>120</v>
      </c>
      <c r="AC460" s="188" t="s">
        <v>204</v>
      </c>
    </row>
    <row r="461" spans="2:29" s="28" customFormat="1" ht="56" x14ac:dyDescent="0.35">
      <c r="B461" s="127">
        <v>20250466</v>
      </c>
      <c r="C461" s="129" t="s">
        <v>208</v>
      </c>
      <c r="D461" s="189" t="s">
        <v>166</v>
      </c>
      <c r="E461" s="190" t="s">
        <v>558</v>
      </c>
      <c r="F461" s="189" t="s">
        <v>574</v>
      </c>
      <c r="G461" s="189" t="s">
        <v>155</v>
      </c>
      <c r="H461" s="130" t="s">
        <v>609</v>
      </c>
      <c r="I461" s="191">
        <v>2</v>
      </c>
      <c r="J461" s="191">
        <v>11</v>
      </c>
      <c r="K461" s="126">
        <v>0</v>
      </c>
      <c r="L461" s="125">
        <v>61530876</v>
      </c>
      <c r="M461" s="189" t="s">
        <v>464</v>
      </c>
      <c r="N461" s="125" t="s">
        <v>610</v>
      </c>
      <c r="O461" s="190" t="s">
        <v>218</v>
      </c>
      <c r="P461" s="192" t="str">
        <f>IFERROR(VLOOKUP(C461,TD!$B$33:$F$37,2,0)," ")</f>
        <v>O230117</v>
      </c>
      <c r="Q461" s="192" t="str">
        <f>IFERROR(VLOOKUP(C461,TD!$B$33:$F$37,3,0)," ")</f>
        <v>4599</v>
      </c>
      <c r="R461" s="192">
        <f>IFERROR(VLOOKUP(C461,TD!$B$33:$F$37,4,0)," ")</f>
        <v>20240207</v>
      </c>
      <c r="S461" s="190" t="s">
        <v>185</v>
      </c>
      <c r="T461" s="192" t="str">
        <f>IFERROR(VLOOKUP(S461,TD!$J$34:$K$44,2,0)," ")</f>
        <v>Infraestructura física, mantenimiento y dotación (Sedes construidas, mantenidas reforzadas)</v>
      </c>
      <c r="U461" s="187" t="str">
        <f>CONCATENATE(S461,"-",T461)</f>
        <v>08-Infraestructura física, mantenimiento y dotación (Sedes construidas, mantenidas reforzadas)</v>
      </c>
      <c r="V461" s="190" t="s">
        <v>238</v>
      </c>
      <c r="W461" s="192" t="str">
        <f>IFERROR(VLOOKUP(V461,TD!$N$34:$O$46,2,0)," ")</f>
        <v>Sedes mantenidas</v>
      </c>
      <c r="X461" s="187" t="str">
        <f>CONCATENATE(V461,"_",W461)</f>
        <v>016_Sedes mantenidas</v>
      </c>
      <c r="Y461" s="187" t="str">
        <f>CONCATENATE(U461," ",X461)</f>
        <v>08-Infraestructura física, mantenimiento y dotación (Sedes construidas, mantenidas reforzadas) 016_Sedes mantenidas</v>
      </c>
      <c r="Z461" s="192" t="str">
        <f>CONCATENATE(P461,Q461,R461,S461,V461)</f>
        <v>O23011745992024020708016</v>
      </c>
      <c r="AA461" s="192" t="str">
        <f>IFERROR(VLOOKUP(Y461,TD!$K$47:$L$65,2,0)," ")</f>
        <v>PM/0131/0108/45990160207</v>
      </c>
      <c r="AB461" s="125" t="s">
        <v>138</v>
      </c>
      <c r="AC461" s="193" t="s">
        <v>204</v>
      </c>
    </row>
    <row r="462" spans="2:29" s="28" customFormat="1" ht="56" x14ac:dyDescent="0.35">
      <c r="B462" s="77">
        <v>20250468</v>
      </c>
      <c r="C462" s="50" t="s">
        <v>208</v>
      </c>
      <c r="D462" s="184" t="s">
        <v>166</v>
      </c>
      <c r="E462" s="51" t="s">
        <v>558</v>
      </c>
      <c r="F462" s="184" t="s">
        <v>589</v>
      </c>
      <c r="G462" s="184" t="s">
        <v>155</v>
      </c>
      <c r="H462" s="93" t="s">
        <v>609</v>
      </c>
      <c r="I462" s="185">
        <v>2</v>
      </c>
      <c r="J462" s="185">
        <v>11</v>
      </c>
      <c r="K462" s="52">
        <v>0</v>
      </c>
      <c r="L462" s="53">
        <v>61530876</v>
      </c>
      <c r="M462" s="184" t="s">
        <v>464</v>
      </c>
      <c r="N462" s="53" t="s">
        <v>610</v>
      </c>
      <c r="O462" s="51" t="s">
        <v>218</v>
      </c>
      <c r="P462" s="186" t="str">
        <f>IFERROR(VLOOKUP(C462,TD!$B$33:$F$37,2,0)," ")</f>
        <v>O230117</v>
      </c>
      <c r="Q462" s="186" t="str">
        <f>IFERROR(VLOOKUP(C462,TD!$B$33:$F$37,3,0)," ")</f>
        <v>4599</v>
      </c>
      <c r="R462" s="186">
        <f>IFERROR(VLOOKUP(C462,TD!$B$33:$F$37,4,0)," ")</f>
        <v>20240207</v>
      </c>
      <c r="S462" s="51" t="s">
        <v>185</v>
      </c>
      <c r="T462" s="186" t="str">
        <f>IFERROR(VLOOKUP(S462,TD!$J$34:$K$44,2,0)," ")</f>
        <v>Infraestructura física, mantenimiento y dotación (Sedes construidas, mantenidas reforzadas)</v>
      </c>
      <c r="U462" s="187" t="str">
        <f>CONCATENATE(S462,"-",T462)</f>
        <v>08-Infraestructura física, mantenimiento y dotación (Sedes construidas, mantenidas reforzadas)</v>
      </c>
      <c r="V462" s="51" t="s">
        <v>238</v>
      </c>
      <c r="W462" s="186" t="str">
        <f>IFERROR(VLOOKUP(V462,TD!$N$34:$O$46,2,0)," ")</f>
        <v>Sedes mantenidas</v>
      </c>
      <c r="X462" s="187" t="str">
        <f>CONCATENATE(V462,"_",W462)</f>
        <v>016_Sedes mantenidas</v>
      </c>
      <c r="Y462" s="187" t="str">
        <f>CONCATENATE(U462," ",X462)</f>
        <v>08-Infraestructura física, mantenimiento y dotación (Sedes construidas, mantenidas reforzadas) 016_Sedes mantenidas</v>
      </c>
      <c r="Z462" s="186" t="str">
        <f>CONCATENATE(P462,Q462,R462,S462,V462)</f>
        <v>O23011745992024020708016</v>
      </c>
      <c r="AA462" s="186" t="str">
        <f>IFERROR(VLOOKUP(Y462,TD!$K$47:$L$65,2,0)," ")</f>
        <v>PM/0131/0108/45990160207</v>
      </c>
      <c r="AB462" s="53" t="s">
        <v>138</v>
      </c>
      <c r="AC462" s="188" t="s">
        <v>204</v>
      </c>
    </row>
    <row r="463" spans="2:29" s="28" customFormat="1" ht="378" x14ac:dyDescent="0.35">
      <c r="B463" s="77">
        <v>20250469</v>
      </c>
      <c r="C463" s="50" t="s">
        <v>208</v>
      </c>
      <c r="D463" s="184" t="s">
        <v>166</v>
      </c>
      <c r="E463" s="51" t="s">
        <v>558</v>
      </c>
      <c r="F463" s="184" t="s">
        <v>728</v>
      </c>
      <c r="G463" s="184" t="s">
        <v>155</v>
      </c>
      <c r="H463" s="93" t="s">
        <v>609</v>
      </c>
      <c r="I463" s="185">
        <v>2</v>
      </c>
      <c r="J463" s="185">
        <v>11</v>
      </c>
      <c r="K463" s="52">
        <v>0</v>
      </c>
      <c r="L463" s="53">
        <v>83482560</v>
      </c>
      <c r="M463" s="184" t="s">
        <v>464</v>
      </c>
      <c r="N463" s="53" t="s">
        <v>610</v>
      </c>
      <c r="O463" s="51" t="s">
        <v>218</v>
      </c>
      <c r="P463" s="186" t="str">
        <f>IFERROR(VLOOKUP(C463,TD!$B$33:$F$37,2,0)," ")</f>
        <v>O230117</v>
      </c>
      <c r="Q463" s="186" t="str">
        <f>IFERROR(VLOOKUP(C463,TD!$B$33:$F$37,3,0)," ")</f>
        <v>4599</v>
      </c>
      <c r="R463" s="186">
        <f>IFERROR(VLOOKUP(C463,TD!$B$33:$F$37,4,0)," ")</f>
        <v>20240207</v>
      </c>
      <c r="S463" s="51" t="s">
        <v>185</v>
      </c>
      <c r="T463" s="186" t="str">
        <f>IFERROR(VLOOKUP(S463,TD!$J$34:$K$44,2,0)," ")</f>
        <v>Infraestructura física, mantenimiento y dotación (Sedes construidas, mantenidas reforzadas)</v>
      </c>
      <c r="U463" s="187" t="str">
        <f>CONCATENATE(S463,"-",T463)</f>
        <v>08-Infraestructura física, mantenimiento y dotación (Sedes construidas, mantenidas reforzadas)</v>
      </c>
      <c r="V463" s="51" t="s">
        <v>238</v>
      </c>
      <c r="W463" s="186" t="str">
        <f>IFERROR(VLOOKUP(V463,TD!$N$34:$O$46,2,0)," ")</f>
        <v>Sedes mantenidas</v>
      </c>
      <c r="X463" s="187" t="str">
        <f>CONCATENATE(V463,"_",W463)</f>
        <v>016_Sedes mantenidas</v>
      </c>
      <c r="Y463" s="187" t="str">
        <f>CONCATENATE(U463," ",X463)</f>
        <v>08-Infraestructura física, mantenimiento y dotación (Sedes construidas, mantenidas reforzadas) 016_Sedes mantenidas</v>
      </c>
      <c r="Z463" s="186" t="str">
        <f>CONCATENATE(P463,Q463,R463,S463,V463)</f>
        <v>O23011745992024020708016</v>
      </c>
      <c r="AA463" s="186" t="str">
        <f>IFERROR(VLOOKUP(Y463,TD!$K$47:$L$65,2,0)," ")</f>
        <v>PM/0131/0108/45990160207</v>
      </c>
      <c r="AB463" s="53" t="s">
        <v>120</v>
      </c>
      <c r="AC463" s="188" t="s">
        <v>204</v>
      </c>
    </row>
    <row r="464" spans="2:29" s="28" customFormat="1" ht="70" x14ac:dyDescent="0.35">
      <c r="B464" s="77">
        <v>20250470</v>
      </c>
      <c r="C464" s="50" t="s">
        <v>208</v>
      </c>
      <c r="D464" s="184" t="s">
        <v>166</v>
      </c>
      <c r="E464" s="51" t="s">
        <v>558</v>
      </c>
      <c r="F464" s="184" t="s">
        <v>616</v>
      </c>
      <c r="G464" s="184" t="s">
        <v>155</v>
      </c>
      <c r="H464" s="93" t="s">
        <v>609</v>
      </c>
      <c r="I464" s="185">
        <v>2</v>
      </c>
      <c r="J464" s="185">
        <v>11</v>
      </c>
      <c r="K464" s="52">
        <v>0</v>
      </c>
      <c r="L464" s="53">
        <v>66356829</v>
      </c>
      <c r="M464" s="184" t="s">
        <v>464</v>
      </c>
      <c r="N464" s="53" t="s">
        <v>610</v>
      </c>
      <c r="O464" s="51" t="s">
        <v>218</v>
      </c>
      <c r="P464" s="186" t="str">
        <f>IFERROR(VLOOKUP(C464,TD!$B$33:$F$37,2,0)," ")</f>
        <v>O230117</v>
      </c>
      <c r="Q464" s="186" t="str">
        <f>IFERROR(VLOOKUP(C464,TD!$B$33:$F$37,3,0)," ")</f>
        <v>4599</v>
      </c>
      <c r="R464" s="186">
        <f>IFERROR(VLOOKUP(C464,TD!$B$33:$F$37,4,0)," ")</f>
        <v>20240207</v>
      </c>
      <c r="S464" s="51" t="s">
        <v>185</v>
      </c>
      <c r="T464" s="186" t="str">
        <f>IFERROR(VLOOKUP(S464,TD!$J$34:$K$44,2,0)," ")</f>
        <v>Infraestructura física, mantenimiento y dotación (Sedes construidas, mantenidas reforzadas)</v>
      </c>
      <c r="U464" s="187" t="str">
        <f>CONCATENATE(S464,"-",T464)</f>
        <v>08-Infraestructura física, mantenimiento y dotación (Sedes construidas, mantenidas reforzadas)</v>
      </c>
      <c r="V464" s="51" t="s">
        <v>238</v>
      </c>
      <c r="W464" s="186" t="str">
        <f>IFERROR(VLOOKUP(V464,TD!$N$34:$O$46,2,0)," ")</f>
        <v>Sedes mantenidas</v>
      </c>
      <c r="X464" s="187" t="str">
        <f>CONCATENATE(V464,"_",W464)</f>
        <v>016_Sedes mantenidas</v>
      </c>
      <c r="Y464" s="187" t="str">
        <f>CONCATENATE(U464," ",X464)</f>
        <v>08-Infraestructura física, mantenimiento y dotación (Sedes construidas, mantenidas reforzadas) 016_Sedes mantenidas</v>
      </c>
      <c r="Z464" s="186" t="str">
        <f>CONCATENATE(P464,Q464,R464,S464,V464)</f>
        <v>O23011745992024020708016</v>
      </c>
      <c r="AA464" s="186" t="str">
        <f>IFERROR(VLOOKUP(Y464,TD!$K$47:$L$65,2,0)," ")</f>
        <v>PM/0131/0108/45990160207</v>
      </c>
      <c r="AB464" s="53" t="s">
        <v>138</v>
      </c>
      <c r="AC464" s="188" t="s">
        <v>204</v>
      </c>
    </row>
    <row r="465" spans="2:29" s="28" customFormat="1" ht="98" x14ac:dyDescent="0.35">
      <c r="B465" s="77">
        <v>20250471</v>
      </c>
      <c r="C465" s="50" t="s">
        <v>208</v>
      </c>
      <c r="D465" s="184" t="s">
        <v>166</v>
      </c>
      <c r="E465" s="51" t="s">
        <v>558</v>
      </c>
      <c r="F465" s="184" t="s">
        <v>577</v>
      </c>
      <c r="G465" s="184" t="s">
        <v>155</v>
      </c>
      <c r="H465" s="93" t="s">
        <v>609</v>
      </c>
      <c r="I465" s="185">
        <v>2</v>
      </c>
      <c r="J465" s="185">
        <v>11</v>
      </c>
      <c r="K465" s="52">
        <v>0</v>
      </c>
      <c r="L465" s="53">
        <v>46449783</v>
      </c>
      <c r="M465" s="184" t="s">
        <v>464</v>
      </c>
      <c r="N465" s="53" t="s">
        <v>610</v>
      </c>
      <c r="O465" s="51" t="s">
        <v>218</v>
      </c>
      <c r="P465" s="186" t="str">
        <f>IFERROR(VLOOKUP(C465,TD!$B$33:$F$37,2,0)," ")</f>
        <v>O230117</v>
      </c>
      <c r="Q465" s="186" t="str">
        <f>IFERROR(VLOOKUP(C465,TD!$B$33:$F$37,3,0)," ")</f>
        <v>4599</v>
      </c>
      <c r="R465" s="186">
        <f>IFERROR(VLOOKUP(C465,TD!$B$33:$F$37,4,0)," ")</f>
        <v>20240207</v>
      </c>
      <c r="S465" s="51" t="s">
        <v>185</v>
      </c>
      <c r="T465" s="186" t="str">
        <f>IFERROR(VLOOKUP(S465,TD!$J$34:$K$44,2,0)," ")</f>
        <v>Infraestructura física, mantenimiento y dotación (Sedes construidas, mantenidas reforzadas)</v>
      </c>
      <c r="U465" s="187" t="str">
        <f>CONCATENATE(S465,"-",T465)</f>
        <v>08-Infraestructura física, mantenimiento y dotación (Sedes construidas, mantenidas reforzadas)</v>
      </c>
      <c r="V465" s="51" t="s">
        <v>238</v>
      </c>
      <c r="W465" s="186" t="str">
        <f>IFERROR(VLOOKUP(V465,TD!$N$34:$O$46,2,0)," ")</f>
        <v>Sedes mantenidas</v>
      </c>
      <c r="X465" s="187" t="str">
        <f>CONCATENATE(V465,"_",W465)</f>
        <v>016_Sedes mantenidas</v>
      </c>
      <c r="Y465" s="187" t="str">
        <f>CONCATENATE(U465," ",X465)</f>
        <v>08-Infraestructura física, mantenimiento y dotación (Sedes construidas, mantenidas reforzadas) 016_Sedes mantenidas</v>
      </c>
      <c r="Z465" s="186" t="str">
        <f>CONCATENATE(P465,Q465,R465,S465,V465)</f>
        <v>O23011745992024020708016</v>
      </c>
      <c r="AA465" s="186" t="str">
        <f>IFERROR(VLOOKUP(Y465,TD!$K$47:$L$65,2,0)," ")</f>
        <v>PM/0131/0108/45990160207</v>
      </c>
      <c r="AB465" s="53" t="s">
        <v>138</v>
      </c>
      <c r="AC465" s="188" t="s">
        <v>204</v>
      </c>
    </row>
    <row r="466" spans="2:29" s="28" customFormat="1" ht="56" x14ac:dyDescent="0.35">
      <c r="B466" s="77">
        <v>20250472</v>
      </c>
      <c r="C466" s="50" t="s">
        <v>208</v>
      </c>
      <c r="D466" s="184" t="s">
        <v>166</v>
      </c>
      <c r="E466" s="51" t="s">
        <v>558</v>
      </c>
      <c r="F466" s="184" t="s">
        <v>567</v>
      </c>
      <c r="G466" s="184" t="s">
        <v>156</v>
      </c>
      <c r="H466" s="93" t="s">
        <v>609</v>
      </c>
      <c r="I466" s="185">
        <v>2</v>
      </c>
      <c r="J466" s="185">
        <v>11</v>
      </c>
      <c r="K466" s="52">
        <v>0</v>
      </c>
      <c r="L466" s="53">
        <v>31140000</v>
      </c>
      <c r="M466" s="184" t="s">
        <v>464</v>
      </c>
      <c r="N466" s="53" t="s">
        <v>610</v>
      </c>
      <c r="O466" s="51" t="s">
        <v>218</v>
      </c>
      <c r="P466" s="186" t="str">
        <f>IFERROR(VLOOKUP(C466,TD!$B$33:$F$37,2,0)," ")</f>
        <v>O230117</v>
      </c>
      <c r="Q466" s="186" t="str">
        <f>IFERROR(VLOOKUP(C466,TD!$B$33:$F$37,3,0)," ")</f>
        <v>4599</v>
      </c>
      <c r="R466" s="186">
        <f>IFERROR(VLOOKUP(C466,TD!$B$33:$F$37,4,0)," ")</f>
        <v>20240207</v>
      </c>
      <c r="S466" s="51" t="s">
        <v>185</v>
      </c>
      <c r="T466" s="186" t="str">
        <f>IFERROR(VLOOKUP(S466,TD!$J$34:$K$44,2,0)," ")</f>
        <v>Infraestructura física, mantenimiento y dotación (Sedes construidas, mantenidas reforzadas)</v>
      </c>
      <c r="U466" s="187" t="str">
        <f>CONCATENATE(S466,"-",T466)</f>
        <v>08-Infraestructura física, mantenimiento y dotación (Sedes construidas, mantenidas reforzadas)</v>
      </c>
      <c r="V466" s="51" t="s">
        <v>238</v>
      </c>
      <c r="W466" s="186" t="str">
        <f>IFERROR(VLOOKUP(V466,TD!$N$34:$O$46,2,0)," ")</f>
        <v>Sedes mantenidas</v>
      </c>
      <c r="X466" s="187" t="str">
        <f>CONCATENATE(V466,"_",W466)</f>
        <v>016_Sedes mantenidas</v>
      </c>
      <c r="Y466" s="187" t="str">
        <f>CONCATENATE(U466," ",X466)</f>
        <v>08-Infraestructura física, mantenimiento y dotación (Sedes construidas, mantenidas reforzadas) 016_Sedes mantenidas</v>
      </c>
      <c r="Z466" s="186" t="str">
        <f>CONCATENATE(P466,Q466,R466,S466,V466)</f>
        <v>O23011745992024020708016</v>
      </c>
      <c r="AA466" s="186" t="str">
        <f>IFERROR(VLOOKUP(Y466,TD!$K$47:$L$65,2,0)," ")</f>
        <v>PM/0131/0108/45990160207</v>
      </c>
      <c r="AB466" s="53" t="s">
        <v>138</v>
      </c>
      <c r="AC466" s="188" t="s">
        <v>204</v>
      </c>
    </row>
    <row r="467" spans="2:29" s="28" customFormat="1" ht="70" x14ac:dyDescent="0.35">
      <c r="B467" s="77">
        <v>20250473</v>
      </c>
      <c r="C467" s="50" t="s">
        <v>208</v>
      </c>
      <c r="D467" s="184" t="s">
        <v>166</v>
      </c>
      <c r="E467" s="51" t="s">
        <v>558</v>
      </c>
      <c r="F467" s="184" t="s">
        <v>578</v>
      </c>
      <c r="G467" s="184" t="s">
        <v>156</v>
      </c>
      <c r="H467" s="93" t="s">
        <v>609</v>
      </c>
      <c r="I467" s="185">
        <v>2</v>
      </c>
      <c r="J467" s="185">
        <v>0</v>
      </c>
      <c r="K467" s="52">
        <v>11</v>
      </c>
      <c r="L467" s="53">
        <v>29558952</v>
      </c>
      <c r="M467" s="184" t="s">
        <v>464</v>
      </c>
      <c r="N467" s="53" t="s">
        <v>610</v>
      </c>
      <c r="O467" s="51" t="s">
        <v>218</v>
      </c>
      <c r="P467" s="186" t="str">
        <f>IFERROR(VLOOKUP(C467,TD!$B$33:$F$37,2,0)," ")</f>
        <v>O230117</v>
      </c>
      <c r="Q467" s="186" t="str">
        <f>IFERROR(VLOOKUP(C467,TD!$B$33:$F$37,3,0)," ")</f>
        <v>4599</v>
      </c>
      <c r="R467" s="186">
        <f>IFERROR(VLOOKUP(C467,TD!$B$33:$F$37,4,0)," ")</f>
        <v>20240207</v>
      </c>
      <c r="S467" s="51" t="s">
        <v>185</v>
      </c>
      <c r="T467" s="186" t="str">
        <f>IFERROR(VLOOKUP(S467,TD!$J$34:$K$44,2,0)," ")</f>
        <v>Infraestructura física, mantenimiento y dotación (Sedes construidas, mantenidas reforzadas)</v>
      </c>
      <c r="U467" s="187" t="str">
        <f>CONCATENATE(S467,"-",T467)</f>
        <v>08-Infraestructura física, mantenimiento y dotación (Sedes construidas, mantenidas reforzadas)</v>
      </c>
      <c r="V467" s="51" t="s">
        <v>238</v>
      </c>
      <c r="W467" s="186" t="str">
        <f>IFERROR(VLOOKUP(V467,TD!$N$34:$O$46,2,0)," ")</f>
        <v>Sedes mantenidas</v>
      </c>
      <c r="X467" s="187" t="str">
        <f>CONCATENATE(V467,"_",W467)</f>
        <v>016_Sedes mantenidas</v>
      </c>
      <c r="Y467" s="187" t="str">
        <f>CONCATENATE(U467," ",X467)</f>
        <v>08-Infraestructura física, mantenimiento y dotación (Sedes construidas, mantenidas reforzadas) 016_Sedes mantenidas</v>
      </c>
      <c r="Z467" s="186" t="str">
        <f>CONCATENATE(P467,Q467,R467,S467,V467)</f>
        <v>O23011745992024020708016</v>
      </c>
      <c r="AA467" s="186" t="str">
        <f>IFERROR(VLOOKUP(Y467,TD!$K$47:$L$65,2,0)," ")</f>
        <v>PM/0131/0108/45990160207</v>
      </c>
      <c r="AB467" s="53" t="s">
        <v>138</v>
      </c>
      <c r="AC467" s="188" t="s">
        <v>204</v>
      </c>
    </row>
    <row r="468" spans="2:29" s="28" customFormat="1" ht="112" x14ac:dyDescent="0.35">
      <c r="B468" s="77">
        <v>20250474</v>
      </c>
      <c r="C468" s="50" t="s">
        <v>208</v>
      </c>
      <c r="D468" s="184" t="s">
        <v>166</v>
      </c>
      <c r="E468" s="51" t="s">
        <v>558</v>
      </c>
      <c r="F468" s="184" t="s">
        <v>578</v>
      </c>
      <c r="G468" s="184" t="s">
        <v>156</v>
      </c>
      <c r="H468" s="93" t="s">
        <v>609</v>
      </c>
      <c r="I468" s="185">
        <v>2</v>
      </c>
      <c r="J468" s="185">
        <v>11</v>
      </c>
      <c r="K468" s="52">
        <v>0</v>
      </c>
      <c r="L468" s="53">
        <v>29558952</v>
      </c>
      <c r="M468" s="184" t="s">
        <v>464</v>
      </c>
      <c r="N468" s="53" t="s">
        <v>610</v>
      </c>
      <c r="O468" s="51" t="s">
        <v>218</v>
      </c>
      <c r="P468" s="186" t="str">
        <f>IFERROR(VLOOKUP(C468,TD!$B$33:$F$37,2,0)," ")</f>
        <v>O230117</v>
      </c>
      <c r="Q468" s="186" t="str">
        <f>IFERROR(VLOOKUP(C468,TD!$B$33:$F$37,3,0)," ")</f>
        <v>4599</v>
      </c>
      <c r="R468" s="186">
        <f>IFERROR(VLOOKUP(C468,TD!$B$33:$F$37,4,0)," ")</f>
        <v>20240207</v>
      </c>
      <c r="S468" s="51" t="s">
        <v>185</v>
      </c>
      <c r="T468" s="186" t="str">
        <f>IFERROR(VLOOKUP(S468,TD!$J$34:$K$44,2,0)," ")</f>
        <v>Infraestructura física, mantenimiento y dotación (Sedes construidas, mantenidas reforzadas)</v>
      </c>
      <c r="U468" s="187" t="str">
        <f>CONCATENATE(S468,"-",T468)</f>
        <v>08-Infraestructura física, mantenimiento y dotación (Sedes construidas, mantenidas reforzadas)</v>
      </c>
      <c r="V468" s="51" t="s">
        <v>238</v>
      </c>
      <c r="W468" s="186" t="str">
        <f>IFERROR(VLOOKUP(V468,TD!$N$34:$O$46,2,0)," ")</f>
        <v>Sedes mantenidas</v>
      </c>
      <c r="X468" s="187" t="str">
        <f>CONCATENATE(V468,"_",W468)</f>
        <v>016_Sedes mantenidas</v>
      </c>
      <c r="Y468" s="187" t="str">
        <f>CONCATENATE(U468," ",X468)</f>
        <v>08-Infraestructura física, mantenimiento y dotación (Sedes construidas, mantenidas reforzadas) 016_Sedes mantenidas</v>
      </c>
      <c r="Z468" s="186" t="str">
        <f>CONCATENATE(P468,Q468,R468,S468,V468)</f>
        <v>O23011745992024020708016</v>
      </c>
      <c r="AA468" s="186" t="str">
        <f>IFERROR(VLOOKUP(Y468,TD!$K$47:$L$65,2,0)," ")</f>
        <v>PM/0131/0108/45990160207</v>
      </c>
      <c r="AB468" s="53" t="s">
        <v>138</v>
      </c>
      <c r="AC468" s="188" t="s">
        <v>204</v>
      </c>
    </row>
    <row r="469" spans="2:29" s="28" customFormat="1" ht="42" x14ac:dyDescent="0.35">
      <c r="B469" s="77">
        <v>20250475</v>
      </c>
      <c r="C469" s="50" t="s">
        <v>208</v>
      </c>
      <c r="D469" s="184" t="s">
        <v>166</v>
      </c>
      <c r="E469" s="51" t="s">
        <v>558</v>
      </c>
      <c r="F469" s="184" t="s">
        <v>578</v>
      </c>
      <c r="G469" s="184" t="s">
        <v>156</v>
      </c>
      <c r="H469" s="93" t="s">
        <v>609</v>
      </c>
      <c r="I469" s="185">
        <v>2</v>
      </c>
      <c r="J469" s="185">
        <v>11</v>
      </c>
      <c r="K469" s="52">
        <v>0</v>
      </c>
      <c r="L469" s="53">
        <v>29558952</v>
      </c>
      <c r="M469" s="184" t="s">
        <v>464</v>
      </c>
      <c r="N469" s="53" t="s">
        <v>610</v>
      </c>
      <c r="O469" s="51" t="s">
        <v>218</v>
      </c>
      <c r="P469" s="186" t="str">
        <f>IFERROR(VLOOKUP(C469,TD!$B$33:$F$37,2,0)," ")</f>
        <v>O230117</v>
      </c>
      <c r="Q469" s="186" t="str">
        <f>IFERROR(VLOOKUP(C469,TD!$B$33:$F$37,3,0)," ")</f>
        <v>4599</v>
      </c>
      <c r="R469" s="186">
        <f>IFERROR(VLOOKUP(C469,TD!$B$33:$F$37,4,0)," ")</f>
        <v>20240207</v>
      </c>
      <c r="S469" s="51" t="s">
        <v>185</v>
      </c>
      <c r="T469" s="186" t="str">
        <f>IFERROR(VLOOKUP(S469,TD!$J$34:$K$44,2,0)," ")</f>
        <v>Infraestructura física, mantenimiento y dotación (Sedes construidas, mantenidas reforzadas)</v>
      </c>
      <c r="U469" s="187" t="str">
        <f>CONCATENATE(S469,"-",T469)</f>
        <v>08-Infraestructura física, mantenimiento y dotación (Sedes construidas, mantenidas reforzadas)</v>
      </c>
      <c r="V469" s="51" t="s">
        <v>238</v>
      </c>
      <c r="W469" s="186" t="str">
        <f>IFERROR(VLOOKUP(V469,TD!$N$34:$O$46,2,0)," ")</f>
        <v>Sedes mantenidas</v>
      </c>
      <c r="X469" s="187" t="str">
        <f>CONCATENATE(V469,"_",W469)</f>
        <v>016_Sedes mantenidas</v>
      </c>
      <c r="Y469" s="187" t="str">
        <f>CONCATENATE(U469," ",X469)</f>
        <v>08-Infraestructura física, mantenimiento y dotación (Sedes construidas, mantenidas reforzadas) 016_Sedes mantenidas</v>
      </c>
      <c r="Z469" s="186" t="str">
        <f>CONCATENATE(P469,Q469,R469,S469,V469)</f>
        <v>O23011745992024020708016</v>
      </c>
      <c r="AA469" s="186" t="str">
        <f>IFERROR(VLOOKUP(Y469,TD!$K$47:$L$65,2,0)," ")</f>
        <v>PM/0131/0108/45990160207</v>
      </c>
      <c r="AB469" s="53" t="s">
        <v>138</v>
      </c>
      <c r="AC469" s="188" t="s">
        <v>204</v>
      </c>
    </row>
    <row r="470" spans="2:29" s="28" customFormat="1" ht="70" x14ac:dyDescent="0.35">
      <c r="B470" s="77">
        <v>20250476</v>
      </c>
      <c r="C470" s="50" t="s">
        <v>208</v>
      </c>
      <c r="D470" s="184" t="s">
        <v>166</v>
      </c>
      <c r="E470" s="51" t="s">
        <v>558</v>
      </c>
      <c r="F470" s="184" t="s">
        <v>579</v>
      </c>
      <c r="G470" s="184" t="s">
        <v>155</v>
      </c>
      <c r="H470" s="93" t="s">
        <v>609</v>
      </c>
      <c r="I470" s="185">
        <v>2</v>
      </c>
      <c r="J470" s="185">
        <v>11</v>
      </c>
      <c r="K470" s="52">
        <v>0</v>
      </c>
      <c r="L470" s="53">
        <v>46449783</v>
      </c>
      <c r="M470" s="184" t="s">
        <v>464</v>
      </c>
      <c r="N470" s="53" t="s">
        <v>610</v>
      </c>
      <c r="O470" s="51" t="s">
        <v>218</v>
      </c>
      <c r="P470" s="186" t="str">
        <f>IFERROR(VLOOKUP(C470,TD!$B$33:$F$37,2,0)," ")</f>
        <v>O230117</v>
      </c>
      <c r="Q470" s="186" t="str">
        <f>IFERROR(VLOOKUP(C470,TD!$B$33:$F$37,3,0)," ")</f>
        <v>4599</v>
      </c>
      <c r="R470" s="186">
        <f>IFERROR(VLOOKUP(C470,TD!$B$33:$F$37,4,0)," ")</f>
        <v>20240207</v>
      </c>
      <c r="S470" s="51" t="s">
        <v>185</v>
      </c>
      <c r="T470" s="186" t="str">
        <f>IFERROR(VLOOKUP(S470,TD!$J$34:$K$44,2,0)," ")</f>
        <v>Infraestructura física, mantenimiento y dotación (Sedes construidas, mantenidas reforzadas)</v>
      </c>
      <c r="U470" s="187" t="str">
        <f>CONCATENATE(S470,"-",T470)</f>
        <v>08-Infraestructura física, mantenimiento y dotación (Sedes construidas, mantenidas reforzadas)</v>
      </c>
      <c r="V470" s="51" t="s">
        <v>238</v>
      </c>
      <c r="W470" s="186" t="str">
        <f>IFERROR(VLOOKUP(V470,TD!$N$34:$O$46,2,0)," ")</f>
        <v>Sedes mantenidas</v>
      </c>
      <c r="X470" s="187" t="str">
        <f>CONCATENATE(V470,"_",W470)</f>
        <v>016_Sedes mantenidas</v>
      </c>
      <c r="Y470" s="187" t="str">
        <f>CONCATENATE(U470," ",X470)</f>
        <v>08-Infraestructura física, mantenimiento y dotación (Sedes construidas, mantenidas reforzadas) 016_Sedes mantenidas</v>
      </c>
      <c r="Z470" s="186" t="str">
        <f>CONCATENATE(P470,Q470,R470,S470,V470)</f>
        <v>O23011745992024020708016</v>
      </c>
      <c r="AA470" s="186" t="str">
        <f>IFERROR(VLOOKUP(Y470,TD!$K$47:$L$65,2,0)," ")</f>
        <v>PM/0131/0108/45990160207</v>
      </c>
      <c r="AB470" s="53" t="s">
        <v>138</v>
      </c>
      <c r="AC470" s="188" t="s">
        <v>204</v>
      </c>
    </row>
    <row r="471" spans="2:29" s="28" customFormat="1" ht="56" x14ac:dyDescent="0.35">
      <c r="B471" s="127">
        <v>20250477</v>
      </c>
      <c r="C471" s="129" t="s">
        <v>208</v>
      </c>
      <c r="D471" s="189" t="s">
        <v>166</v>
      </c>
      <c r="E471" s="190" t="s">
        <v>558</v>
      </c>
      <c r="F471" s="189" t="s">
        <v>578</v>
      </c>
      <c r="G471" s="189" t="s">
        <v>156</v>
      </c>
      <c r="H471" s="130" t="s">
        <v>609</v>
      </c>
      <c r="I471" s="191">
        <v>2</v>
      </c>
      <c r="J471" s="191">
        <v>11</v>
      </c>
      <c r="K471" s="126">
        <v>0</v>
      </c>
      <c r="L471" s="125">
        <v>29558952</v>
      </c>
      <c r="M471" s="189" t="s">
        <v>464</v>
      </c>
      <c r="N471" s="125" t="s">
        <v>610</v>
      </c>
      <c r="O471" s="190" t="s">
        <v>218</v>
      </c>
      <c r="P471" s="192" t="str">
        <f>IFERROR(VLOOKUP(C471,TD!$B$33:$F$37,2,0)," ")</f>
        <v>O230117</v>
      </c>
      <c r="Q471" s="192" t="str">
        <f>IFERROR(VLOOKUP(C471,TD!$B$33:$F$37,3,0)," ")</f>
        <v>4599</v>
      </c>
      <c r="R471" s="192">
        <f>IFERROR(VLOOKUP(C471,TD!$B$33:$F$37,4,0)," ")</f>
        <v>20240207</v>
      </c>
      <c r="S471" s="190" t="s">
        <v>185</v>
      </c>
      <c r="T471" s="192" t="str">
        <f>IFERROR(VLOOKUP(S471,TD!$J$34:$K$44,2,0)," ")</f>
        <v>Infraestructura física, mantenimiento y dotación (Sedes construidas, mantenidas reforzadas)</v>
      </c>
      <c r="U471" s="187" t="str">
        <f>CONCATENATE(S471,"-",T471)</f>
        <v>08-Infraestructura física, mantenimiento y dotación (Sedes construidas, mantenidas reforzadas)</v>
      </c>
      <c r="V471" s="190" t="s">
        <v>238</v>
      </c>
      <c r="W471" s="192" t="str">
        <f>IFERROR(VLOOKUP(V471,TD!$N$34:$O$46,2,0)," ")</f>
        <v>Sedes mantenidas</v>
      </c>
      <c r="X471" s="187" t="str">
        <f>CONCATENATE(V471,"_",W471)</f>
        <v>016_Sedes mantenidas</v>
      </c>
      <c r="Y471" s="187" t="str">
        <f>CONCATENATE(U471," ",X471)</f>
        <v>08-Infraestructura física, mantenimiento y dotación (Sedes construidas, mantenidas reforzadas) 016_Sedes mantenidas</v>
      </c>
      <c r="Z471" s="192" t="str">
        <f>CONCATENATE(P471,Q471,R471,S471,V471)</f>
        <v>O23011745992024020708016</v>
      </c>
      <c r="AA471" s="192" t="str">
        <f>IFERROR(VLOOKUP(Y471,TD!$K$47:$L$65,2,0)," ")</f>
        <v>PM/0131/0108/45990160207</v>
      </c>
      <c r="AB471" s="125" t="s">
        <v>138</v>
      </c>
      <c r="AC471" s="193" t="s">
        <v>204</v>
      </c>
    </row>
    <row r="472" spans="2:29" s="28" customFormat="1" ht="70" x14ac:dyDescent="0.35">
      <c r="B472" s="127">
        <v>20250478</v>
      </c>
      <c r="C472" s="129" t="s">
        <v>208</v>
      </c>
      <c r="D472" s="189" t="s">
        <v>166</v>
      </c>
      <c r="E472" s="190" t="s">
        <v>558</v>
      </c>
      <c r="F472" s="189" t="s">
        <v>618</v>
      </c>
      <c r="G472" s="189" t="s">
        <v>155</v>
      </c>
      <c r="H472" s="130" t="s">
        <v>609</v>
      </c>
      <c r="I472" s="191">
        <v>2</v>
      </c>
      <c r="J472" s="191">
        <v>11</v>
      </c>
      <c r="K472" s="126">
        <v>0</v>
      </c>
      <c r="L472" s="125">
        <v>54291951</v>
      </c>
      <c r="M472" s="189" t="s">
        <v>464</v>
      </c>
      <c r="N472" s="125" t="s">
        <v>610</v>
      </c>
      <c r="O472" s="190" t="s">
        <v>219</v>
      </c>
      <c r="P472" s="192" t="str">
        <f>IFERROR(VLOOKUP(C472,TD!$B$33:$F$37,2,0)," ")</f>
        <v>O230117</v>
      </c>
      <c r="Q472" s="192" t="str">
        <f>IFERROR(VLOOKUP(C472,TD!$B$33:$F$37,3,0)," ")</f>
        <v>4599</v>
      </c>
      <c r="R472" s="192">
        <f>IFERROR(VLOOKUP(C472,TD!$B$33:$F$37,4,0)," ")</f>
        <v>20240207</v>
      </c>
      <c r="S472" s="190" t="s">
        <v>185</v>
      </c>
      <c r="T472" s="192" t="str">
        <f>IFERROR(VLOOKUP(S472,TD!$J$34:$K$44,2,0)," ")</f>
        <v>Infraestructura física, mantenimiento y dotación (Sedes construidas, mantenidas reforzadas)</v>
      </c>
      <c r="U472" s="187" t="str">
        <f>CONCATENATE(S472,"-",T472)</f>
        <v>08-Infraestructura física, mantenimiento y dotación (Sedes construidas, mantenidas reforzadas)</v>
      </c>
      <c r="V472" s="190" t="s">
        <v>238</v>
      </c>
      <c r="W472" s="192" t="str">
        <f>IFERROR(VLOOKUP(V472,TD!$N$34:$O$46,2,0)," ")</f>
        <v>Sedes mantenidas</v>
      </c>
      <c r="X472" s="187" t="str">
        <f>CONCATENATE(V472,"_",W472)</f>
        <v>016_Sedes mantenidas</v>
      </c>
      <c r="Y472" s="187" t="str">
        <f>CONCATENATE(U472," ",X472)</f>
        <v>08-Infraestructura física, mantenimiento y dotación (Sedes construidas, mantenidas reforzadas) 016_Sedes mantenidas</v>
      </c>
      <c r="Z472" s="192" t="str">
        <f>CONCATENATE(P472,Q472,R472,S472,V472)</f>
        <v>O23011745992024020708016</v>
      </c>
      <c r="AA472" s="192" t="str">
        <f>IFERROR(VLOOKUP(Y472,TD!$K$47:$L$65,2,0)," ")</f>
        <v>PM/0131/0108/45990160207</v>
      </c>
      <c r="AB472" s="125" t="s">
        <v>138</v>
      </c>
      <c r="AC472" s="193" t="s">
        <v>204</v>
      </c>
    </row>
    <row r="473" spans="2:29" s="28" customFormat="1" ht="56" x14ac:dyDescent="0.35">
      <c r="B473" s="127">
        <v>20250479</v>
      </c>
      <c r="C473" s="129" t="s">
        <v>208</v>
      </c>
      <c r="D473" s="189" t="s">
        <v>166</v>
      </c>
      <c r="E473" s="190" t="s">
        <v>558</v>
      </c>
      <c r="F473" s="189" t="s">
        <v>618</v>
      </c>
      <c r="G473" s="189" t="s">
        <v>155</v>
      </c>
      <c r="H473" s="130" t="s">
        <v>609</v>
      </c>
      <c r="I473" s="191">
        <v>2</v>
      </c>
      <c r="J473" s="191">
        <v>11</v>
      </c>
      <c r="K473" s="126">
        <v>0</v>
      </c>
      <c r="L473" s="125">
        <v>54291951</v>
      </c>
      <c r="M473" s="189" t="s">
        <v>464</v>
      </c>
      <c r="N473" s="125" t="s">
        <v>610</v>
      </c>
      <c r="O473" s="190" t="s">
        <v>219</v>
      </c>
      <c r="P473" s="192" t="str">
        <f>IFERROR(VLOOKUP(C473,TD!$B$33:$F$37,2,0)," ")</f>
        <v>O230117</v>
      </c>
      <c r="Q473" s="192" t="str">
        <f>IFERROR(VLOOKUP(C473,TD!$B$33:$F$37,3,0)," ")</f>
        <v>4599</v>
      </c>
      <c r="R473" s="192">
        <f>IFERROR(VLOOKUP(C473,TD!$B$33:$F$37,4,0)," ")</f>
        <v>20240207</v>
      </c>
      <c r="S473" s="190" t="s">
        <v>185</v>
      </c>
      <c r="T473" s="192" t="str">
        <f>IFERROR(VLOOKUP(S473,TD!$J$34:$K$44,2,0)," ")</f>
        <v>Infraestructura física, mantenimiento y dotación (Sedes construidas, mantenidas reforzadas)</v>
      </c>
      <c r="U473" s="187" t="str">
        <f>CONCATENATE(S473,"-",T473)</f>
        <v>08-Infraestructura física, mantenimiento y dotación (Sedes construidas, mantenidas reforzadas)</v>
      </c>
      <c r="V473" s="190" t="s">
        <v>238</v>
      </c>
      <c r="W473" s="192" t="str">
        <f>IFERROR(VLOOKUP(V473,TD!$N$34:$O$46,2,0)," ")</f>
        <v>Sedes mantenidas</v>
      </c>
      <c r="X473" s="187" t="str">
        <f>CONCATENATE(V473,"_",W473)</f>
        <v>016_Sedes mantenidas</v>
      </c>
      <c r="Y473" s="187" t="str">
        <f>CONCATENATE(U473," ",X473)</f>
        <v>08-Infraestructura física, mantenimiento y dotación (Sedes construidas, mantenidas reforzadas) 016_Sedes mantenidas</v>
      </c>
      <c r="Z473" s="192" t="str">
        <f>CONCATENATE(P473,Q473,R473,S473,V473)</f>
        <v>O23011745992024020708016</v>
      </c>
      <c r="AA473" s="192" t="str">
        <f>IFERROR(VLOOKUP(Y473,TD!$K$47:$L$65,2,0)," ")</f>
        <v>PM/0131/0108/45990160207</v>
      </c>
      <c r="AB473" s="125" t="s">
        <v>138</v>
      </c>
      <c r="AC473" s="193" t="s">
        <v>204</v>
      </c>
    </row>
    <row r="474" spans="2:29" s="28" customFormat="1" ht="70" x14ac:dyDescent="0.35">
      <c r="B474" s="127">
        <v>20250480</v>
      </c>
      <c r="C474" s="129" t="s">
        <v>208</v>
      </c>
      <c r="D474" s="189" t="s">
        <v>166</v>
      </c>
      <c r="E474" s="190" t="s">
        <v>558</v>
      </c>
      <c r="F474" s="189" t="s">
        <v>581</v>
      </c>
      <c r="G474" s="189" t="s">
        <v>156</v>
      </c>
      <c r="H474" s="130" t="s">
        <v>609</v>
      </c>
      <c r="I474" s="191">
        <v>2</v>
      </c>
      <c r="J474" s="191">
        <v>11</v>
      </c>
      <c r="K474" s="126">
        <v>0</v>
      </c>
      <c r="L474" s="125">
        <v>40417344</v>
      </c>
      <c r="M474" s="189" t="s">
        <v>464</v>
      </c>
      <c r="N474" s="125" t="s">
        <v>610</v>
      </c>
      <c r="O474" s="190" t="s">
        <v>219</v>
      </c>
      <c r="P474" s="192" t="str">
        <f>IFERROR(VLOOKUP(C474,TD!$B$33:$F$37,2,0)," ")</f>
        <v>O230117</v>
      </c>
      <c r="Q474" s="192" t="str">
        <f>IFERROR(VLOOKUP(C474,TD!$B$33:$F$37,3,0)," ")</f>
        <v>4599</v>
      </c>
      <c r="R474" s="192">
        <f>IFERROR(VLOOKUP(C474,TD!$B$33:$F$37,4,0)," ")</f>
        <v>20240207</v>
      </c>
      <c r="S474" s="190" t="s">
        <v>185</v>
      </c>
      <c r="T474" s="192" t="str">
        <f>IFERROR(VLOOKUP(S474,TD!$J$34:$K$44,2,0)," ")</f>
        <v>Infraestructura física, mantenimiento y dotación (Sedes construidas, mantenidas reforzadas)</v>
      </c>
      <c r="U474" s="187" t="str">
        <f>CONCATENATE(S474,"-",T474)</f>
        <v>08-Infraestructura física, mantenimiento y dotación (Sedes construidas, mantenidas reforzadas)</v>
      </c>
      <c r="V474" s="190" t="s">
        <v>238</v>
      </c>
      <c r="W474" s="192" t="str">
        <f>IFERROR(VLOOKUP(V474,TD!$N$34:$O$46,2,0)," ")</f>
        <v>Sedes mantenidas</v>
      </c>
      <c r="X474" s="187" t="str">
        <f>CONCATENATE(V474,"_",W474)</f>
        <v>016_Sedes mantenidas</v>
      </c>
      <c r="Y474" s="187" t="str">
        <f>CONCATENATE(U474," ",X474)</f>
        <v>08-Infraestructura física, mantenimiento y dotación (Sedes construidas, mantenidas reforzadas) 016_Sedes mantenidas</v>
      </c>
      <c r="Z474" s="192" t="str">
        <f>CONCATENATE(P474,Q474,R474,S474,V474)</f>
        <v>O23011745992024020708016</v>
      </c>
      <c r="AA474" s="192" t="str">
        <f>IFERROR(VLOOKUP(Y474,TD!$K$47:$L$65,2,0)," ")</f>
        <v>PM/0131/0108/45990160207</v>
      </c>
      <c r="AB474" s="125" t="s">
        <v>138</v>
      </c>
      <c r="AC474" s="193" t="s">
        <v>204</v>
      </c>
    </row>
    <row r="475" spans="2:29" s="28" customFormat="1" ht="42" x14ac:dyDescent="0.35">
      <c r="B475" s="127">
        <v>20250481</v>
      </c>
      <c r="C475" s="129" t="s">
        <v>208</v>
      </c>
      <c r="D475" s="189" t="s">
        <v>166</v>
      </c>
      <c r="E475" s="190" t="s">
        <v>558</v>
      </c>
      <c r="F475" s="189" t="s">
        <v>583</v>
      </c>
      <c r="G475" s="189" t="s">
        <v>155</v>
      </c>
      <c r="H475" s="130" t="s">
        <v>609</v>
      </c>
      <c r="I475" s="191">
        <v>2</v>
      </c>
      <c r="J475" s="191">
        <v>11</v>
      </c>
      <c r="K475" s="126">
        <v>0</v>
      </c>
      <c r="L475" s="125">
        <v>54291951</v>
      </c>
      <c r="M475" s="189" t="s">
        <v>464</v>
      </c>
      <c r="N475" s="125" t="s">
        <v>610</v>
      </c>
      <c r="O475" s="190" t="s">
        <v>219</v>
      </c>
      <c r="P475" s="192" t="str">
        <f>IFERROR(VLOOKUP(C475,TD!$B$33:$F$37,2,0)," ")</f>
        <v>O230117</v>
      </c>
      <c r="Q475" s="192" t="str">
        <f>IFERROR(VLOOKUP(C475,TD!$B$33:$F$37,3,0)," ")</f>
        <v>4599</v>
      </c>
      <c r="R475" s="192">
        <f>IFERROR(VLOOKUP(C475,TD!$B$33:$F$37,4,0)," ")</f>
        <v>20240207</v>
      </c>
      <c r="S475" s="190" t="s">
        <v>185</v>
      </c>
      <c r="T475" s="192" t="str">
        <f>IFERROR(VLOOKUP(S475,TD!$J$34:$K$44,2,0)," ")</f>
        <v>Infraestructura física, mantenimiento y dotación (Sedes construidas, mantenidas reforzadas)</v>
      </c>
      <c r="U475" s="187" t="str">
        <f>CONCATENATE(S475,"-",T475)</f>
        <v>08-Infraestructura física, mantenimiento y dotación (Sedes construidas, mantenidas reforzadas)</v>
      </c>
      <c r="V475" s="190" t="s">
        <v>238</v>
      </c>
      <c r="W475" s="192" t="str">
        <f>IFERROR(VLOOKUP(V475,TD!$N$34:$O$46,2,0)," ")</f>
        <v>Sedes mantenidas</v>
      </c>
      <c r="X475" s="187" t="str">
        <f>CONCATENATE(V475,"_",W475)</f>
        <v>016_Sedes mantenidas</v>
      </c>
      <c r="Y475" s="187" t="str">
        <f>CONCATENATE(U475," ",X475)</f>
        <v>08-Infraestructura física, mantenimiento y dotación (Sedes construidas, mantenidas reforzadas) 016_Sedes mantenidas</v>
      </c>
      <c r="Z475" s="192" t="str">
        <f>CONCATENATE(P475,Q475,R475,S475,V475)</f>
        <v>O23011745992024020708016</v>
      </c>
      <c r="AA475" s="192" t="str">
        <f>IFERROR(VLOOKUP(Y475,TD!$K$47:$L$65,2,0)," ")</f>
        <v>PM/0131/0108/45990160207</v>
      </c>
      <c r="AB475" s="125" t="s">
        <v>138</v>
      </c>
      <c r="AC475" s="193" t="s">
        <v>204</v>
      </c>
    </row>
    <row r="476" spans="2:29" s="28" customFormat="1" ht="70" x14ac:dyDescent="0.35">
      <c r="B476" s="127">
        <v>20250483</v>
      </c>
      <c r="C476" s="129" t="s">
        <v>346</v>
      </c>
      <c r="D476" s="189" t="s">
        <v>166</v>
      </c>
      <c r="E476" s="190" t="s">
        <v>558</v>
      </c>
      <c r="F476" s="189" t="s">
        <v>620</v>
      </c>
      <c r="G476" s="189" t="s">
        <v>96</v>
      </c>
      <c r="H476" s="130" t="s">
        <v>852</v>
      </c>
      <c r="I476" s="191">
        <v>1</v>
      </c>
      <c r="J476" s="191">
        <v>10</v>
      </c>
      <c r="K476" s="126">
        <v>0</v>
      </c>
      <c r="L476" s="125">
        <v>240000000</v>
      </c>
      <c r="M476" s="189" t="s">
        <v>172</v>
      </c>
      <c r="N476" s="125" t="s">
        <v>621</v>
      </c>
      <c r="O476" s="190" t="s">
        <v>347</v>
      </c>
      <c r="P476" s="192" t="str">
        <f>IFERROR(VLOOKUP(C476,TD!$B$33:$F$37,2,0)," ")</f>
        <v>NA</v>
      </c>
      <c r="Q476" s="192" t="str">
        <f>IFERROR(VLOOKUP(C476,TD!$B$33:$F$37,3,0)," ")</f>
        <v>NA</v>
      </c>
      <c r="R476" s="192" t="str">
        <f>IFERROR(VLOOKUP(C476,TD!$B$33:$F$37,4,0)," ")</f>
        <v>NA</v>
      </c>
      <c r="S476" s="190" t="s">
        <v>406</v>
      </c>
      <c r="T476" s="192" t="str">
        <f>IFERROR(VLOOKUP(S476,TD!$J$34:$K$44,2,0)," ")</f>
        <v>N/A</v>
      </c>
      <c r="U476" s="187" t="str">
        <f>CONCATENATE(S476,"-",T476)</f>
        <v>N/A-N/A</v>
      </c>
      <c r="V476" s="190" t="s">
        <v>406</v>
      </c>
      <c r="W476" s="192" t="str">
        <f>IFERROR(VLOOKUP(V476,TD!$N$34:$O$46,2,0)," ")</f>
        <v>N/A</v>
      </c>
      <c r="X476" s="187" t="str">
        <f>CONCATENATE(V476,"_",W476)</f>
        <v>N/A_N/A</v>
      </c>
      <c r="Y476" s="187" t="str">
        <f>CONCATENATE(U476," ",X476)</f>
        <v>N/A-N/A N/A_N/A</v>
      </c>
      <c r="Z476" s="192" t="str">
        <f>CONCATENATE(P476,Q476,R476,S476,V476)</f>
        <v>NANANAN/AN/A</v>
      </c>
      <c r="AA476" s="192" t="str">
        <f>IFERROR(VLOOKUP(Y476,TD!$K$47:$L$65,2,0)," ")</f>
        <v>N/A</v>
      </c>
      <c r="AB476" s="125" t="s">
        <v>666</v>
      </c>
      <c r="AC476" s="193" t="s">
        <v>204</v>
      </c>
    </row>
    <row r="477" spans="2:29" s="28" customFormat="1" ht="56" x14ac:dyDescent="0.35">
      <c r="B477" s="77">
        <v>20250484</v>
      </c>
      <c r="C477" s="50" t="s">
        <v>346</v>
      </c>
      <c r="D477" s="184" t="s">
        <v>166</v>
      </c>
      <c r="E477" s="51" t="s">
        <v>558</v>
      </c>
      <c r="F477" s="184" t="s">
        <v>559</v>
      </c>
      <c r="G477" s="184" t="s">
        <v>96</v>
      </c>
      <c r="H477" s="93" t="s">
        <v>560</v>
      </c>
      <c r="I477" s="185">
        <v>2</v>
      </c>
      <c r="J477" s="185">
        <v>11</v>
      </c>
      <c r="K477" s="52">
        <v>0</v>
      </c>
      <c r="L477" s="53">
        <v>147853623</v>
      </c>
      <c r="M477" s="184" t="s">
        <v>172</v>
      </c>
      <c r="N477" s="53" t="s">
        <v>608</v>
      </c>
      <c r="O477" s="51" t="s">
        <v>347</v>
      </c>
      <c r="P477" s="186" t="str">
        <f>IFERROR(VLOOKUP(C477,TD!$B$33:$F$37,2,0)," ")</f>
        <v>NA</v>
      </c>
      <c r="Q477" s="186" t="str">
        <f>IFERROR(VLOOKUP(C477,TD!$B$33:$F$37,3,0)," ")</f>
        <v>NA</v>
      </c>
      <c r="R477" s="186" t="str">
        <f>IFERROR(VLOOKUP(C477,TD!$B$33:$F$37,4,0)," ")</f>
        <v>NA</v>
      </c>
      <c r="S477" s="51" t="s">
        <v>406</v>
      </c>
      <c r="T477" s="186" t="str">
        <f>IFERROR(VLOOKUP(S477,TD!$J$34:$K$44,2,0)," ")</f>
        <v>N/A</v>
      </c>
      <c r="U477" s="187" t="str">
        <f>CONCATENATE(S477,"-",T477)</f>
        <v>N/A-N/A</v>
      </c>
      <c r="V477" s="51" t="s">
        <v>406</v>
      </c>
      <c r="W477" s="186" t="str">
        <f>IFERROR(VLOOKUP(V477,TD!$N$34:$O$46,2,0)," ")</f>
        <v>N/A</v>
      </c>
      <c r="X477" s="187" t="str">
        <f>CONCATENATE(V477,"_",W477)</f>
        <v>N/A_N/A</v>
      </c>
      <c r="Y477" s="187" t="str">
        <f>CONCATENATE(U477," ",X477)</f>
        <v>N/A-N/A N/A_N/A</v>
      </c>
      <c r="Z477" s="186" t="str">
        <f>CONCATENATE(P477,Q477,R477,S477,V477)</f>
        <v>NANANAN/AN/A</v>
      </c>
      <c r="AA477" s="186" t="str">
        <f>IFERROR(VLOOKUP(Y477,TD!$K$47:$L$65,2,0)," ")</f>
        <v>N/A</v>
      </c>
      <c r="AB477" s="53" t="s">
        <v>666</v>
      </c>
      <c r="AC477" s="188" t="s">
        <v>204</v>
      </c>
    </row>
    <row r="478" spans="2:29" s="28" customFormat="1" ht="70" x14ac:dyDescent="0.35">
      <c r="B478" s="77">
        <v>20250485</v>
      </c>
      <c r="C478" s="50" t="s">
        <v>346</v>
      </c>
      <c r="D478" s="184" t="s">
        <v>166</v>
      </c>
      <c r="E478" s="51" t="s">
        <v>558</v>
      </c>
      <c r="F478" s="184" t="s">
        <v>559</v>
      </c>
      <c r="G478" s="184" t="s">
        <v>96</v>
      </c>
      <c r="H478" s="93" t="s">
        <v>560</v>
      </c>
      <c r="I478" s="185">
        <v>2</v>
      </c>
      <c r="J478" s="185">
        <v>11</v>
      </c>
      <c r="K478" s="52">
        <v>0</v>
      </c>
      <c r="L478" s="53">
        <v>453335302</v>
      </c>
      <c r="M478" s="184" t="s">
        <v>172</v>
      </c>
      <c r="N478" s="53" t="s">
        <v>608</v>
      </c>
      <c r="O478" s="51" t="s">
        <v>347</v>
      </c>
      <c r="P478" s="186" t="str">
        <f>IFERROR(VLOOKUP(C478,TD!$B$33:$F$37,2,0)," ")</f>
        <v>NA</v>
      </c>
      <c r="Q478" s="186" t="str">
        <f>IFERROR(VLOOKUP(C478,TD!$B$33:$F$37,3,0)," ")</f>
        <v>NA</v>
      </c>
      <c r="R478" s="186" t="str">
        <f>IFERROR(VLOOKUP(C478,TD!$B$33:$F$37,4,0)," ")</f>
        <v>NA</v>
      </c>
      <c r="S478" s="51" t="s">
        <v>406</v>
      </c>
      <c r="T478" s="186" t="str">
        <f>IFERROR(VLOOKUP(S478,TD!$J$34:$K$44,2,0)," ")</f>
        <v>N/A</v>
      </c>
      <c r="U478" s="187" t="str">
        <f>CONCATENATE(S478,"-",T478)</f>
        <v>N/A-N/A</v>
      </c>
      <c r="V478" s="51" t="s">
        <v>406</v>
      </c>
      <c r="W478" s="186" t="str">
        <f>IFERROR(VLOOKUP(V478,TD!$N$34:$O$46,2,0)," ")</f>
        <v>N/A</v>
      </c>
      <c r="X478" s="187" t="str">
        <f>CONCATENATE(V478,"_",W478)</f>
        <v>N/A_N/A</v>
      </c>
      <c r="Y478" s="187" t="str">
        <f>CONCATENATE(U478," ",X478)</f>
        <v>N/A-N/A N/A_N/A</v>
      </c>
      <c r="Z478" s="186" t="str">
        <f>CONCATENATE(P478,Q478,R478,S478,V478)</f>
        <v>NANANAN/AN/A</v>
      </c>
      <c r="AA478" s="186" t="str">
        <f>IFERROR(VLOOKUP(Y478,TD!$K$47:$L$65,2,0)," ")</f>
        <v>N/A</v>
      </c>
      <c r="AB478" s="53" t="s">
        <v>666</v>
      </c>
      <c r="AC478" s="188" t="s">
        <v>204</v>
      </c>
    </row>
    <row r="479" spans="2:29" s="28" customFormat="1" ht="70" x14ac:dyDescent="0.35">
      <c r="B479" s="77">
        <v>20250486</v>
      </c>
      <c r="C479" s="50" t="s">
        <v>346</v>
      </c>
      <c r="D479" s="184" t="s">
        <v>166</v>
      </c>
      <c r="E479" s="51" t="s">
        <v>558</v>
      </c>
      <c r="F479" s="184" t="s">
        <v>622</v>
      </c>
      <c r="G479" s="184" t="s">
        <v>114</v>
      </c>
      <c r="H479" s="93" t="s">
        <v>623</v>
      </c>
      <c r="I479" s="185">
        <v>1</v>
      </c>
      <c r="J479" s="185">
        <v>12</v>
      </c>
      <c r="K479" s="52">
        <v>0</v>
      </c>
      <c r="L479" s="53">
        <v>157080000</v>
      </c>
      <c r="M479" s="184" t="s">
        <v>172</v>
      </c>
      <c r="N479" s="53" t="s">
        <v>610</v>
      </c>
      <c r="O479" s="51" t="s">
        <v>347</v>
      </c>
      <c r="P479" s="186" t="str">
        <f>IFERROR(VLOOKUP(C479,TD!$B$33:$F$37,2,0)," ")</f>
        <v>NA</v>
      </c>
      <c r="Q479" s="186" t="str">
        <f>IFERROR(VLOOKUP(C479,TD!$B$33:$F$37,3,0)," ")</f>
        <v>NA</v>
      </c>
      <c r="R479" s="186" t="str">
        <f>IFERROR(VLOOKUP(C479,TD!$B$33:$F$37,4,0)," ")</f>
        <v>NA</v>
      </c>
      <c r="S479" s="51" t="s">
        <v>406</v>
      </c>
      <c r="T479" s="186" t="str">
        <f>IFERROR(VLOOKUP(S479,TD!$J$34:$K$44,2,0)," ")</f>
        <v>N/A</v>
      </c>
      <c r="U479" s="187" t="str">
        <f>CONCATENATE(S479,"-",T479)</f>
        <v>N/A-N/A</v>
      </c>
      <c r="V479" s="51" t="s">
        <v>406</v>
      </c>
      <c r="W479" s="186" t="str">
        <f>IFERROR(VLOOKUP(V479,TD!$N$34:$O$46,2,0)," ")</f>
        <v>N/A</v>
      </c>
      <c r="X479" s="187" t="str">
        <f>CONCATENATE(V479,"_",W479)</f>
        <v>N/A_N/A</v>
      </c>
      <c r="Y479" s="187" t="str">
        <f>CONCATENATE(U479," ",X479)</f>
        <v>N/A-N/A N/A_N/A</v>
      </c>
      <c r="Z479" s="186" t="str">
        <f>CONCATENATE(P479,Q479,R479,S479,V479)</f>
        <v>NANANAN/AN/A</v>
      </c>
      <c r="AA479" s="186" t="str">
        <f>IFERROR(VLOOKUP(Y479,TD!$K$47:$L$65,2,0)," ")</f>
        <v>N/A</v>
      </c>
      <c r="AB479" s="53" t="s">
        <v>666</v>
      </c>
      <c r="AC479" s="188" t="s">
        <v>204</v>
      </c>
    </row>
    <row r="480" spans="2:29" s="28" customFormat="1" ht="70" x14ac:dyDescent="0.35">
      <c r="B480" s="77">
        <v>20250487</v>
      </c>
      <c r="C480" s="50" t="s">
        <v>346</v>
      </c>
      <c r="D480" s="184" t="s">
        <v>166</v>
      </c>
      <c r="E480" s="51" t="s">
        <v>558</v>
      </c>
      <c r="F480" s="184" t="s">
        <v>624</v>
      </c>
      <c r="G480" s="184" t="s">
        <v>96</v>
      </c>
      <c r="H480" s="93" t="s">
        <v>625</v>
      </c>
      <c r="I480" s="185">
        <v>3</v>
      </c>
      <c r="J480" s="185">
        <v>12</v>
      </c>
      <c r="K480" s="52">
        <v>0</v>
      </c>
      <c r="L480" s="53">
        <v>139858097</v>
      </c>
      <c r="M480" s="184" t="s">
        <v>172</v>
      </c>
      <c r="N480" s="53" t="s">
        <v>610</v>
      </c>
      <c r="O480" s="51" t="s">
        <v>347</v>
      </c>
      <c r="P480" s="186" t="str">
        <f>IFERROR(VLOOKUP(C480,TD!$B$33:$F$37,2,0)," ")</f>
        <v>NA</v>
      </c>
      <c r="Q480" s="186" t="str">
        <f>IFERROR(VLOOKUP(C480,TD!$B$33:$F$37,3,0)," ")</f>
        <v>NA</v>
      </c>
      <c r="R480" s="186" t="str">
        <f>IFERROR(VLOOKUP(C480,TD!$B$33:$F$37,4,0)," ")</f>
        <v>NA</v>
      </c>
      <c r="S480" s="51" t="s">
        <v>406</v>
      </c>
      <c r="T480" s="186" t="str">
        <f>IFERROR(VLOOKUP(S480,TD!$J$34:$K$44,2,0)," ")</f>
        <v>N/A</v>
      </c>
      <c r="U480" s="187" t="str">
        <f>CONCATENATE(S480,"-",T480)</f>
        <v>N/A-N/A</v>
      </c>
      <c r="V480" s="51" t="s">
        <v>406</v>
      </c>
      <c r="W480" s="186" t="str">
        <f>IFERROR(VLOOKUP(V480,TD!$N$34:$O$46,2,0)," ")</f>
        <v>N/A</v>
      </c>
      <c r="X480" s="187" t="str">
        <f>CONCATENATE(V480,"_",W480)</f>
        <v>N/A_N/A</v>
      </c>
      <c r="Y480" s="187" t="str">
        <f>CONCATENATE(U480," ",X480)</f>
        <v>N/A-N/A N/A_N/A</v>
      </c>
      <c r="Z480" s="186" t="str">
        <f>CONCATENATE(P480,Q480,R480,S480,V480)</f>
        <v>NANANAN/AN/A</v>
      </c>
      <c r="AA480" s="186" t="str">
        <f>IFERROR(VLOOKUP(Y480,TD!$K$47:$L$65,2,0)," ")</f>
        <v>N/A</v>
      </c>
      <c r="AB480" s="53" t="s">
        <v>348</v>
      </c>
      <c r="AC480" s="188" t="s">
        <v>205</v>
      </c>
    </row>
    <row r="481" spans="2:29" s="28" customFormat="1" ht="56" x14ac:dyDescent="0.35">
      <c r="B481" s="77">
        <v>20250488</v>
      </c>
      <c r="C481" s="50" t="s">
        <v>346</v>
      </c>
      <c r="D481" s="184" t="s">
        <v>166</v>
      </c>
      <c r="E481" s="51" t="s">
        <v>558</v>
      </c>
      <c r="F481" s="184" t="s">
        <v>626</v>
      </c>
      <c r="G481" s="184" t="s">
        <v>119</v>
      </c>
      <c r="H481" s="93" t="s">
        <v>627</v>
      </c>
      <c r="I481" s="185">
        <v>4</v>
      </c>
      <c r="J481" s="185">
        <v>6</v>
      </c>
      <c r="K481" s="52">
        <v>0</v>
      </c>
      <c r="L481" s="53">
        <v>51570633</v>
      </c>
      <c r="M481" s="184" t="s">
        <v>172</v>
      </c>
      <c r="N481" s="53" t="s">
        <v>95</v>
      </c>
      <c r="O481" s="51" t="s">
        <v>347</v>
      </c>
      <c r="P481" s="186" t="str">
        <f>IFERROR(VLOOKUP(C481,TD!$B$33:$F$37,2,0)," ")</f>
        <v>NA</v>
      </c>
      <c r="Q481" s="186" t="str">
        <f>IFERROR(VLOOKUP(C481,TD!$B$33:$F$37,3,0)," ")</f>
        <v>NA</v>
      </c>
      <c r="R481" s="186" t="str">
        <f>IFERROR(VLOOKUP(C481,TD!$B$33:$F$37,4,0)," ")</f>
        <v>NA</v>
      </c>
      <c r="S481" s="51" t="s">
        <v>406</v>
      </c>
      <c r="T481" s="186" t="str">
        <f>IFERROR(VLOOKUP(S481,TD!$J$34:$K$44,2,0)," ")</f>
        <v>N/A</v>
      </c>
      <c r="U481" s="187" t="str">
        <f>CONCATENATE(S481,"-",T481)</f>
        <v>N/A-N/A</v>
      </c>
      <c r="V481" s="51" t="s">
        <v>406</v>
      </c>
      <c r="W481" s="186" t="str">
        <f>IFERROR(VLOOKUP(V481,TD!$N$34:$O$46,2,0)," ")</f>
        <v>N/A</v>
      </c>
      <c r="X481" s="187" t="str">
        <f>CONCATENATE(V481,"_",W481)</f>
        <v>N/A_N/A</v>
      </c>
      <c r="Y481" s="187" t="str">
        <f>CONCATENATE(U481," ",X481)</f>
        <v>N/A-N/A N/A_N/A</v>
      </c>
      <c r="Z481" s="186" t="str">
        <f>CONCATENATE(P481,Q481,R481,S481,V481)</f>
        <v>NANANAN/AN/A</v>
      </c>
      <c r="AA481" s="186" t="str">
        <f>IFERROR(VLOOKUP(Y481,TD!$K$47:$L$65,2,0)," ")</f>
        <v>N/A</v>
      </c>
      <c r="AB481" s="53" t="s">
        <v>666</v>
      </c>
      <c r="AC481" s="188" t="s">
        <v>204</v>
      </c>
    </row>
    <row r="482" spans="2:29" s="28" customFormat="1" ht="56" x14ac:dyDescent="0.35">
      <c r="B482" s="77">
        <v>20250489</v>
      </c>
      <c r="C482" s="50" t="s">
        <v>346</v>
      </c>
      <c r="D482" s="184" t="s">
        <v>166</v>
      </c>
      <c r="E482" s="51" t="s">
        <v>558</v>
      </c>
      <c r="F482" s="184" t="s">
        <v>628</v>
      </c>
      <c r="G482" s="184" t="s">
        <v>119</v>
      </c>
      <c r="H482" s="93" t="s">
        <v>629</v>
      </c>
      <c r="I482" s="185">
        <v>3</v>
      </c>
      <c r="J482" s="185">
        <v>9</v>
      </c>
      <c r="K482" s="52">
        <v>0</v>
      </c>
      <c r="L482" s="53">
        <f>80000000+101000000</f>
        <v>181000000</v>
      </c>
      <c r="M482" s="184" t="s">
        <v>172</v>
      </c>
      <c r="N482" s="53" t="s">
        <v>95</v>
      </c>
      <c r="O482" s="51" t="s">
        <v>347</v>
      </c>
      <c r="P482" s="186" t="str">
        <f>IFERROR(VLOOKUP(C482,TD!$B$33:$F$37,2,0)," ")</f>
        <v>NA</v>
      </c>
      <c r="Q482" s="186" t="str">
        <f>IFERROR(VLOOKUP(C482,TD!$B$33:$F$37,3,0)," ")</f>
        <v>NA</v>
      </c>
      <c r="R482" s="186" t="str">
        <f>IFERROR(VLOOKUP(C482,TD!$B$33:$F$37,4,0)," ")</f>
        <v>NA</v>
      </c>
      <c r="S482" s="51" t="s">
        <v>406</v>
      </c>
      <c r="T482" s="186" t="str">
        <f>IFERROR(VLOOKUP(S482,TD!$J$34:$K$44,2,0)," ")</f>
        <v>N/A</v>
      </c>
      <c r="U482" s="187" t="str">
        <f>CONCATENATE(S482,"-",T482)</f>
        <v>N/A-N/A</v>
      </c>
      <c r="V482" s="51" t="s">
        <v>406</v>
      </c>
      <c r="W482" s="186" t="str">
        <f>IFERROR(VLOOKUP(V482,TD!$N$34:$O$46,2,0)," ")</f>
        <v>N/A</v>
      </c>
      <c r="X482" s="187" t="str">
        <f>CONCATENATE(V482,"_",W482)</f>
        <v>N/A_N/A</v>
      </c>
      <c r="Y482" s="187" t="str">
        <f>CONCATENATE(U482," ",X482)</f>
        <v>N/A-N/A N/A_N/A</v>
      </c>
      <c r="Z482" s="186" t="str">
        <f>CONCATENATE(P482,Q482,R482,S482,V482)</f>
        <v>NANANAN/AN/A</v>
      </c>
      <c r="AA482" s="186" t="str">
        <f>IFERROR(VLOOKUP(Y482,TD!$K$47:$L$65,2,0)," ")</f>
        <v>N/A</v>
      </c>
      <c r="AB482" s="53" t="s">
        <v>666</v>
      </c>
      <c r="AC482" s="188" t="s">
        <v>204</v>
      </c>
    </row>
    <row r="483" spans="2:29" s="28" customFormat="1" ht="56" x14ac:dyDescent="0.35">
      <c r="B483" s="127">
        <v>20250491</v>
      </c>
      <c r="C483" s="50" t="s">
        <v>346</v>
      </c>
      <c r="D483" s="184" t="s">
        <v>166</v>
      </c>
      <c r="E483" s="51" t="s">
        <v>558</v>
      </c>
      <c r="F483" s="184" t="s">
        <v>580</v>
      </c>
      <c r="G483" s="184" t="s">
        <v>96</v>
      </c>
      <c r="H483" s="93" t="s">
        <v>630</v>
      </c>
      <c r="I483" s="185">
        <v>4</v>
      </c>
      <c r="J483" s="185">
        <v>3</v>
      </c>
      <c r="K483" s="52">
        <v>0</v>
      </c>
      <c r="L483" s="53">
        <f>560000000-200000000-148197000</f>
        <v>211803000</v>
      </c>
      <c r="M483" s="184" t="s">
        <v>172</v>
      </c>
      <c r="N483" s="125" t="s">
        <v>90</v>
      </c>
      <c r="O483" s="51" t="s">
        <v>347</v>
      </c>
      <c r="P483" s="186" t="str">
        <f>IFERROR(VLOOKUP(C483,TD!$B$33:$F$37,2,0)," ")</f>
        <v>NA</v>
      </c>
      <c r="Q483" s="186" t="str">
        <f>IFERROR(VLOOKUP(C483,TD!$B$33:$F$37,3,0)," ")</f>
        <v>NA</v>
      </c>
      <c r="R483" s="186" t="str">
        <f>IFERROR(VLOOKUP(C483,TD!$B$33:$F$37,4,0)," ")</f>
        <v>NA</v>
      </c>
      <c r="S483" s="51" t="s">
        <v>406</v>
      </c>
      <c r="T483" s="186" t="str">
        <f>IFERROR(VLOOKUP(S483,TD!$J$34:$K$44,2,0)," ")</f>
        <v>N/A</v>
      </c>
      <c r="U483" s="187" t="str">
        <f>CONCATENATE(S483,"-",T483)</f>
        <v>N/A-N/A</v>
      </c>
      <c r="V483" s="51" t="s">
        <v>406</v>
      </c>
      <c r="W483" s="186" t="str">
        <f>IFERROR(VLOOKUP(V483,TD!$N$34:$O$46,2,0)," ")</f>
        <v>N/A</v>
      </c>
      <c r="X483" s="187" t="str">
        <f>CONCATENATE(V483,"_",W483)</f>
        <v>N/A_N/A</v>
      </c>
      <c r="Y483" s="187" t="str">
        <f>CONCATENATE(U483," ",X483)</f>
        <v>N/A-N/A N/A_N/A</v>
      </c>
      <c r="Z483" s="186" t="str">
        <f>CONCATENATE(P483,Q483,R483,S483,V483)</f>
        <v>NANANAN/AN/A</v>
      </c>
      <c r="AA483" s="186" t="str">
        <f>IFERROR(VLOOKUP(Y483,TD!$K$47:$L$65,2,0)," ")</f>
        <v>N/A</v>
      </c>
      <c r="AB483" s="53" t="s">
        <v>666</v>
      </c>
      <c r="AC483" s="188" t="s">
        <v>204</v>
      </c>
    </row>
    <row r="484" spans="2:29" s="28" customFormat="1" ht="56" x14ac:dyDescent="0.35">
      <c r="B484" s="77">
        <v>20250492</v>
      </c>
      <c r="C484" s="50" t="s">
        <v>346</v>
      </c>
      <c r="D484" s="184" t="s">
        <v>166</v>
      </c>
      <c r="E484" s="51" t="s">
        <v>558</v>
      </c>
      <c r="F484" s="184" t="s">
        <v>631</v>
      </c>
      <c r="G484" s="184" t="s">
        <v>129</v>
      </c>
      <c r="H484" s="93" t="s">
        <v>632</v>
      </c>
      <c r="I484" s="185">
        <v>2</v>
      </c>
      <c r="J484" s="185">
        <v>3</v>
      </c>
      <c r="K484" s="52">
        <v>0</v>
      </c>
      <c r="L484" s="53">
        <f>2000000000-690803949</f>
        <v>1309196051</v>
      </c>
      <c r="M484" s="184" t="s">
        <v>172</v>
      </c>
      <c r="N484" s="53" t="s">
        <v>85</v>
      </c>
      <c r="O484" s="51" t="s">
        <v>347</v>
      </c>
      <c r="P484" s="186" t="str">
        <f>IFERROR(VLOOKUP(C484,TD!$B$33:$F$37,2,0)," ")</f>
        <v>NA</v>
      </c>
      <c r="Q484" s="186" t="str">
        <f>IFERROR(VLOOKUP(C484,TD!$B$33:$F$37,3,0)," ")</f>
        <v>NA</v>
      </c>
      <c r="R484" s="186" t="str">
        <f>IFERROR(VLOOKUP(C484,TD!$B$33:$F$37,4,0)," ")</f>
        <v>NA</v>
      </c>
      <c r="S484" s="51" t="s">
        <v>406</v>
      </c>
      <c r="T484" s="186" t="str">
        <f>IFERROR(VLOOKUP(S484,TD!$J$34:$K$44,2,0)," ")</f>
        <v>N/A</v>
      </c>
      <c r="U484" s="187" t="str">
        <f>CONCATENATE(S484,"-",T484)</f>
        <v>N/A-N/A</v>
      </c>
      <c r="V484" s="51" t="s">
        <v>406</v>
      </c>
      <c r="W484" s="186" t="str">
        <f>IFERROR(VLOOKUP(V484,TD!$N$34:$O$46,2,0)," ")</f>
        <v>N/A</v>
      </c>
      <c r="X484" s="187" t="str">
        <f>CONCATENATE(V484,"_",W484)</f>
        <v>N/A_N/A</v>
      </c>
      <c r="Y484" s="187" t="str">
        <f>CONCATENATE(U484," ",X484)</f>
        <v>N/A-N/A N/A_N/A</v>
      </c>
      <c r="Z484" s="186" t="str">
        <f>CONCATENATE(P484,Q484,R484,S484,V484)</f>
        <v>NANANAN/AN/A</v>
      </c>
      <c r="AA484" s="186" t="str">
        <f>IFERROR(VLOOKUP(Y484,TD!$K$47:$L$65,2,0)," ")</f>
        <v>N/A</v>
      </c>
      <c r="AB484" s="53" t="s">
        <v>666</v>
      </c>
      <c r="AC484" s="188" t="s">
        <v>205</v>
      </c>
    </row>
    <row r="485" spans="2:29" s="28" customFormat="1" ht="56" x14ac:dyDescent="0.35">
      <c r="B485" s="77">
        <v>20250493</v>
      </c>
      <c r="C485" s="50" t="s">
        <v>346</v>
      </c>
      <c r="D485" s="184" t="s">
        <v>166</v>
      </c>
      <c r="E485" s="51" t="s">
        <v>558</v>
      </c>
      <c r="F485" s="184" t="s">
        <v>633</v>
      </c>
      <c r="G485" s="184" t="s">
        <v>129</v>
      </c>
      <c r="H485" s="93" t="s">
        <v>632</v>
      </c>
      <c r="I485" s="185">
        <v>1</v>
      </c>
      <c r="J485" s="185">
        <v>3</v>
      </c>
      <c r="K485" s="52">
        <v>0</v>
      </c>
      <c r="L485" s="53">
        <f>14000000-7218822</f>
        <v>6781178</v>
      </c>
      <c r="M485" s="184" t="s">
        <v>172</v>
      </c>
      <c r="N485" s="53" t="s">
        <v>85</v>
      </c>
      <c r="O485" s="51" t="s">
        <v>347</v>
      </c>
      <c r="P485" s="186" t="str">
        <f>IFERROR(VLOOKUP(C485,TD!$B$33:$F$37,2,0)," ")</f>
        <v>NA</v>
      </c>
      <c r="Q485" s="186" t="str">
        <f>IFERROR(VLOOKUP(C485,TD!$B$33:$F$37,3,0)," ")</f>
        <v>NA</v>
      </c>
      <c r="R485" s="186" t="str">
        <f>IFERROR(VLOOKUP(C485,TD!$B$33:$F$37,4,0)," ")</f>
        <v>NA</v>
      </c>
      <c r="S485" s="51" t="s">
        <v>406</v>
      </c>
      <c r="T485" s="186" t="str">
        <f>IFERROR(VLOOKUP(S485,TD!$J$34:$K$44,2,0)," ")</f>
        <v>N/A</v>
      </c>
      <c r="U485" s="187" t="str">
        <f>CONCATENATE(S485,"-",T485)</f>
        <v>N/A-N/A</v>
      </c>
      <c r="V485" s="51" t="s">
        <v>406</v>
      </c>
      <c r="W485" s="186" t="str">
        <f>IFERROR(VLOOKUP(V485,TD!$N$34:$O$46,2,0)," ")</f>
        <v>N/A</v>
      </c>
      <c r="X485" s="187" t="str">
        <f>CONCATENATE(V485,"_",W485)</f>
        <v>N/A_N/A</v>
      </c>
      <c r="Y485" s="187" t="str">
        <f>CONCATENATE(U485," ",X485)</f>
        <v>N/A-N/A N/A_N/A</v>
      </c>
      <c r="Z485" s="186" t="str">
        <f>CONCATENATE(P485,Q485,R485,S485,V485)</f>
        <v>NANANAN/AN/A</v>
      </c>
      <c r="AA485" s="186" t="str">
        <f>IFERROR(VLOOKUP(Y485,TD!$K$47:$L$65,2,0)," ")</f>
        <v>N/A</v>
      </c>
      <c r="AB485" s="53" t="s">
        <v>666</v>
      </c>
      <c r="AC485" s="188" t="s">
        <v>205</v>
      </c>
    </row>
    <row r="486" spans="2:29" s="28" customFormat="1" ht="70" x14ac:dyDescent="0.35">
      <c r="B486" s="77">
        <v>20250494</v>
      </c>
      <c r="C486" s="50" t="s">
        <v>346</v>
      </c>
      <c r="D486" s="184" t="s">
        <v>166</v>
      </c>
      <c r="E486" s="51" t="s">
        <v>558</v>
      </c>
      <c r="F486" s="184" t="s">
        <v>929</v>
      </c>
      <c r="G486" s="184" t="s">
        <v>129</v>
      </c>
      <c r="H486" s="93" t="s">
        <v>632</v>
      </c>
      <c r="I486" s="185">
        <v>5</v>
      </c>
      <c r="J486" s="185">
        <v>10</v>
      </c>
      <c r="K486" s="52">
        <v>0</v>
      </c>
      <c r="L486" s="53">
        <v>6319572073</v>
      </c>
      <c r="M486" s="184" t="s">
        <v>172</v>
      </c>
      <c r="N486" s="53" t="s">
        <v>85</v>
      </c>
      <c r="O486" s="51" t="s">
        <v>347</v>
      </c>
      <c r="P486" s="186" t="str">
        <f>IFERROR(VLOOKUP(C486,TD!$B$33:$F$37,2,0)," ")</f>
        <v>NA</v>
      </c>
      <c r="Q486" s="186" t="str">
        <f>IFERROR(VLOOKUP(C486,TD!$B$33:$F$37,3,0)," ")</f>
        <v>NA</v>
      </c>
      <c r="R486" s="186" t="str">
        <f>IFERROR(VLOOKUP(C486,TD!$B$33:$F$37,4,0)," ")</f>
        <v>NA</v>
      </c>
      <c r="S486" s="51" t="s">
        <v>406</v>
      </c>
      <c r="T486" s="186" t="str">
        <f>IFERROR(VLOOKUP(S486,TD!$J$34:$K$44,2,0)," ")</f>
        <v>N/A</v>
      </c>
      <c r="U486" s="187" t="str">
        <f>CONCATENATE(S486,"-",T486)</f>
        <v>N/A-N/A</v>
      </c>
      <c r="V486" s="51" t="s">
        <v>406</v>
      </c>
      <c r="W486" s="186" t="str">
        <f>IFERROR(VLOOKUP(V486,TD!$N$34:$O$46,2,0)," ")</f>
        <v>N/A</v>
      </c>
      <c r="X486" s="187" t="str">
        <f>CONCATENATE(V486,"_",W486)</f>
        <v>N/A_N/A</v>
      </c>
      <c r="Y486" s="187" t="str">
        <f>CONCATENATE(U486," ",X486)</f>
        <v>N/A-N/A N/A_N/A</v>
      </c>
      <c r="Z486" s="186" t="str">
        <f>CONCATENATE(P486,Q486,R486,S486,V486)</f>
        <v>NANANAN/AN/A</v>
      </c>
      <c r="AA486" s="186" t="str">
        <f>IFERROR(VLOOKUP(Y486,TD!$K$47:$L$65,2,0)," ")</f>
        <v>N/A</v>
      </c>
      <c r="AB486" s="53" t="s">
        <v>666</v>
      </c>
      <c r="AC486" s="188" t="s">
        <v>204</v>
      </c>
    </row>
    <row r="487" spans="2:29" s="28" customFormat="1" ht="70" x14ac:dyDescent="0.35">
      <c r="B487" s="127">
        <v>20250495</v>
      </c>
      <c r="C487" s="129" t="s">
        <v>346</v>
      </c>
      <c r="D487" s="189" t="s">
        <v>166</v>
      </c>
      <c r="E487" s="190" t="s">
        <v>558</v>
      </c>
      <c r="F487" s="189" t="s">
        <v>853</v>
      </c>
      <c r="G487" s="189" t="s">
        <v>133</v>
      </c>
      <c r="H487" s="130" t="s">
        <v>619</v>
      </c>
      <c r="I487" s="191">
        <v>2</v>
      </c>
      <c r="J487" s="191">
        <v>3</v>
      </c>
      <c r="K487" s="126">
        <v>0</v>
      </c>
      <c r="L487" s="125">
        <f>20003880+65341500</f>
        <v>85345380</v>
      </c>
      <c r="M487" s="189" t="s">
        <v>172</v>
      </c>
      <c r="N487" s="125" t="s">
        <v>85</v>
      </c>
      <c r="O487" s="190" t="s">
        <v>347</v>
      </c>
      <c r="P487" s="192" t="str">
        <f>IFERROR(VLOOKUP(C487,TD!$B$33:$F$37,2,0)," ")</f>
        <v>NA</v>
      </c>
      <c r="Q487" s="192" t="str">
        <f>IFERROR(VLOOKUP(C487,TD!$B$33:$F$37,3,0)," ")</f>
        <v>NA</v>
      </c>
      <c r="R487" s="192" t="str">
        <f>IFERROR(VLOOKUP(C487,TD!$B$33:$F$37,4,0)," ")</f>
        <v>NA</v>
      </c>
      <c r="S487" s="190" t="s">
        <v>406</v>
      </c>
      <c r="T487" s="192" t="str">
        <f>IFERROR(VLOOKUP(S487,TD!$J$34:$K$44,2,0)," ")</f>
        <v>N/A</v>
      </c>
      <c r="U487" s="187" t="str">
        <f>CONCATENATE(S487,"-",T487)</f>
        <v>N/A-N/A</v>
      </c>
      <c r="V487" s="190" t="s">
        <v>406</v>
      </c>
      <c r="W487" s="192" t="str">
        <f>IFERROR(VLOOKUP(V487,TD!$N$34:$O$46,2,0)," ")</f>
        <v>N/A</v>
      </c>
      <c r="X487" s="187" t="str">
        <f>CONCATENATE(V487,"_",W487)</f>
        <v>N/A_N/A</v>
      </c>
      <c r="Y487" s="187" t="str">
        <f>CONCATENATE(U487," ",X487)</f>
        <v>N/A-N/A N/A_N/A</v>
      </c>
      <c r="Z487" s="192" t="str">
        <f>CONCATENATE(P487,Q487,R487,S487,V487)</f>
        <v>NANANAN/AN/A</v>
      </c>
      <c r="AA487" s="192" t="str">
        <f>IFERROR(VLOOKUP(Y487,TD!$K$47:$L$65,2,0)," ")</f>
        <v>N/A</v>
      </c>
      <c r="AB487" s="125" t="s">
        <v>666</v>
      </c>
      <c r="AC487" s="193" t="s">
        <v>205</v>
      </c>
    </row>
    <row r="488" spans="2:29" s="28" customFormat="1" ht="56" x14ac:dyDescent="0.35">
      <c r="B488" s="77">
        <v>20250496</v>
      </c>
      <c r="C488" s="50" t="s">
        <v>346</v>
      </c>
      <c r="D488" s="184" t="s">
        <v>166</v>
      </c>
      <c r="E488" s="51" t="s">
        <v>558</v>
      </c>
      <c r="F488" s="184" t="s">
        <v>634</v>
      </c>
      <c r="G488" s="184" t="s">
        <v>157</v>
      </c>
      <c r="H488" s="93" t="s">
        <v>729</v>
      </c>
      <c r="I488" s="185">
        <v>4</v>
      </c>
      <c r="J488" s="185">
        <v>10</v>
      </c>
      <c r="K488" s="52">
        <v>0</v>
      </c>
      <c r="L488" s="53">
        <f>10000000+1000000</f>
        <v>11000000</v>
      </c>
      <c r="M488" s="184" t="s">
        <v>172</v>
      </c>
      <c r="N488" s="53" t="s">
        <v>610</v>
      </c>
      <c r="O488" s="51" t="s">
        <v>347</v>
      </c>
      <c r="P488" s="186" t="str">
        <f>IFERROR(VLOOKUP(C488,TD!$B$33:$F$37,2,0)," ")</f>
        <v>NA</v>
      </c>
      <c r="Q488" s="186" t="str">
        <f>IFERROR(VLOOKUP(C488,TD!$B$33:$F$37,3,0)," ")</f>
        <v>NA</v>
      </c>
      <c r="R488" s="186" t="str">
        <f>IFERROR(VLOOKUP(C488,TD!$B$33:$F$37,4,0)," ")</f>
        <v>NA</v>
      </c>
      <c r="S488" s="51" t="s">
        <v>406</v>
      </c>
      <c r="T488" s="186" t="str">
        <f>IFERROR(VLOOKUP(S488,TD!$J$34:$K$44,2,0)," ")</f>
        <v>N/A</v>
      </c>
      <c r="U488" s="187" t="str">
        <f>CONCATENATE(S488,"-",T488)</f>
        <v>N/A-N/A</v>
      </c>
      <c r="V488" s="51" t="s">
        <v>406</v>
      </c>
      <c r="W488" s="186" t="str">
        <f>IFERROR(VLOOKUP(V488,TD!$N$34:$O$46,2,0)," ")</f>
        <v>N/A</v>
      </c>
      <c r="X488" s="187" t="str">
        <f>CONCATENATE(V488,"_",W488)</f>
        <v>N/A_N/A</v>
      </c>
      <c r="Y488" s="187" t="str">
        <f>CONCATENATE(U488," ",X488)</f>
        <v>N/A-N/A N/A_N/A</v>
      </c>
      <c r="Z488" s="186" t="str">
        <f>CONCATENATE(P488,Q488,R488,S488,V488)</f>
        <v>NANANAN/AN/A</v>
      </c>
      <c r="AA488" s="186" t="str">
        <f>IFERROR(VLOOKUP(Y488,TD!$K$47:$L$65,2,0)," ")</f>
        <v>N/A</v>
      </c>
      <c r="AB488" s="53" t="s">
        <v>666</v>
      </c>
      <c r="AC488" s="188" t="s">
        <v>204</v>
      </c>
    </row>
    <row r="489" spans="2:29" s="28" customFormat="1" ht="84" x14ac:dyDescent="0.35">
      <c r="B489" s="77">
        <v>20250497</v>
      </c>
      <c r="C489" s="50" t="s">
        <v>346</v>
      </c>
      <c r="D489" s="184" t="s">
        <v>166</v>
      </c>
      <c r="E489" s="51" t="s">
        <v>558</v>
      </c>
      <c r="F489" s="184" t="s">
        <v>635</v>
      </c>
      <c r="G489" s="184" t="s">
        <v>96</v>
      </c>
      <c r="H489" s="93" t="s">
        <v>730</v>
      </c>
      <c r="I489" s="185">
        <v>3</v>
      </c>
      <c r="J489" s="185">
        <v>2</v>
      </c>
      <c r="K489" s="52">
        <v>0</v>
      </c>
      <c r="L489" s="53">
        <v>1285200</v>
      </c>
      <c r="M489" s="184" t="s">
        <v>172</v>
      </c>
      <c r="N489" s="53" t="s">
        <v>100</v>
      </c>
      <c r="O489" s="51" t="s">
        <v>347</v>
      </c>
      <c r="P489" s="186" t="str">
        <f>IFERROR(VLOOKUP(C489,TD!$B$33:$F$37,2,0)," ")</f>
        <v>NA</v>
      </c>
      <c r="Q489" s="186" t="str">
        <f>IFERROR(VLOOKUP(C489,TD!$B$33:$F$37,3,0)," ")</f>
        <v>NA</v>
      </c>
      <c r="R489" s="186" t="str">
        <f>IFERROR(VLOOKUP(C489,TD!$B$33:$F$37,4,0)," ")</f>
        <v>NA</v>
      </c>
      <c r="S489" s="51" t="s">
        <v>406</v>
      </c>
      <c r="T489" s="186" t="str">
        <f>IFERROR(VLOOKUP(S489,TD!$J$34:$K$44,2,0)," ")</f>
        <v>N/A</v>
      </c>
      <c r="U489" s="187" t="str">
        <f>CONCATENATE(S489,"-",T489)</f>
        <v>N/A-N/A</v>
      </c>
      <c r="V489" s="51" t="s">
        <v>406</v>
      </c>
      <c r="W489" s="186" t="str">
        <f>IFERROR(VLOOKUP(V489,TD!$N$34:$O$46,2,0)," ")</f>
        <v>N/A</v>
      </c>
      <c r="X489" s="187" t="str">
        <f>CONCATENATE(V489,"_",W489)</f>
        <v>N/A_N/A</v>
      </c>
      <c r="Y489" s="187" t="str">
        <f>CONCATENATE(U489," ",X489)</f>
        <v>N/A-N/A N/A_N/A</v>
      </c>
      <c r="Z489" s="186" t="str">
        <f>CONCATENATE(P489,Q489,R489,S489,V489)</f>
        <v>NANANAN/AN/A</v>
      </c>
      <c r="AA489" s="186" t="str">
        <f>IFERROR(VLOOKUP(Y489,TD!$K$47:$L$65,2,0)," ")</f>
        <v>N/A</v>
      </c>
      <c r="AB489" s="53" t="s">
        <v>666</v>
      </c>
      <c r="AC489" s="188" t="s">
        <v>204</v>
      </c>
    </row>
    <row r="490" spans="2:29" s="28" customFormat="1" ht="70" x14ac:dyDescent="0.35">
      <c r="B490" s="77">
        <v>20250500</v>
      </c>
      <c r="C490" s="50" t="s">
        <v>346</v>
      </c>
      <c r="D490" s="184" t="s">
        <v>166</v>
      </c>
      <c r="E490" s="51" t="s">
        <v>558</v>
      </c>
      <c r="F490" s="184" t="s">
        <v>637</v>
      </c>
      <c r="G490" s="184" t="s">
        <v>157</v>
      </c>
      <c r="H490" s="93" t="s">
        <v>638</v>
      </c>
      <c r="I490" s="185">
        <v>1</v>
      </c>
      <c r="J490" s="185">
        <v>10</v>
      </c>
      <c r="K490" s="52">
        <v>0</v>
      </c>
      <c r="L490" s="53">
        <v>25000000</v>
      </c>
      <c r="M490" s="184" t="s">
        <v>172</v>
      </c>
      <c r="N490" s="53" t="s">
        <v>100</v>
      </c>
      <c r="O490" s="51" t="s">
        <v>347</v>
      </c>
      <c r="P490" s="186" t="str">
        <f>IFERROR(VLOOKUP(C490,TD!$B$33:$F$37,2,0)," ")</f>
        <v>NA</v>
      </c>
      <c r="Q490" s="186" t="str">
        <f>IFERROR(VLOOKUP(C490,TD!$B$33:$F$37,3,0)," ")</f>
        <v>NA</v>
      </c>
      <c r="R490" s="186" t="str">
        <f>IFERROR(VLOOKUP(C490,TD!$B$33:$F$37,4,0)," ")</f>
        <v>NA</v>
      </c>
      <c r="S490" s="51" t="s">
        <v>406</v>
      </c>
      <c r="T490" s="186" t="str">
        <f>IFERROR(VLOOKUP(S490,TD!$J$34:$K$44,2,0)," ")</f>
        <v>N/A</v>
      </c>
      <c r="U490" s="187" t="str">
        <f>CONCATENATE(S490,"-",T490)</f>
        <v>N/A-N/A</v>
      </c>
      <c r="V490" s="51" t="s">
        <v>406</v>
      </c>
      <c r="W490" s="186" t="str">
        <f>IFERROR(VLOOKUP(V490,TD!$N$34:$O$46,2,0)," ")</f>
        <v>N/A</v>
      </c>
      <c r="X490" s="187" t="str">
        <f>CONCATENATE(V490,"_",W490)</f>
        <v>N/A_N/A</v>
      </c>
      <c r="Y490" s="187" t="str">
        <f>CONCATENATE(U490," ",X490)</f>
        <v>N/A-N/A N/A_N/A</v>
      </c>
      <c r="Z490" s="186" t="str">
        <f>CONCATENATE(P490,Q490,R490,S490,V490)</f>
        <v>NANANAN/AN/A</v>
      </c>
      <c r="AA490" s="186" t="str">
        <f>IFERROR(VLOOKUP(Y490,TD!$K$47:$L$65,2,0)," ")</f>
        <v>N/A</v>
      </c>
      <c r="AB490" s="53" t="s">
        <v>666</v>
      </c>
      <c r="AC490" s="188" t="s">
        <v>204</v>
      </c>
    </row>
    <row r="491" spans="2:29" s="28" customFormat="1" ht="98" x14ac:dyDescent="0.35">
      <c r="B491" s="77">
        <v>20250501</v>
      </c>
      <c r="C491" s="50" t="s">
        <v>346</v>
      </c>
      <c r="D491" s="184" t="s">
        <v>166</v>
      </c>
      <c r="E491" s="51" t="s">
        <v>558</v>
      </c>
      <c r="F491" s="184" t="s">
        <v>639</v>
      </c>
      <c r="G491" s="184" t="s">
        <v>96</v>
      </c>
      <c r="H491" s="93" t="s">
        <v>640</v>
      </c>
      <c r="I491" s="185">
        <v>3</v>
      </c>
      <c r="J491" s="185">
        <v>10</v>
      </c>
      <c r="K491" s="52">
        <v>0</v>
      </c>
      <c r="L491" s="53">
        <v>30000000</v>
      </c>
      <c r="M491" s="184" t="s">
        <v>172</v>
      </c>
      <c r="N491" s="53" t="s">
        <v>100</v>
      </c>
      <c r="O491" s="51" t="s">
        <v>347</v>
      </c>
      <c r="P491" s="186" t="str">
        <f>IFERROR(VLOOKUP(C491,TD!$B$33:$F$37,2,0)," ")</f>
        <v>NA</v>
      </c>
      <c r="Q491" s="186" t="str">
        <f>IFERROR(VLOOKUP(C491,TD!$B$33:$F$37,3,0)," ")</f>
        <v>NA</v>
      </c>
      <c r="R491" s="186" t="str">
        <f>IFERROR(VLOOKUP(C491,TD!$B$33:$F$37,4,0)," ")</f>
        <v>NA</v>
      </c>
      <c r="S491" s="51" t="s">
        <v>406</v>
      </c>
      <c r="T491" s="186" t="str">
        <f>IFERROR(VLOOKUP(S491,TD!$J$34:$K$44,2,0)," ")</f>
        <v>N/A</v>
      </c>
      <c r="U491" s="187" t="str">
        <f>CONCATENATE(S491,"-",T491)</f>
        <v>N/A-N/A</v>
      </c>
      <c r="V491" s="51" t="s">
        <v>406</v>
      </c>
      <c r="W491" s="186" t="str">
        <f>IFERROR(VLOOKUP(V491,TD!$N$34:$O$46,2,0)," ")</f>
        <v>N/A</v>
      </c>
      <c r="X491" s="187" t="str">
        <f>CONCATENATE(V491,"_",W491)</f>
        <v>N/A_N/A</v>
      </c>
      <c r="Y491" s="187" t="str">
        <f>CONCATENATE(U491," ",X491)</f>
        <v>N/A-N/A N/A_N/A</v>
      </c>
      <c r="Z491" s="186" t="str">
        <f>CONCATENATE(P491,Q491,R491,S491,V491)</f>
        <v>NANANAN/AN/A</v>
      </c>
      <c r="AA491" s="186" t="str">
        <f>IFERROR(VLOOKUP(Y491,TD!$K$47:$L$65,2,0)," ")</f>
        <v>N/A</v>
      </c>
      <c r="AB491" s="53" t="s">
        <v>666</v>
      </c>
      <c r="AC491" s="188" t="s">
        <v>204</v>
      </c>
    </row>
    <row r="492" spans="2:29" s="28" customFormat="1" ht="56" x14ac:dyDescent="0.35">
      <c r="B492" s="77">
        <v>20250502</v>
      </c>
      <c r="C492" s="50" t="s">
        <v>346</v>
      </c>
      <c r="D492" s="184" t="s">
        <v>166</v>
      </c>
      <c r="E492" s="51" t="s">
        <v>558</v>
      </c>
      <c r="F492" s="184" t="s">
        <v>907</v>
      </c>
      <c r="G492" s="184" t="s">
        <v>119</v>
      </c>
      <c r="H492" s="93" t="s">
        <v>641</v>
      </c>
      <c r="I492" s="185">
        <v>3</v>
      </c>
      <c r="J492" s="185">
        <v>8</v>
      </c>
      <c r="K492" s="52">
        <v>0</v>
      </c>
      <c r="L492" s="53">
        <v>10000000</v>
      </c>
      <c r="M492" s="184" t="s">
        <v>172</v>
      </c>
      <c r="N492" s="53" t="s">
        <v>100</v>
      </c>
      <c r="O492" s="51" t="s">
        <v>347</v>
      </c>
      <c r="P492" s="186" t="str">
        <f>IFERROR(VLOOKUP(C492,TD!$B$33:$F$37,2,0)," ")</f>
        <v>NA</v>
      </c>
      <c r="Q492" s="186" t="str">
        <f>IFERROR(VLOOKUP(C492,TD!$B$33:$F$37,3,0)," ")</f>
        <v>NA</v>
      </c>
      <c r="R492" s="186" t="str">
        <f>IFERROR(VLOOKUP(C492,TD!$B$33:$F$37,4,0)," ")</f>
        <v>NA</v>
      </c>
      <c r="S492" s="51" t="s">
        <v>406</v>
      </c>
      <c r="T492" s="186" t="str">
        <f>IFERROR(VLOOKUP(S492,TD!$J$34:$K$44,2,0)," ")</f>
        <v>N/A</v>
      </c>
      <c r="U492" s="187" t="str">
        <f>CONCATENATE(S492,"-",T492)</f>
        <v>N/A-N/A</v>
      </c>
      <c r="V492" s="51" t="s">
        <v>406</v>
      </c>
      <c r="W492" s="186" t="str">
        <f>IFERROR(VLOOKUP(V492,TD!$N$34:$O$46,2,0)," ")</f>
        <v>N/A</v>
      </c>
      <c r="X492" s="187" t="str">
        <f>CONCATENATE(V492,"_",W492)</f>
        <v>N/A_N/A</v>
      </c>
      <c r="Y492" s="187" t="str">
        <f>CONCATENATE(U492," ",X492)</f>
        <v>N/A-N/A N/A_N/A</v>
      </c>
      <c r="Z492" s="186" t="str">
        <f>CONCATENATE(P492,Q492,R492,S492,V492)</f>
        <v>NANANAN/AN/A</v>
      </c>
      <c r="AA492" s="186" t="str">
        <f>IFERROR(VLOOKUP(Y492,TD!$K$47:$L$65,2,0)," ")</f>
        <v>N/A</v>
      </c>
      <c r="AB492" s="53" t="s">
        <v>666</v>
      </c>
      <c r="AC492" s="188" t="s">
        <v>204</v>
      </c>
    </row>
    <row r="493" spans="2:29" s="28" customFormat="1" ht="56" x14ac:dyDescent="0.35">
      <c r="B493" s="77">
        <v>20250503</v>
      </c>
      <c r="C493" s="50" t="s">
        <v>346</v>
      </c>
      <c r="D493" s="184" t="s">
        <v>166</v>
      </c>
      <c r="E493" s="51" t="s">
        <v>558</v>
      </c>
      <c r="F493" s="184" t="s">
        <v>642</v>
      </c>
      <c r="G493" s="184" t="s">
        <v>119</v>
      </c>
      <c r="H493" s="93" t="s">
        <v>643</v>
      </c>
      <c r="I493" s="185">
        <v>2</v>
      </c>
      <c r="J493" s="185">
        <v>3</v>
      </c>
      <c r="K493" s="52">
        <v>0</v>
      </c>
      <c r="L493" s="53">
        <v>29250000</v>
      </c>
      <c r="M493" s="184" t="s">
        <v>172</v>
      </c>
      <c r="N493" s="53" t="s">
        <v>100</v>
      </c>
      <c r="O493" s="51" t="s">
        <v>347</v>
      </c>
      <c r="P493" s="186" t="str">
        <f>IFERROR(VLOOKUP(C493,TD!$B$33:$F$37,2,0)," ")</f>
        <v>NA</v>
      </c>
      <c r="Q493" s="186" t="str">
        <f>IFERROR(VLOOKUP(C493,TD!$B$33:$F$37,3,0)," ")</f>
        <v>NA</v>
      </c>
      <c r="R493" s="186" t="str">
        <f>IFERROR(VLOOKUP(C493,TD!$B$33:$F$37,4,0)," ")</f>
        <v>NA</v>
      </c>
      <c r="S493" s="51" t="s">
        <v>406</v>
      </c>
      <c r="T493" s="186" t="str">
        <f>IFERROR(VLOOKUP(S493,TD!$J$34:$K$44,2,0)," ")</f>
        <v>N/A</v>
      </c>
      <c r="U493" s="187" t="str">
        <f>CONCATENATE(S493,"-",T493)</f>
        <v>N/A-N/A</v>
      </c>
      <c r="V493" s="51" t="s">
        <v>406</v>
      </c>
      <c r="W493" s="186" t="str">
        <f>IFERROR(VLOOKUP(V493,TD!$N$34:$O$46,2,0)," ")</f>
        <v>N/A</v>
      </c>
      <c r="X493" s="187" t="str">
        <f>CONCATENATE(V493,"_",W493)</f>
        <v>N/A_N/A</v>
      </c>
      <c r="Y493" s="187" t="str">
        <f>CONCATENATE(U493," ",X493)</f>
        <v>N/A-N/A N/A_N/A</v>
      </c>
      <c r="Z493" s="186" t="str">
        <f>CONCATENATE(P493,Q493,R493,S493,V493)</f>
        <v>NANANAN/AN/A</v>
      </c>
      <c r="AA493" s="186" t="str">
        <f>IFERROR(VLOOKUP(Y493,TD!$K$47:$L$65,2,0)," ")</f>
        <v>N/A</v>
      </c>
      <c r="AB493" s="53" t="s">
        <v>666</v>
      </c>
      <c r="AC493" s="188" t="s">
        <v>205</v>
      </c>
    </row>
    <row r="494" spans="2:29" s="28" customFormat="1" ht="56" x14ac:dyDescent="0.35">
      <c r="B494" s="127">
        <v>20250504</v>
      </c>
      <c r="C494" s="50" t="s">
        <v>208</v>
      </c>
      <c r="D494" s="184" t="s">
        <v>166</v>
      </c>
      <c r="E494" s="51" t="s">
        <v>558</v>
      </c>
      <c r="F494" s="184" t="s">
        <v>580</v>
      </c>
      <c r="G494" s="184" t="s">
        <v>96</v>
      </c>
      <c r="H494" s="93" t="s">
        <v>630</v>
      </c>
      <c r="I494" s="185">
        <v>4</v>
      </c>
      <c r="J494" s="185">
        <v>3</v>
      </c>
      <c r="K494" s="52">
        <v>0</v>
      </c>
      <c r="L494" s="53">
        <v>247865400</v>
      </c>
      <c r="M494" s="184" t="s">
        <v>464</v>
      </c>
      <c r="N494" s="125" t="s">
        <v>90</v>
      </c>
      <c r="O494" s="51" t="s">
        <v>218</v>
      </c>
      <c r="P494" s="186" t="str">
        <f>IFERROR(VLOOKUP(C494,TD!$B$33:$F$37,2,0)," ")</f>
        <v>O230117</v>
      </c>
      <c r="Q494" s="186" t="str">
        <f>IFERROR(VLOOKUP(C494,TD!$B$33:$F$37,3,0)," ")</f>
        <v>4599</v>
      </c>
      <c r="R494" s="186">
        <f>IFERROR(VLOOKUP(C494,TD!$B$33:$F$37,4,0)," ")</f>
        <v>20240207</v>
      </c>
      <c r="S494" s="51" t="s">
        <v>185</v>
      </c>
      <c r="T494" s="186" t="str">
        <f>IFERROR(VLOOKUP(S494,TD!$J$34:$K$44,2,0)," ")</f>
        <v>Infraestructura física, mantenimiento y dotación (Sedes construidas, mantenidas reforzadas)</v>
      </c>
      <c r="U494" s="187" t="str">
        <f>CONCATENATE(S494,"-",T494)</f>
        <v>08-Infraestructura física, mantenimiento y dotación (Sedes construidas, mantenidas reforzadas)</v>
      </c>
      <c r="V494" s="51" t="s">
        <v>238</v>
      </c>
      <c r="W494" s="186" t="str">
        <f>IFERROR(VLOOKUP(V494,TD!$N$34:$O$46,2,0)," ")</f>
        <v>Sedes mantenidas</v>
      </c>
      <c r="X494" s="187" t="str">
        <f>CONCATENATE(V494,"_",W494)</f>
        <v>016_Sedes mantenidas</v>
      </c>
      <c r="Y494" s="187" t="str">
        <f>CONCATENATE(U494," ",X494)</f>
        <v>08-Infraestructura física, mantenimiento y dotación (Sedes construidas, mantenidas reforzadas) 016_Sedes mantenidas</v>
      </c>
      <c r="Z494" s="186" t="str">
        <f>CONCATENATE(P494,Q494,R494,S494,V494)</f>
        <v>O23011745992024020708016</v>
      </c>
      <c r="AA494" s="186" t="str">
        <f>IFERROR(VLOOKUP(Y494,TD!$K$47:$L$65,2,0)," ")</f>
        <v>PM/0131/0108/45990160207</v>
      </c>
      <c r="AB494" s="53" t="s">
        <v>141</v>
      </c>
      <c r="AC494" s="188" t="s">
        <v>204</v>
      </c>
    </row>
    <row r="495" spans="2:29" s="28" customFormat="1" ht="56" x14ac:dyDescent="0.35">
      <c r="B495" s="127">
        <v>20250505</v>
      </c>
      <c r="C495" s="129" t="s">
        <v>208</v>
      </c>
      <c r="D495" s="189" t="s">
        <v>166</v>
      </c>
      <c r="E495" s="190" t="s">
        <v>558</v>
      </c>
      <c r="F495" s="189" t="s">
        <v>1325</v>
      </c>
      <c r="G495" s="189" t="s">
        <v>146</v>
      </c>
      <c r="H495" s="130" t="s">
        <v>951</v>
      </c>
      <c r="I495" s="191">
        <v>2</v>
      </c>
      <c r="J495" s="191">
        <v>9</v>
      </c>
      <c r="K495" s="126">
        <v>0</v>
      </c>
      <c r="L495" s="125">
        <v>40000000</v>
      </c>
      <c r="M495" s="189" t="s">
        <v>464</v>
      </c>
      <c r="N495" s="125" t="s">
        <v>100</v>
      </c>
      <c r="O495" s="190" t="s">
        <v>218</v>
      </c>
      <c r="P495" s="192" t="str">
        <f>IFERROR(VLOOKUP(C495,TD!$B$33:$F$37,2,0)," ")</f>
        <v>O230117</v>
      </c>
      <c r="Q495" s="192" t="str">
        <f>IFERROR(VLOOKUP(C495,TD!$B$33:$F$37,3,0)," ")</f>
        <v>4599</v>
      </c>
      <c r="R495" s="192">
        <f>IFERROR(VLOOKUP(C495,TD!$B$33:$F$37,4,0)," ")</f>
        <v>20240207</v>
      </c>
      <c r="S495" s="190" t="s">
        <v>185</v>
      </c>
      <c r="T495" s="192" t="str">
        <f>IFERROR(VLOOKUP(S495,TD!$J$34:$K$44,2,0)," ")</f>
        <v>Infraestructura física, mantenimiento y dotación (Sedes construidas, mantenidas reforzadas)</v>
      </c>
      <c r="U495" s="187" t="str">
        <f>CONCATENATE(S495,"-",T495)</f>
        <v>08-Infraestructura física, mantenimiento y dotación (Sedes construidas, mantenidas reforzadas)</v>
      </c>
      <c r="V495" s="190" t="s">
        <v>238</v>
      </c>
      <c r="W495" s="192" t="str">
        <f>IFERROR(VLOOKUP(V495,TD!$N$34:$O$46,2,0)," ")</f>
        <v>Sedes mantenidas</v>
      </c>
      <c r="X495" s="187" t="str">
        <f>CONCATENATE(V495,"_",W495)</f>
        <v>016_Sedes mantenidas</v>
      </c>
      <c r="Y495" s="187" t="str">
        <f>CONCATENATE(U495," ",X495)</f>
        <v>08-Infraestructura física, mantenimiento y dotación (Sedes construidas, mantenidas reforzadas) 016_Sedes mantenidas</v>
      </c>
      <c r="Z495" s="192" t="str">
        <f>CONCATENATE(P495,Q495,R495,S495,V495)</f>
        <v>O23011745992024020708016</v>
      </c>
      <c r="AA495" s="192" t="str">
        <f>IFERROR(VLOOKUP(Y495,TD!$K$47:$L$65,2,0)," ")</f>
        <v>PM/0131/0108/45990160207</v>
      </c>
      <c r="AB495" s="125" t="s">
        <v>147</v>
      </c>
      <c r="AC495" s="193" t="s">
        <v>204</v>
      </c>
    </row>
    <row r="496" spans="2:29" s="28" customFormat="1" ht="56" x14ac:dyDescent="0.35">
      <c r="B496" s="77">
        <v>20250506</v>
      </c>
      <c r="C496" s="50" t="s">
        <v>208</v>
      </c>
      <c r="D496" s="184" t="s">
        <v>166</v>
      </c>
      <c r="E496" s="51" t="s">
        <v>558</v>
      </c>
      <c r="F496" s="184" t="s">
        <v>593</v>
      </c>
      <c r="G496" s="184" t="s">
        <v>157</v>
      </c>
      <c r="H496" s="93" t="s">
        <v>644</v>
      </c>
      <c r="I496" s="185">
        <v>4</v>
      </c>
      <c r="J496" s="185">
        <v>6</v>
      </c>
      <c r="K496" s="52">
        <v>0</v>
      </c>
      <c r="L496" s="53">
        <v>0</v>
      </c>
      <c r="M496" s="184" t="s">
        <v>464</v>
      </c>
      <c r="N496" s="53" t="s">
        <v>90</v>
      </c>
      <c r="O496" s="51" t="s">
        <v>218</v>
      </c>
      <c r="P496" s="186" t="str">
        <f>IFERROR(VLOOKUP(C496,TD!$B$33:$F$37,2,0)," ")</f>
        <v>O230117</v>
      </c>
      <c r="Q496" s="186" t="str">
        <f>IFERROR(VLOOKUP(C496,TD!$B$33:$F$37,3,0)," ")</f>
        <v>4599</v>
      </c>
      <c r="R496" s="186">
        <f>IFERROR(VLOOKUP(C496,TD!$B$33:$F$37,4,0)," ")</f>
        <v>20240207</v>
      </c>
      <c r="S496" s="51" t="s">
        <v>185</v>
      </c>
      <c r="T496" s="186" t="str">
        <f>IFERROR(VLOOKUP(S496,TD!$J$34:$K$44,2,0)," ")</f>
        <v>Infraestructura física, mantenimiento y dotación (Sedes construidas, mantenidas reforzadas)</v>
      </c>
      <c r="U496" s="187" t="str">
        <f>CONCATENATE(S496,"-",T496)</f>
        <v>08-Infraestructura física, mantenimiento y dotación (Sedes construidas, mantenidas reforzadas)</v>
      </c>
      <c r="V496" s="51" t="s">
        <v>238</v>
      </c>
      <c r="W496" s="186" t="str">
        <f>IFERROR(VLOOKUP(V496,TD!$N$34:$O$46,2,0)," ")</f>
        <v>Sedes mantenidas</v>
      </c>
      <c r="X496" s="187" t="str">
        <f>CONCATENATE(V496,"_",W496)</f>
        <v>016_Sedes mantenidas</v>
      </c>
      <c r="Y496" s="187" t="str">
        <f>CONCATENATE(U496," ",X496)</f>
        <v>08-Infraestructura física, mantenimiento y dotación (Sedes construidas, mantenidas reforzadas) 016_Sedes mantenidas</v>
      </c>
      <c r="Z496" s="186" t="str">
        <f>CONCATENATE(P496,Q496,R496,S496,V496)</f>
        <v>O23011745992024020708016</v>
      </c>
      <c r="AA496" s="186" t="str">
        <f>IFERROR(VLOOKUP(Y496,TD!$K$47:$L$65,2,0)," ")</f>
        <v>PM/0131/0108/45990160207</v>
      </c>
      <c r="AB496" s="53" t="s">
        <v>147</v>
      </c>
      <c r="AC496" s="188" t="s">
        <v>204</v>
      </c>
    </row>
    <row r="497" spans="2:29" s="28" customFormat="1" ht="56" x14ac:dyDescent="0.35">
      <c r="B497" s="77">
        <v>20250507</v>
      </c>
      <c r="C497" s="50" t="s">
        <v>208</v>
      </c>
      <c r="D497" s="184" t="s">
        <v>166</v>
      </c>
      <c r="E497" s="51" t="s">
        <v>558</v>
      </c>
      <c r="F497" s="184" t="s">
        <v>950</v>
      </c>
      <c r="G497" s="184" t="s">
        <v>146</v>
      </c>
      <c r="H497" s="93">
        <v>73152108</v>
      </c>
      <c r="I497" s="185">
        <v>3</v>
      </c>
      <c r="J497" s="185">
        <v>8</v>
      </c>
      <c r="K497" s="52">
        <v>0</v>
      </c>
      <c r="L497" s="53">
        <v>15000000</v>
      </c>
      <c r="M497" s="184" t="s">
        <v>464</v>
      </c>
      <c r="N497" s="53" t="s">
        <v>100</v>
      </c>
      <c r="O497" s="51" t="s">
        <v>218</v>
      </c>
      <c r="P497" s="186" t="str">
        <f>IFERROR(VLOOKUP(C497,TD!$B$33:$F$37,2,0)," ")</f>
        <v>O230117</v>
      </c>
      <c r="Q497" s="186" t="str">
        <f>IFERROR(VLOOKUP(C497,TD!$B$33:$F$37,3,0)," ")</f>
        <v>4599</v>
      </c>
      <c r="R497" s="186">
        <f>IFERROR(VLOOKUP(C497,TD!$B$33:$F$37,4,0)," ")</f>
        <v>20240207</v>
      </c>
      <c r="S497" s="51" t="s">
        <v>185</v>
      </c>
      <c r="T497" s="186" t="str">
        <f>IFERROR(VLOOKUP(S497,TD!$J$34:$K$44,2,0)," ")</f>
        <v>Infraestructura física, mantenimiento y dotación (Sedes construidas, mantenidas reforzadas)</v>
      </c>
      <c r="U497" s="187" t="str">
        <f>CONCATENATE(S497,"-",T497)</f>
        <v>08-Infraestructura física, mantenimiento y dotación (Sedes construidas, mantenidas reforzadas)</v>
      </c>
      <c r="V497" s="51" t="s">
        <v>238</v>
      </c>
      <c r="W497" s="186" t="str">
        <f>IFERROR(VLOOKUP(V497,TD!$N$34:$O$46,2,0)," ")</f>
        <v>Sedes mantenidas</v>
      </c>
      <c r="X497" s="187" t="str">
        <f>CONCATENATE(V497,"_",W497)</f>
        <v>016_Sedes mantenidas</v>
      </c>
      <c r="Y497" s="187" t="str">
        <f>CONCATENATE(U497," ",X497)</f>
        <v>08-Infraestructura física, mantenimiento y dotación (Sedes construidas, mantenidas reforzadas) 016_Sedes mantenidas</v>
      </c>
      <c r="Z497" s="186" t="str">
        <f>CONCATENATE(P497,Q497,R497,S497,V497)</f>
        <v>O23011745992024020708016</v>
      </c>
      <c r="AA497" s="186" t="str">
        <f>IFERROR(VLOOKUP(Y497,TD!$K$47:$L$65,2,0)," ")</f>
        <v>PM/0131/0108/45990160207</v>
      </c>
      <c r="AB497" s="53" t="s">
        <v>147</v>
      </c>
      <c r="AC497" s="188" t="s">
        <v>204</v>
      </c>
    </row>
    <row r="498" spans="2:29" s="28" customFormat="1" ht="56" x14ac:dyDescent="0.35">
      <c r="B498" s="77">
        <v>20250508</v>
      </c>
      <c r="C498" s="50" t="s">
        <v>208</v>
      </c>
      <c r="D498" s="184" t="s">
        <v>166</v>
      </c>
      <c r="E498" s="51" t="s">
        <v>558</v>
      </c>
      <c r="F498" s="184" t="s">
        <v>594</v>
      </c>
      <c r="G498" s="184" t="s">
        <v>119</v>
      </c>
      <c r="H498" s="93" t="s">
        <v>645</v>
      </c>
      <c r="I498" s="185">
        <v>2</v>
      </c>
      <c r="J498" s="185">
        <v>8</v>
      </c>
      <c r="K498" s="52">
        <v>0</v>
      </c>
      <c r="L498" s="53">
        <v>243061556</v>
      </c>
      <c r="M498" s="184" t="s">
        <v>464</v>
      </c>
      <c r="N498" s="53" t="s">
        <v>123</v>
      </c>
      <c r="O498" s="51" t="s">
        <v>218</v>
      </c>
      <c r="P498" s="186" t="str">
        <f>IFERROR(VLOOKUP(C498,TD!$B$33:$F$37,2,0)," ")</f>
        <v>O230117</v>
      </c>
      <c r="Q498" s="186" t="str">
        <f>IFERROR(VLOOKUP(C498,TD!$B$33:$F$37,3,0)," ")</f>
        <v>4599</v>
      </c>
      <c r="R498" s="186">
        <f>IFERROR(VLOOKUP(C498,TD!$B$33:$F$37,4,0)," ")</f>
        <v>20240207</v>
      </c>
      <c r="S498" s="51" t="s">
        <v>185</v>
      </c>
      <c r="T498" s="186" t="str">
        <f>IFERROR(VLOOKUP(S498,TD!$J$34:$K$44,2,0)," ")</f>
        <v>Infraestructura física, mantenimiento y dotación (Sedes construidas, mantenidas reforzadas)</v>
      </c>
      <c r="U498" s="187" t="str">
        <f>CONCATENATE(S498,"-",T498)</f>
        <v>08-Infraestructura física, mantenimiento y dotación (Sedes construidas, mantenidas reforzadas)</v>
      </c>
      <c r="V498" s="51" t="s">
        <v>238</v>
      </c>
      <c r="W498" s="186" t="str">
        <f>IFERROR(VLOOKUP(V498,TD!$N$34:$O$46,2,0)," ")</f>
        <v>Sedes mantenidas</v>
      </c>
      <c r="X498" s="187" t="str">
        <f>CONCATENATE(V498,"_",W498)</f>
        <v>016_Sedes mantenidas</v>
      </c>
      <c r="Y498" s="187" t="str">
        <f>CONCATENATE(U498," ",X498)</f>
        <v>08-Infraestructura física, mantenimiento y dotación (Sedes construidas, mantenidas reforzadas) 016_Sedes mantenidas</v>
      </c>
      <c r="Z498" s="186" t="str">
        <f>CONCATENATE(P498,Q498,R498,S498,V498)</f>
        <v>O23011745992024020708016</v>
      </c>
      <c r="AA498" s="186" t="str">
        <f>IFERROR(VLOOKUP(Y498,TD!$K$47:$L$65,2,0)," ")</f>
        <v>PM/0131/0108/45990160207</v>
      </c>
      <c r="AB498" s="53" t="s">
        <v>147</v>
      </c>
      <c r="AC498" s="188" t="s">
        <v>204</v>
      </c>
    </row>
    <row r="499" spans="2:29" s="28" customFormat="1" ht="70" x14ac:dyDescent="0.35">
      <c r="B499" s="127">
        <v>20250510</v>
      </c>
      <c r="C499" s="129" t="s">
        <v>208</v>
      </c>
      <c r="D499" s="189" t="s">
        <v>166</v>
      </c>
      <c r="E499" s="190" t="s">
        <v>558</v>
      </c>
      <c r="F499" s="189" t="s">
        <v>877</v>
      </c>
      <c r="G499" s="189" t="s">
        <v>146</v>
      </c>
      <c r="H499" s="130" t="s">
        <v>646</v>
      </c>
      <c r="I499" s="191">
        <v>2</v>
      </c>
      <c r="J499" s="191">
        <v>8</v>
      </c>
      <c r="K499" s="126">
        <v>0</v>
      </c>
      <c r="L499" s="125">
        <v>400000000</v>
      </c>
      <c r="M499" s="189" t="s">
        <v>464</v>
      </c>
      <c r="N499" s="125" t="s">
        <v>85</v>
      </c>
      <c r="O499" s="190" t="s">
        <v>218</v>
      </c>
      <c r="P499" s="192" t="str">
        <f>IFERROR(VLOOKUP(C499,TD!$B$33:$F$37,2,0)," ")</f>
        <v>O230117</v>
      </c>
      <c r="Q499" s="192" t="str">
        <f>IFERROR(VLOOKUP(C499,TD!$B$33:$F$37,3,0)," ")</f>
        <v>4599</v>
      </c>
      <c r="R499" s="192">
        <f>IFERROR(VLOOKUP(C499,TD!$B$33:$F$37,4,0)," ")</f>
        <v>20240207</v>
      </c>
      <c r="S499" s="190" t="s">
        <v>185</v>
      </c>
      <c r="T499" s="192" t="str">
        <f>IFERROR(VLOOKUP(S499,TD!$J$34:$K$44,2,0)," ")</f>
        <v>Infraestructura física, mantenimiento y dotación (Sedes construidas, mantenidas reforzadas)</v>
      </c>
      <c r="U499" s="187" t="str">
        <f>CONCATENATE(S499,"-",T499)</f>
        <v>08-Infraestructura física, mantenimiento y dotación (Sedes construidas, mantenidas reforzadas)</v>
      </c>
      <c r="V499" s="190" t="s">
        <v>238</v>
      </c>
      <c r="W499" s="192" t="str">
        <f>IFERROR(VLOOKUP(V499,TD!$N$34:$O$46,2,0)," ")</f>
        <v>Sedes mantenidas</v>
      </c>
      <c r="X499" s="187" t="str">
        <f>CONCATENATE(V499,"_",W499)</f>
        <v>016_Sedes mantenidas</v>
      </c>
      <c r="Y499" s="187" t="str">
        <f>CONCATENATE(U499," ",X499)</f>
        <v>08-Infraestructura física, mantenimiento y dotación (Sedes construidas, mantenidas reforzadas) 016_Sedes mantenidas</v>
      </c>
      <c r="Z499" s="192" t="str">
        <f>CONCATENATE(P499,Q499,R499,S499,V499)</f>
        <v>O23011745992024020708016</v>
      </c>
      <c r="AA499" s="192" t="str">
        <f>IFERROR(VLOOKUP(Y499,TD!$K$47:$L$65,2,0)," ")</f>
        <v>PM/0131/0108/45990160207</v>
      </c>
      <c r="AB499" s="53" t="s">
        <v>102</v>
      </c>
      <c r="AC499" s="193" t="s">
        <v>205</v>
      </c>
    </row>
    <row r="500" spans="2:29" s="28" customFormat="1" ht="56" x14ac:dyDescent="0.35">
      <c r="B500" s="77">
        <v>20250511</v>
      </c>
      <c r="C500" s="50" t="s">
        <v>208</v>
      </c>
      <c r="D500" s="184" t="s">
        <v>166</v>
      </c>
      <c r="E500" s="51" t="s">
        <v>558</v>
      </c>
      <c r="F500" s="184" t="s">
        <v>863</v>
      </c>
      <c r="G500" s="184" t="s">
        <v>140</v>
      </c>
      <c r="H500" s="93" t="s">
        <v>647</v>
      </c>
      <c r="I500" s="185">
        <v>2</v>
      </c>
      <c r="J500" s="185">
        <v>8</v>
      </c>
      <c r="K500" s="52">
        <v>0</v>
      </c>
      <c r="L500" s="53">
        <f>181681869-81681885</f>
        <v>99999984</v>
      </c>
      <c r="M500" s="184" t="s">
        <v>464</v>
      </c>
      <c r="N500" s="53" t="s">
        <v>108</v>
      </c>
      <c r="O500" s="51" t="s">
        <v>218</v>
      </c>
      <c r="P500" s="186" t="str">
        <f>IFERROR(VLOOKUP(C500,TD!$B$33:$F$37,2,0)," ")</f>
        <v>O230117</v>
      </c>
      <c r="Q500" s="186" t="str">
        <f>IFERROR(VLOOKUP(C500,TD!$B$33:$F$37,3,0)," ")</f>
        <v>4599</v>
      </c>
      <c r="R500" s="186">
        <f>IFERROR(VLOOKUP(C500,TD!$B$33:$F$37,4,0)," ")</f>
        <v>20240207</v>
      </c>
      <c r="S500" s="51" t="s">
        <v>185</v>
      </c>
      <c r="T500" s="186" t="str">
        <f>IFERROR(VLOOKUP(S500,TD!$J$34:$K$44,2,0)," ")</f>
        <v>Infraestructura física, mantenimiento y dotación (Sedes construidas, mantenidas reforzadas)</v>
      </c>
      <c r="U500" s="187" t="str">
        <f>CONCATENATE(S500,"-",T500)</f>
        <v>08-Infraestructura física, mantenimiento y dotación (Sedes construidas, mantenidas reforzadas)</v>
      </c>
      <c r="V500" s="51" t="s">
        <v>238</v>
      </c>
      <c r="W500" s="186" t="str">
        <f>IFERROR(VLOOKUP(V500,TD!$N$34:$O$46,2,0)," ")</f>
        <v>Sedes mantenidas</v>
      </c>
      <c r="X500" s="187" t="str">
        <f>CONCATENATE(V500,"_",W500)</f>
        <v>016_Sedes mantenidas</v>
      </c>
      <c r="Y500" s="187" t="str">
        <f>CONCATENATE(U500," ",X500)</f>
        <v>08-Infraestructura física, mantenimiento y dotación (Sedes construidas, mantenidas reforzadas) 016_Sedes mantenidas</v>
      </c>
      <c r="Z500" s="186" t="str">
        <f>CONCATENATE(P500,Q500,R500,S500,V500)</f>
        <v>O23011745992024020708016</v>
      </c>
      <c r="AA500" s="186" t="str">
        <f>IFERROR(VLOOKUP(Y500,TD!$K$47:$L$65,2,0)," ")</f>
        <v>PM/0131/0108/45990160207</v>
      </c>
      <c r="AB500" s="53" t="s">
        <v>102</v>
      </c>
      <c r="AC500" s="188" t="s">
        <v>205</v>
      </c>
    </row>
    <row r="501" spans="2:29" s="28" customFormat="1" ht="56" x14ac:dyDescent="0.35">
      <c r="B501" s="77">
        <v>20250512</v>
      </c>
      <c r="C501" s="50" t="s">
        <v>208</v>
      </c>
      <c r="D501" s="184" t="s">
        <v>166</v>
      </c>
      <c r="E501" s="51" t="s">
        <v>558</v>
      </c>
      <c r="F501" s="184" t="s">
        <v>864</v>
      </c>
      <c r="G501" s="184" t="s">
        <v>109</v>
      </c>
      <c r="H501" s="93" t="s">
        <v>596</v>
      </c>
      <c r="I501" s="185">
        <v>4</v>
      </c>
      <c r="J501" s="185">
        <v>3</v>
      </c>
      <c r="K501" s="52">
        <v>0</v>
      </c>
      <c r="L501" s="53">
        <v>0</v>
      </c>
      <c r="M501" s="184" t="s">
        <v>464</v>
      </c>
      <c r="N501" s="53" t="s">
        <v>95</v>
      </c>
      <c r="O501" s="51" t="s">
        <v>218</v>
      </c>
      <c r="P501" s="186" t="str">
        <f>IFERROR(VLOOKUP(C501,TD!$B$33:$F$37,2,0)," ")</f>
        <v>O230117</v>
      </c>
      <c r="Q501" s="186" t="str">
        <f>IFERROR(VLOOKUP(C501,TD!$B$33:$F$37,3,0)," ")</f>
        <v>4599</v>
      </c>
      <c r="R501" s="186">
        <f>IFERROR(VLOOKUP(C501,TD!$B$33:$F$37,4,0)," ")</f>
        <v>20240207</v>
      </c>
      <c r="S501" s="51" t="s">
        <v>185</v>
      </c>
      <c r="T501" s="186" t="str">
        <f>IFERROR(VLOOKUP(S501,TD!$J$34:$K$44,2,0)," ")</f>
        <v>Infraestructura física, mantenimiento y dotación (Sedes construidas, mantenidas reforzadas)</v>
      </c>
      <c r="U501" s="187" t="str">
        <f>CONCATENATE(S501,"-",T501)</f>
        <v>08-Infraestructura física, mantenimiento y dotación (Sedes construidas, mantenidas reforzadas)</v>
      </c>
      <c r="V501" s="51" t="s">
        <v>238</v>
      </c>
      <c r="W501" s="186" t="str">
        <f>IFERROR(VLOOKUP(V501,TD!$N$34:$O$46,2,0)," ")</f>
        <v>Sedes mantenidas</v>
      </c>
      <c r="X501" s="187" t="str">
        <f>CONCATENATE(V501,"_",W501)</f>
        <v>016_Sedes mantenidas</v>
      </c>
      <c r="Y501" s="187" t="str">
        <f>CONCATENATE(U501," ",X501)</f>
        <v>08-Infraestructura física, mantenimiento y dotación (Sedes construidas, mantenidas reforzadas) 016_Sedes mantenidas</v>
      </c>
      <c r="Z501" s="186" t="str">
        <f>CONCATENATE(P501,Q501,R501,S501,V501)</f>
        <v>O23011745992024020708016</v>
      </c>
      <c r="AA501" s="186" t="str">
        <f>IFERROR(VLOOKUP(Y501,TD!$K$47:$L$65,2,0)," ")</f>
        <v>PM/0131/0108/45990160207</v>
      </c>
      <c r="AB501" s="53" t="s">
        <v>87</v>
      </c>
      <c r="AC501" s="188" t="s">
        <v>204</v>
      </c>
    </row>
    <row r="502" spans="2:29" s="28" customFormat="1" ht="56" x14ac:dyDescent="0.35">
      <c r="B502" s="127">
        <v>20250515</v>
      </c>
      <c r="C502" s="50" t="s">
        <v>208</v>
      </c>
      <c r="D502" s="184" t="s">
        <v>166</v>
      </c>
      <c r="E502" s="51" t="s">
        <v>558</v>
      </c>
      <c r="F502" s="184" t="s">
        <v>648</v>
      </c>
      <c r="G502" s="184" t="s">
        <v>96</v>
      </c>
      <c r="H502" s="93" t="s">
        <v>630</v>
      </c>
      <c r="I502" s="185">
        <v>2</v>
      </c>
      <c r="J502" s="185">
        <v>4</v>
      </c>
      <c r="K502" s="52">
        <v>0</v>
      </c>
      <c r="L502" s="53">
        <f>100000000+55178416-38743342</f>
        <v>116435074</v>
      </c>
      <c r="M502" s="184" t="s">
        <v>464</v>
      </c>
      <c r="N502" s="53" t="s">
        <v>85</v>
      </c>
      <c r="O502" s="51" t="s">
        <v>218</v>
      </c>
      <c r="P502" s="186" t="str">
        <f>IFERROR(VLOOKUP(C502,TD!$B$33:$F$37,2,0)," ")</f>
        <v>O230117</v>
      </c>
      <c r="Q502" s="186" t="str">
        <f>IFERROR(VLOOKUP(C502,TD!$B$33:$F$37,3,0)," ")</f>
        <v>4599</v>
      </c>
      <c r="R502" s="186">
        <f>IFERROR(VLOOKUP(C502,TD!$B$33:$F$37,4,0)," ")</f>
        <v>20240207</v>
      </c>
      <c r="S502" s="51" t="s">
        <v>185</v>
      </c>
      <c r="T502" s="186" t="str">
        <f>IFERROR(VLOOKUP(S502,TD!$J$34:$K$44,2,0)," ")</f>
        <v>Infraestructura física, mantenimiento y dotación (Sedes construidas, mantenidas reforzadas)</v>
      </c>
      <c r="U502" s="187" t="str">
        <f>CONCATENATE(S502,"-",T502)</f>
        <v>08-Infraestructura física, mantenimiento y dotación (Sedes construidas, mantenidas reforzadas)</v>
      </c>
      <c r="V502" s="51" t="s">
        <v>238</v>
      </c>
      <c r="W502" s="186" t="str">
        <f>IFERROR(VLOOKUP(V502,TD!$N$34:$O$46,2,0)," ")</f>
        <v>Sedes mantenidas</v>
      </c>
      <c r="X502" s="187" t="str">
        <f>CONCATENATE(V502,"_",W502)</f>
        <v>016_Sedes mantenidas</v>
      </c>
      <c r="Y502" s="187" t="str">
        <f>CONCATENATE(U502," ",X502)</f>
        <v>08-Infraestructura física, mantenimiento y dotación (Sedes construidas, mantenidas reforzadas) 016_Sedes mantenidas</v>
      </c>
      <c r="Z502" s="186" t="str">
        <f>CONCATENATE(P502,Q502,R502,S502,V502)</f>
        <v>O23011745992024020708016</v>
      </c>
      <c r="AA502" s="186" t="str">
        <f>IFERROR(VLOOKUP(Y502,TD!$K$47:$L$65,2,0)," ")</f>
        <v>PM/0131/0108/45990160207</v>
      </c>
      <c r="AB502" s="53" t="s">
        <v>141</v>
      </c>
      <c r="AC502" s="188" t="s">
        <v>205</v>
      </c>
    </row>
    <row r="503" spans="2:29" s="28" customFormat="1" ht="56" x14ac:dyDescent="0.35">
      <c r="B503" s="77">
        <v>20250516</v>
      </c>
      <c r="C503" s="50" t="s">
        <v>208</v>
      </c>
      <c r="D503" s="184" t="s">
        <v>166</v>
      </c>
      <c r="E503" s="51" t="s">
        <v>558</v>
      </c>
      <c r="F503" s="184" t="s">
        <v>865</v>
      </c>
      <c r="G503" s="184" t="s">
        <v>119</v>
      </c>
      <c r="H503" s="93" t="s">
        <v>866</v>
      </c>
      <c r="I503" s="185">
        <v>1</v>
      </c>
      <c r="J503" s="185">
        <v>2</v>
      </c>
      <c r="K503" s="52">
        <v>0</v>
      </c>
      <c r="L503" s="53">
        <v>43235341</v>
      </c>
      <c r="M503" s="184" t="s">
        <v>464</v>
      </c>
      <c r="N503" s="53" t="s">
        <v>100</v>
      </c>
      <c r="O503" s="51" t="s">
        <v>218</v>
      </c>
      <c r="P503" s="186" t="str">
        <f>IFERROR(VLOOKUP(C503,TD!$B$33:$F$37,2,0)," ")</f>
        <v>O230117</v>
      </c>
      <c r="Q503" s="186" t="str">
        <f>IFERROR(VLOOKUP(C503,TD!$B$33:$F$37,3,0)," ")</f>
        <v>4599</v>
      </c>
      <c r="R503" s="186">
        <f>IFERROR(VLOOKUP(C503,TD!$B$33:$F$37,4,0)," ")</f>
        <v>20240207</v>
      </c>
      <c r="S503" s="51" t="s">
        <v>185</v>
      </c>
      <c r="T503" s="186" t="str">
        <f>IFERROR(VLOOKUP(S503,TD!$J$34:$K$44,2,0)," ")</f>
        <v>Infraestructura física, mantenimiento y dotación (Sedes construidas, mantenidas reforzadas)</v>
      </c>
      <c r="U503" s="187" t="str">
        <f>CONCATENATE(S503,"-",T503)</f>
        <v>08-Infraestructura física, mantenimiento y dotación (Sedes construidas, mantenidas reforzadas)</v>
      </c>
      <c r="V503" s="51" t="s">
        <v>238</v>
      </c>
      <c r="W503" s="186" t="str">
        <f>IFERROR(VLOOKUP(V503,TD!$N$34:$O$46,2,0)," ")</f>
        <v>Sedes mantenidas</v>
      </c>
      <c r="X503" s="187" t="str">
        <f>CONCATENATE(V503,"_",W503)</f>
        <v>016_Sedes mantenidas</v>
      </c>
      <c r="Y503" s="187" t="str">
        <f>CONCATENATE(U503," ",X503)</f>
        <v>08-Infraestructura física, mantenimiento y dotación (Sedes construidas, mantenidas reforzadas) 016_Sedes mantenidas</v>
      </c>
      <c r="Z503" s="186" t="str">
        <f>CONCATENATE(P503,Q503,R503,S503,V503)</f>
        <v>O23011745992024020708016</v>
      </c>
      <c r="AA503" s="186" t="str">
        <f>IFERROR(VLOOKUP(Y503,TD!$K$47:$L$65,2,0)," ")</f>
        <v>PM/0131/0108/45990160207</v>
      </c>
      <c r="AB503" s="53" t="s">
        <v>87</v>
      </c>
      <c r="AC503" s="188" t="s">
        <v>204</v>
      </c>
    </row>
    <row r="504" spans="2:29" s="28" customFormat="1" ht="56" x14ac:dyDescent="0.35">
      <c r="B504" s="127">
        <v>20250517</v>
      </c>
      <c r="C504" s="129" t="s">
        <v>209</v>
      </c>
      <c r="D504" s="189" t="s">
        <v>166</v>
      </c>
      <c r="E504" s="190" t="s">
        <v>558</v>
      </c>
      <c r="F504" s="189" t="s">
        <v>597</v>
      </c>
      <c r="G504" s="189" t="s">
        <v>101</v>
      </c>
      <c r="H504" s="130" t="s">
        <v>598</v>
      </c>
      <c r="I504" s="191">
        <v>4</v>
      </c>
      <c r="J504" s="191">
        <v>10</v>
      </c>
      <c r="K504" s="126">
        <v>0</v>
      </c>
      <c r="L504" s="125">
        <v>1000000</v>
      </c>
      <c r="M504" s="189" t="s">
        <v>464</v>
      </c>
      <c r="N504" s="125" t="s">
        <v>108</v>
      </c>
      <c r="O504" s="190" t="s">
        <v>227</v>
      </c>
      <c r="P504" s="192" t="str">
        <f>IFERROR(VLOOKUP(C504,TD!$B$33:$F$37,2,0)," ")</f>
        <v>O230117</v>
      </c>
      <c r="Q504" s="192" t="str">
        <f>IFERROR(VLOOKUP(C504,TD!$B$33:$F$37,3,0)," ")</f>
        <v>4503</v>
      </c>
      <c r="R504" s="192">
        <f>IFERROR(VLOOKUP(C504,TD!$B$33:$F$37,4,0)," ")</f>
        <v>20240255</v>
      </c>
      <c r="S504" s="190" t="s">
        <v>185</v>
      </c>
      <c r="T504" s="192" t="str">
        <f>IFERROR(VLOOKUP(S504,TD!$J$34:$K$44,2,0)," ")</f>
        <v>Infraestructura física, mantenimiento y dotación (Sedes construidas, mantenidas reforzadas)</v>
      </c>
      <c r="U504" s="187" t="str">
        <f>CONCATENATE(S504,"-",T504)</f>
        <v>08-Infraestructura física, mantenimiento y dotación (Sedes construidas, mantenidas reforzadas)</v>
      </c>
      <c r="V504" s="190" t="s">
        <v>236</v>
      </c>
      <c r="W504" s="192" t="str">
        <f>IFERROR(VLOOKUP(V504,TD!$N$34:$O$46,2,0)," ")</f>
        <v>Estaciones de bomberos adecuadas</v>
      </c>
      <c r="X504" s="187" t="str">
        <f>CONCATENATE(V504,"_",W504)</f>
        <v>014_Estaciones de bomberos adecuadas</v>
      </c>
      <c r="Y504" s="187" t="str">
        <f>CONCATENATE(U504," ",X504)</f>
        <v>08-Infraestructura física, mantenimiento y dotación (Sedes construidas, mantenidas reforzadas) 014_Estaciones de bomberos adecuadas</v>
      </c>
      <c r="Z504" s="192" t="str">
        <f>CONCATENATE(P504,Q504,R504,S504,V504)</f>
        <v>O23011745032024025508014</v>
      </c>
      <c r="AA504" s="192" t="str">
        <f>IFERROR(VLOOKUP(Y504,TD!$K$47:$L$65,2,0)," ")</f>
        <v>PM/0131/0108/45030140255</v>
      </c>
      <c r="AB504" s="53" t="s">
        <v>102</v>
      </c>
      <c r="AC504" s="193" t="s">
        <v>204</v>
      </c>
    </row>
    <row r="505" spans="2:29" s="28" customFormat="1" ht="56" x14ac:dyDescent="0.35">
      <c r="B505" s="77">
        <v>20250518</v>
      </c>
      <c r="C505" s="50" t="s">
        <v>209</v>
      </c>
      <c r="D505" s="184" t="s">
        <v>166</v>
      </c>
      <c r="E505" s="51" t="s">
        <v>558</v>
      </c>
      <c r="F505" s="184" t="s">
        <v>599</v>
      </c>
      <c r="G505" s="184" t="s">
        <v>140</v>
      </c>
      <c r="H505" s="93" t="s">
        <v>595</v>
      </c>
      <c r="I505" s="185">
        <v>4</v>
      </c>
      <c r="J505" s="185">
        <v>10</v>
      </c>
      <c r="K505" s="52">
        <v>0</v>
      </c>
      <c r="L505" s="53">
        <v>1000000</v>
      </c>
      <c r="M505" s="184" t="s">
        <v>464</v>
      </c>
      <c r="N505" s="53" t="s">
        <v>108</v>
      </c>
      <c r="O505" s="51" t="s">
        <v>227</v>
      </c>
      <c r="P505" s="186" t="str">
        <f>IFERROR(VLOOKUP(C505,TD!$B$33:$F$37,2,0)," ")</f>
        <v>O230117</v>
      </c>
      <c r="Q505" s="186" t="str">
        <f>IFERROR(VLOOKUP(C505,TD!$B$33:$F$37,3,0)," ")</f>
        <v>4503</v>
      </c>
      <c r="R505" s="186">
        <f>IFERROR(VLOOKUP(C505,TD!$B$33:$F$37,4,0)," ")</f>
        <v>20240255</v>
      </c>
      <c r="S505" s="51" t="s">
        <v>185</v>
      </c>
      <c r="T505" s="186" t="str">
        <f>IFERROR(VLOOKUP(S505,TD!$J$34:$K$44,2,0)," ")</f>
        <v>Infraestructura física, mantenimiento y dotación (Sedes construidas, mantenidas reforzadas)</v>
      </c>
      <c r="U505" s="187" t="str">
        <f>CONCATENATE(S505,"-",T505)</f>
        <v>08-Infraestructura física, mantenimiento y dotación (Sedes construidas, mantenidas reforzadas)</v>
      </c>
      <c r="V505" s="51" t="s">
        <v>236</v>
      </c>
      <c r="W505" s="186" t="str">
        <f>IFERROR(VLOOKUP(V505,TD!$N$34:$O$46,2,0)," ")</f>
        <v>Estaciones de bomberos adecuadas</v>
      </c>
      <c r="X505" s="187" t="str">
        <f>CONCATENATE(V505,"_",W505)</f>
        <v>014_Estaciones de bomberos adecuadas</v>
      </c>
      <c r="Y505" s="187" t="str">
        <f>CONCATENATE(U505," ",X505)</f>
        <v>08-Infraestructura física, mantenimiento y dotación (Sedes construidas, mantenidas reforzadas) 014_Estaciones de bomberos adecuadas</v>
      </c>
      <c r="Z505" s="186" t="str">
        <f>CONCATENATE(P505,Q505,R505,S505,V505)</f>
        <v>O23011745032024025508014</v>
      </c>
      <c r="AA505" s="186" t="str">
        <f>IFERROR(VLOOKUP(Y505,TD!$K$47:$L$65,2,0)," ")</f>
        <v>PM/0131/0108/45030140255</v>
      </c>
      <c r="AB505" s="53" t="s">
        <v>102</v>
      </c>
      <c r="AC505" s="188" t="s">
        <v>204</v>
      </c>
    </row>
    <row r="506" spans="2:29" s="28" customFormat="1" ht="56" x14ac:dyDescent="0.35">
      <c r="B506" s="77">
        <v>20250519</v>
      </c>
      <c r="C506" s="50" t="s">
        <v>209</v>
      </c>
      <c r="D506" s="184" t="s">
        <v>166</v>
      </c>
      <c r="E506" s="51" t="s">
        <v>558</v>
      </c>
      <c r="F506" s="184" t="s">
        <v>972</v>
      </c>
      <c r="G506" s="184" t="s">
        <v>101</v>
      </c>
      <c r="H506" s="93" t="s">
        <v>598</v>
      </c>
      <c r="I506" s="185">
        <v>4</v>
      </c>
      <c r="J506" s="185">
        <v>10</v>
      </c>
      <c r="K506" s="52">
        <v>0</v>
      </c>
      <c r="L506" s="53">
        <v>300000000</v>
      </c>
      <c r="M506" s="184" t="s">
        <v>464</v>
      </c>
      <c r="N506" s="53" t="s">
        <v>108</v>
      </c>
      <c r="O506" s="51" t="s">
        <v>227</v>
      </c>
      <c r="P506" s="186" t="str">
        <f>IFERROR(VLOOKUP(C506,TD!$B$33:$F$37,2,0)," ")</f>
        <v>O230117</v>
      </c>
      <c r="Q506" s="186" t="str">
        <f>IFERROR(VLOOKUP(C506,TD!$B$33:$F$37,3,0)," ")</f>
        <v>4503</v>
      </c>
      <c r="R506" s="186">
        <f>IFERROR(VLOOKUP(C506,TD!$B$33:$F$37,4,0)," ")</f>
        <v>20240255</v>
      </c>
      <c r="S506" s="51" t="s">
        <v>185</v>
      </c>
      <c r="T506" s="186" t="str">
        <f>IFERROR(VLOOKUP(S506,TD!$J$34:$K$44,2,0)," ")</f>
        <v>Infraestructura física, mantenimiento y dotación (Sedes construidas, mantenidas reforzadas)</v>
      </c>
      <c r="U506" s="187" t="str">
        <f>CONCATENATE(S506,"-",T506)</f>
        <v>08-Infraestructura física, mantenimiento y dotación (Sedes construidas, mantenidas reforzadas)</v>
      </c>
      <c r="V506" s="51" t="s">
        <v>236</v>
      </c>
      <c r="W506" s="186" t="str">
        <f>IFERROR(VLOOKUP(V506,TD!$N$34:$O$46,2,0)," ")</f>
        <v>Estaciones de bomberos adecuadas</v>
      </c>
      <c r="X506" s="187" t="str">
        <f>CONCATENATE(V506,"_",W506)</f>
        <v>014_Estaciones de bomberos adecuadas</v>
      </c>
      <c r="Y506" s="187" t="str">
        <f>CONCATENATE(U506," ",X506)</f>
        <v>08-Infraestructura física, mantenimiento y dotación (Sedes construidas, mantenidas reforzadas) 014_Estaciones de bomberos adecuadas</v>
      </c>
      <c r="Z506" s="186" t="str">
        <f>CONCATENATE(P506,Q506,R506,S506,V506)</f>
        <v>O23011745032024025508014</v>
      </c>
      <c r="AA506" s="186" t="str">
        <f>IFERROR(VLOOKUP(Y506,TD!$K$47:$L$65,2,0)," ")</f>
        <v>PM/0131/0108/45030140255</v>
      </c>
      <c r="AB506" s="53" t="s">
        <v>102</v>
      </c>
      <c r="AC506" s="188" t="s">
        <v>204</v>
      </c>
    </row>
    <row r="507" spans="2:29" s="28" customFormat="1" ht="56" x14ac:dyDescent="0.35">
      <c r="B507" s="77">
        <v>20250520</v>
      </c>
      <c r="C507" s="50" t="s">
        <v>209</v>
      </c>
      <c r="D507" s="184" t="s">
        <v>166</v>
      </c>
      <c r="E507" s="51" t="s">
        <v>558</v>
      </c>
      <c r="F507" s="184" t="s">
        <v>973</v>
      </c>
      <c r="G507" s="184" t="s">
        <v>140</v>
      </c>
      <c r="H507" s="93" t="s">
        <v>595</v>
      </c>
      <c r="I507" s="185">
        <v>4</v>
      </c>
      <c r="J507" s="185">
        <v>10</v>
      </c>
      <c r="K507" s="52">
        <v>0</v>
      </c>
      <c r="L507" s="53">
        <v>74000000</v>
      </c>
      <c r="M507" s="184" t="s">
        <v>464</v>
      </c>
      <c r="N507" s="53" t="s">
        <v>108</v>
      </c>
      <c r="O507" s="51" t="s">
        <v>227</v>
      </c>
      <c r="P507" s="186" t="str">
        <f>IFERROR(VLOOKUP(C507,TD!$B$33:$F$37,2,0)," ")</f>
        <v>O230117</v>
      </c>
      <c r="Q507" s="186" t="str">
        <f>IFERROR(VLOOKUP(C507,TD!$B$33:$F$37,3,0)," ")</f>
        <v>4503</v>
      </c>
      <c r="R507" s="186">
        <f>IFERROR(VLOOKUP(C507,TD!$B$33:$F$37,4,0)," ")</f>
        <v>20240255</v>
      </c>
      <c r="S507" s="51" t="s">
        <v>185</v>
      </c>
      <c r="T507" s="186" t="str">
        <f>IFERROR(VLOOKUP(S507,TD!$J$34:$K$44,2,0)," ")</f>
        <v>Infraestructura física, mantenimiento y dotación (Sedes construidas, mantenidas reforzadas)</v>
      </c>
      <c r="U507" s="187" t="str">
        <f>CONCATENATE(S507,"-",T507)</f>
        <v>08-Infraestructura física, mantenimiento y dotación (Sedes construidas, mantenidas reforzadas)</v>
      </c>
      <c r="V507" s="51" t="s">
        <v>236</v>
      </c>
      <c r="W507" s="186" t="str">
        <f>IFERROR(VLOOKUP(V507,TD!$N$34:$O$46,2,0)," ")</f>
        <v>Estaciones de bomberos adecuadas</v>
      </c>
      <c r="X507" s="187" t="str">
        <f>CONCATENATE(V507,"_",W507)</f>
        <v>014_Estaciones de bomberos adecuadas</v>
      </c>
      <c r="Y507" s="187" t="str">
        <f>CONCATENATE(U507," ",X507)</f>
        <v>08-Infraestructura física, mantenimiento y dotación (Sedes construidas, mantenidas reforzadas) 014_Estaciones de bomberos adecuadas</v>
      </c>
      <c r="Z507" s="186" t="str">
        <f>CONCATENATE(P507,Q507,R507,S507,V507)</f>
        <v>O23011745032024025508014</v>
      </c>
      <c r="AA507" s="186" t="str">
        <f>IFERROR(VLOOKUP(Y507,TD!$K$47:$L$65,2,0)," ")</f>
        <v>PM/0131/0108/45030140255</v>
      </c>
      <c r="AB507" s="53" t="s">
        <v>102</v>
      </c>
      <c r="AC507" s="188" t="s">
        <v>204</v>
      </c>
    </row>
    <row r="508" spans="2:29" s="28" customFormat="1" ht="56" x14ac:dyDescent="0.35">
      <c r="B508" s="77">
        <v>20250521</v>
      </c>
      <c r="C508" s="50" t="s">
        <v>209</v>
      </c>
      <c r="D508" s="184" t="s">
        <v>166</v>
      </c>
      <c r="E508" s="51" t="s">
        <v>558</v>
      </c>
      <c r="F508" s="184" t="s">
        <v>600</v>
      </c>
      <c r="G508" s="184" t="s">
        <v>101</v>
      </c>
      <c r="H508" s="93" t="s">
        <v>598</v>
      </c>
      <c r="I508" s="185">
        <v>4</v>
      </c>
      <c r="J508" s="185">
        <v>10</v>
      </c>
      <c r="K508" s="52">
        <v>0</v>
      </c>
      <c r="L508" s="53">
        <v>500000000</v>
      </c>
      <c r="M508" s="184" t="s">
        <v>464</v>
      </c>
      <c r="N508" s="53" t="s">
        <v>108</v>
      </c>
      <c r="O508" s="51" t="s">
        <v>230</v>
      </c>
      <c r="P508" s="186" t="str">
        <f>IFERROR(VLOOKUP(C508,TD!$B$33:$F$37,2,0)," ")</f>
        <v>O230117</v>
      </c>
      <c r="Q508" s="186" t="str">
        <f>IFERROR(VLOOKUP(C508,TD!$B$33:$F$37,3,0)," ")</f>
        <v>4503</v>
      </c>
      <c r="R508" s="186">
        <f>IFERROR(VLOOKUP(C508,TD!$B$33:$F$37,4,0)," ")</f>
        <v>20240255</v>
      </c>
      <c r="S508" s="51" t="s">
        <v>185</v>
      </c>
      <c r="T508" s="186" t="str">
        <f>IFERROR(VLOOKUP(S508,TD!$J$34:$K$44,2,0)," ")</f>
        <v>Infraestructura física, mantenimiento y dotación (Sedes construidas, mantenidas reforzadas)</v>
      </c>
      <c r="U508" s="187" t="str">
        <f>CONCATENATE(S508,"-",T508)</f>
        <v>08-Infraestructura física, mantenimiento y dotación (Sedes construidas, mantenidas reforzadas)</v>
      </c>
      <c r="V508" s="51" t="s">
        <v>294</v>
      </c>
      <c r="W508" s="186" t="str">
        <f>IFERROR(VLOOKUP(V508,TD!$N$34:$O$46,2,0)," ")</f>
        <v>Documentos de lineamientos técnicos</v>
      </c>
      <c r="X508" s="187" t="str">
        <f>CONCATENATE(V508,"_",W508)</f>
        <v>031__Documentos de lineamientos técnicos</v>
      </c>
      <c r="Y508" s="187" t="str">
        <f>CONCATENATE(U508," ",X508)</f>
        <v>08-Infraestructura física, mantenimiento y dotación (Sedes construidas, mantenidas reforzadas) 031__Documentos de lineamientos técnicos</v>
      </c>
      <c r="Z508" s="186" t="str">
        <f>CONCATENATE(P508,Q508,R508,S508,V508)</f>
        <v>O23011745032024025508031_</v>
      </c>
      <c r="AA508" s="186" t="str">
        <f>IFERROR(VLOOKUP(Y508,TD!$K$47:$L$65,2,0)," ")</f>
        <v>PM/0131/0108/45030310255</v>
      </c>
      <c r="AB508" s="53" t="s">
        <v>102</v>
      </c>
      <c r="AC508" s="188" t="s">
        <v>204</v>
      </c>
    </row>
    <row r="509" spans="2:29" s="28" customFormat="1" ht="56" x14ac:dyDescent="0.35">
      <c r="B509" s="77">
        <v>20250522</v>
      </c>
      <c r="C509" s="50" t="s">
        <v>209</v>
      </c>
      <c r="D509" s="184" t="s">
        <v>166</v>
      </c>
      <c r="E509" s="51" t="s">
        <v>558</v>
      </c>
      <c r="F509" s="184" t="s">
        <v>1064</v>
      </c>
      <c r="G509" s="184" t="s">
        <v>140</v>
      </c>
      <c r="H509" s="93" t="s">
        <v>595</v>
      </c>
      <c r="I509" s="185">
        <v>4</v>
      </c>
      <c r="J509" s="185">
        <v>10</v>
      </c>
      <c r="K509" s="52">
        <v>0</v>
      </c>
      <c r="L509" s="53">
        <v>150000000</v>
      </c>
      <c r="M509" s="184" t="s">
        <v>464</v>
      </c>
      <c r="N509" s="53" t="s">
        <v>108</v>
      </c>
      <c r="O509" s="51" t="s">
        <v>230</v>
      </c>
      <c r="P509" s="186" t="str">
        <f>IFERROR(VLOOKUP(C509,TD!$B$33:$F$37,2,0)," ")</f>
        <v>O230117</v>
      </c>
      <c r="Q509" s="186" t="str">
        <f>IFERROR(VLOOKUP(C509,TD!$B$33:$F$37,3,0)," ")</f>
        <v>4503</v>
      </c>
      <c r="R509" s="186">
        <f>IFERROR(VLOOKUP(C509,TD!$B$33:$F$37,4,0)," ")</f>
        <v>20240255</v>
      </c>
      <c r="S509" s="51" t="s">
        <v>185</v>
      </c>
      <c r="T509" s="186" t="str">
        <f>IFERROR(VLOOKUP(S509,TD!$J$34:$K$44,2,0)," ")</f>
        <v>Infraestructura física, mantenimiento y dotación (Sedes construidas, mantenidas reforzadas)</v>
      </c>
      <c r="U509" s="187" t="str">
        <f>CONCATENATE(S509,"-",T509)</f>
        <v>08-Infraestructura física, mantenimiento y dotación (Sedes construidas, mantenidas reforzadas)</v>
      </c>
      <c r="V509" s="51" t="s">
        <v>294</v>
      </c>
      <c r="W509" s="186" t="str">
        <f>IFERROR(VLOOKUP(V509,TD!$N$34:$O$46,2,0)," ")</f>
        <v>Documentos de lineamientos técnicos</v>
      </c>
      <c r="X509" s="187" t="str">
        <f>CONCATENATE(V509,"_",W509)</f>
        <v>031__Documentos de lineamientos técnicos</v>
      </c>
      <c r="Y509" s="187" t="str">
        <f>CONCATENATE(U509," ",X509)</f>
        <v>08-Infraestructura física, mantenimiento y dotación (Sedes construidas, mantenidas reforzadas) 031__Documentos de lineamientos técnicos</v>
      </c>
      <c r="Z509" s="186" t="str">
        <f>CONCATENATE(P509,Q509,R509,S509,V509)</f>
        <v>O23011745032024025508031_</v>
      </c>
      <c r="AA509" s="186" t="str">
        <f>IFERROR(VLOOKUP(Y509,TD!$K$47:$L$65,2,0)," ")</f>
        <v>PM/0131/0108/45030310255</v>
      </c>
      <c r="AB509" s="53" t="s">
        <v>102</v>
      </c>
      <c r="AC509" s="188" t="s">
        <v>204</v>
      </c>
    </row>
    <row r="510" spans="2:29" s="28" customFormat="1" ht="70" x14ac:dyDescent="0.35">
      <c r="B510" s="127">
        <v>20250523</v>
      </c>
      <c r="C510" s="129" t="s">
        <v>209</v>
      </c>
      <c r="D510" s="189" t="s">
        <v>166</v>
      </c>
      <c r="E510" s="190" t="s">
        <v>558</v>
      </c>
      <c r="F510" s="189" t="s">
        <v>875</v>
      </c>
      <c r="G510" s="189" t="s">
        <v>105</v>
      </c>
      <c r="H510" s="130" t="s">
        <v>601</v>
      </c>
      <c r="I510" s="191">
        <v>8</v>
      </c>
      <c r="J510" s="191">
        <v>20</v>
      </c>
      <c r="K510" s="126">
        <v>0</v>
      </c>
      <c r="L510" s="125">
        <v>6728595684</v>
      </c>
      <c r="M510" s="189" t="s">
        <v>464</v>
      </c>
      <c r="N510" s="125" t="s">
        <v>85</v>
      </c>
      <c r="O510" s="190" t="s">
        <v>227</v>
      </c>
      <c r="P510" s="192" t="str">
        <f>IFERROR(VLOOKUP(C510,TD!$B$33:$F$37,2,0)," ")</f>
        <v>O230117</v>
      </c>
      <c r="Q510" s="192" t="str">
        <f>IFERROR(VLOOKUP(C510,TD!$B$33:$F$37,3,0)," ")</f>
        <v>4503</v>
      </c>
      <c r="R510" s="192">
        <f>IFERROR(VLOOKUP(C510,TD!$B$33:$F$37,4,0)," ")</f>
        <v>20240255</v>
      </c>
      <c r="S510" s="190" t="s">
        <v>185</v>
      </c>
      <c r="T510" s="192" t="str">
        <f>IFERROR(VLOOKUP(S510,TD!$J$34:$K$44,2,0)," ")</f>
        <v>Infraestructura física, mantenimiento y dotación (Sedes construidas, mantenidas reforzadas)</v>
      </c>
      <c r="U510" s="187" t="str">
        <f>CONCATENATE(S510,"-",T510)</f>
        <v>08-Infraestructura física, mantenimiento y dotación (Sedes construidas, mantenidas reforzadas)</v>
      </c>
      <c r="V510" s="190" t="s">
        <v>236</v>
      </c>
      <c r="W510" s="192" t="str">
        <f>IFERROR(VLOOKUP(V510,TD!$N$34:$O$46,2,0)," ")</f>
        <v>Estaciones de bomberos adecuadas</v>
      </c>
      <c r="X510" s="187" t="str">
        <f>CONCATENATE(V510,"_",W510)</f>
        <v>014_Estaciones de bomberos adecuadas</v>
      </c>
      <c r="Y510" s="187" t="str">
        <f>CONCATENATE(U510," ",X510)</f>
        <v>08-Infraestructura física, mantenimiento y dotación (Sedes construidas, mantenidas reforzadas) 014_Estaciones de bomberos adecuadas</v>
      </c>
      <c r="Z510" s="192" t="str">
        <f>CONCATENATE(P510,Q510,R510,S510,V510)</f>
        <v>O23011745032024025508014</v>
      </c>
      <c r="AA510" s="192" t="str">
        <f>IFERROR(VLOOKUP(Y510,TD!$K$47:$L$65,2,0)," ")</f>
        <v>PM/0131/0108/45030140255</v>
      </c>
      <c r="AB510" s="125" t="s">
        <v>102</v>
      </c>
      <c r="AC510" s="193" t="s">
        <v>204</v>
      </c>
    </row>
    <row r="511" spans="2:29" s="28" customFormat="1" ht="126" x14ac:dyDescent="0.35">
      <c r="B511" s="77">
        <v>20250524</v>
      </c>
      <c r="C511" s="50" t="s">
        <v>209</v>
      </c>
      <c r="D511" s="184" t="s">
        <v>166</v>
      </c>
      <c r="E511" s="51" t="s">
        <v>558</v>
      </c>
      <c r="F511" s="184" t="s">
        <v>876</v>
      </c>
      <c r="G511" s="184" t="s">
        <v>140</v>
      </c>
      <c r="H511" s="93" t="s">
        <v>602</v>
      </c>
      <c r="I511" s="185">
        <v>8</v>
      </c>
      <c r="J511" s="185">
        <v>20</v>
      </c>
      <c r="K511" s="52">
        <v>0</v>
      </c>
      <c r="L511" s="53">
        <v>392000000</v>
      </c>
      <c r="M511" s="184" t="s">
        <v>464</v>
      </c>
      <c r="N511" s="53" t="s">
        <v>108</v>
      </c>
      <c r="O511" s="51" t="s">
        <v>227</v>
      </c>
      <c r="P511" s="186" t="str">
        <f>IFERROR(VLOOKUP(C511,TD!$B$33:$F$37,2,0)," ")</f>
        <v>O230117</v>
      </c>
      <c r="Q511" s="186" t="str">
        <f>IFERROR(VLOOKUP(C511,TD!$B$33:$F$37,3,0)," ")</f>
        <v>4503</v>
      </c>
      <c r="R511" s="186">
        <f>IFERROR(VLOOKUP(C511,TD!$B$33:$F$37,4,0)," ")</f>
        <v>20240255</v>
      </c>
      <c r="S511" s="51" t="s">
        <v>185</v>
      </c>
      <c r="T511" s="186" t="str">
        <f>IFERROR(VLOOKUP(S511,TD!$J$34:$K$44,2,0)," ")</f>
        <v>Infraestructura física, mantenimiento y dotación (Sedes construidas, mantenidas reforzadas)</v>
      </c>
      <c r="U511" s="187" t="str">
        <f>CONCATENATE(S511,"-",T511)</f>
        <v>08-Infraestructura física, mantenimiento y dotación (Sedes construidas, mantenidas reforzadas)</v>
      </c>
      <c r="V511" s="51" t="s">
        <v>236</v>
      </c>
      <c r="W511" s="186" t="str">
        <f>IFERROR(VLOOKUP(V511,TD!$N$34:$O$46,2,0)," ")</f>
        <v>Estaciones de bomberos adecuadas</v>
      </c>
      <c r="X511" s="187" t="str">
        <f>CONCATENATE(V511,"_",W511)</f>
        <v>014_Estaciones de bomberos adecuadas</v>
      </c>
      <c r="Y511" s="187" t="str">
        <f>CONCATENATE(U511," ",X511)</f>
        <v>08-Infraestructura física, mantenimiento y dotación (Sedes construidas, mantenidas reforzadas) 014_Estaciones de bomberos adecuadas</v>
      </c>
      <c r="Z511" s="186" t="str">
        <f>CONCATENATE(P511,Q511,R511,S511,V511)</f>
        <v>O23011745032024025508014</v>
      </c>
      <c r="AA511" s="186" t="str">
        <f>IFERROR(VLOOKUP(Y511,TD!$K$47:$L$65,2,0)," ")</f>
        <v>PM/0131/0108/45030140255</v>
      </c>
      <c r="AB511" s="53" t="s">
        <v>102</v>
      </c>
      <c r="AC511" s="188" t="s">
        <v>204</v>
      </c>
    </row>
    <row r="512" spans="2:29" s="28" customFormat="1" ht="28" x14ac:dyDescent="0.35">
      <c r="B512" s="77">
        <v>20250525</v>
      </c>
      <c r="C512" s="50" t="s">
        <v>208</v>
      </c>
      <c r="D512" s="184" t="s">
        <v>166</v>
      </c>
      <c r="E512" s="51" t="s">
        <v>558</v>
      </c>
      <c r="F512" s="184" t="s">
        <v>731</v>
      </c>
      <c r="G512" s="184" t="s">
        <v>155</v>
      </c>
      <c r="H512" s="93" t="s">
        <v>609</v>
      </c>
      <c r="I512" s="185">
        <v>2</v>
      </c>
      <c r="J512" s="185">
        <v>11</v>
      </c>
      <c r="K512" s="52">
        <v>0</v>
      </c>
      <c r="L512" s="53">
        <v>83482587</v>
      </c>
      <c r="M512" s="184" t="s">
        <v>464</v>
      </c>
      <c r="N512" s="53" t="s">
        <v>610</v>
      </c>
      <c r="O512" s="51" t="s">
        <v>218</v>
      </c>
      <c r="P512" s="186" t="str">
        <f>IFERROR(VLOOKUP(C512,TD!$B$33:$F$37,2,0)," ")</f>
        <v>O230117</v>
      </c>
      <c r="Q512" s="186" t="str">
        <f>IFERROR(VLOOKUP(C512,TD!$B$33:$F$37,3,0)," ")</f>
        <v>4599</v>
      </c>
      <c r="R512" s="186">
        <f>IFERROR(VLOOKUP(C512,TD!$B$33:$F$37,4,0)," ")</f>
        <v>20240207</v>
      </c>
      <c r="S512" s="51" t="s">
        <v>185</v>
      </c>
      <c r="T512" s="186" t="str">
        <f>IFERROR(VLOOKUP(S512,TD!$J$34:$K$44,2,0)," ")</f>
        <v>Infraestructura física, mantenimiento y dotación (Sedes construidas, mantenidas reforzadas)</v>
      </c>
      <c r="U512" s="187" t="str">
        <f>CONCATENATE(S512,"-",T512)</f>
        <v>08-Infraestructura física, mantenimiento y dotación (Sedes construidas, mantenidas reforzadas)</v>
      </c>
      <c r="V512" s="51" t="s">
        <v>238</v>
      </c>
      <c r="W512" s="186" t="str">
        <f>IFERROR(VLOOKUP(V512,TD!$N$34:$O$46,2,0)," ")</f>
        <v>Sedes mantenidas</v>
      </c>
      <c r="X512" s="187" t="str">
        <f>CONCATENATE(V512,"_",W512)</f>
        <v>016_Sedes mantenidas</v>
      </c>
      <c r="Y512" s="187" t="str">
        <f>CONCATENATE(U512," ",X512)</f>
        <v>08-Infraestructura física, mantenimiento y dotación (Sedes construidas, mantenidas reforzadas) 016_Sedes mantenidas</v>
      </c>
      <c r="Z512" s="186" t="str">
        <f>CONCATENATE(P512,Q512,R512,S512,V512)</f>
        <v>O23011745992024020708016</v>
      </c>
      <c r="AA512" s="186" t="str">
        <f>IFERROR(VLOOKUP(Y512,TD!$K$47:$L$65,2,0)," ")</f>
        <v>PM/0131/0108/45990160207</v>
      </c>
      <c r="AB512" s="53" t="s">
        <v>138</v>
      </c>
      <c r="AC512" s="188" t="s">
        <v>204</v>
      </c>
    </row>
    <row r="513" spans="2:29" s="28" customFormat="1" ht="42" x14ac:dyDescent="0.35">
      <c r="B513" s="77">
        <v>20250526</v>
      </c>
      <c r="C513" s="50" t="s">
        <v>208</v>
      </c>
      <c r="D513" s="184" t="s">
        <v>166</v>
      </c>
      <c r="E513" s="51" t="s">
        <v>558</v>
      </c>
      <c r="F513" s="184" t="s">
        <v>578</v>
      </c>
      <c r="G513" s="184" t="s">
        <v>156</v>
      </c>
      <c r="H513" s="93" t="s">
        <v>609</v>
      </c>
      <c r="I513" s="185">
        <v>2</v>
      </c>
      <c r="J513" s="185">
        <v>11</v>
      </c>
      <c r="K513" s="52">
        <v>0</v>
      </c>
      <c r="L513" s="53">
        <v>29558952</v>
      </c>
      <c r="M513" s="184" t="s">
        <v>464</v>
      </c>
      <c r="N513" s="53" t="s">
        <v>610</v>
      </c>
      <c r="O513" s="51" t="s">
        <v>218</v>
      </c>
      <c r="P513" s="186" t="str">
        <f>IFERROR(VLOOKUP(C513,TD!$B$33:$F$37,2,0)," ")</f>
        <v>O230117</v>
      </c>
      <c r="Q513" s="186" t="str">
        <f>IFERROR(VLOOKUP(C513,TD!$B$33:$F$37,3,0)," ")</f>
        <v>4599</v>
      </c>
      <c r="R513" s="186">
        <f>IFERROR(VLOOKUP(C513,TD!$B$33:$F$37,4,0)," ")</f>
        <v>20240207</v>
      </c>
      <c r="S513" s="51" t="s">
        <v>185</v>
      </c>
      <c r="T513" s="186" t="str">
        <f>IFERROR(VLOOKUP(S513,TD!$J$34:$K$44,2,0)," ")</f>
        <v>Infraestructura física, mantenimiento y dotación (Sedes construidas, mantenidas reforzadas)</v>
      </c>
      <c r="U513" s="187" t="str">
        <f>CONCATENATE(S513,"-",T513)</f>
        <v>08-Infraestructura física, mantenimiento y dotación (Sedes construidas, mantenidas reforzadas)</v>
      </c>
      <c r="V513" s="51" t="s">
        <v>238</v>
      </c>
      <c r="W513" s="186" t="str">
        <f>IFERROR(VLOOKUP(V513,TD!$N$34:$O$46,2,0)," ")</f>
        <v>Sedes mantenidas</v>
      </c>
      <c r="X513" s="187" t="str">
        <f>CONCATENATE(V513,"_",W513)</f>
        <v>016_Sedes mantenidas</v>
      </c>
      <c r="Y513" s="187" t="str">
        <f>CONCATENATE(U513," ",X513)</f>
        <v>08-Infraestructura física, mantenimiento y dotación (Sedes construidas, mantenidas reforzadas) 016_Sedes mantenidas</v>
      </c>
      <c r="Z513" s="186" t="str">
        <f>CONCATENATE(P513,Q513,R513,S513,V513)</f>
        <v>O23011745992024020708016</v>
      </c>
      <c r="AA513" s="186" t="str">
        <f>IFERROR(VLOOKUP(Y513,TD!$K$47:$L$65,2,0)," ")</f>
        <v>PM/0131/0108/45990160207</v>
      </c>
      <c r="AB513" s="53" t="s">
        <v>138</v>
      </c>
      <c r="AC513" s="188" t="s">
        <v>204</v>
      </c>
    </row>
    <row r="514" spans="2:29" s="28" customFormat="1" ht="56" x14ac:dyDescent="0.35">
      <c r="B514" s="77">
        <v>20250527</v>
      </c>
      <c r="C514" s="50" t="s">
        <v>208</v>
      </c>
      <c r="D514" s="184" t="s">
        <v>166</v>
      </c>
      <c r="E514" s="51" t="s">
        <v>558</v>
      </c>
      <c r="F514" s="184" t="s">
        <v>578</v>
      </c>
      <c r="G514" s="184" t="s">
        <v>156</v>
      </c>
      <c r="H514" s="93" t="s">
        <v>609</v>
      </c>
      <c r="I514" s="185">
        <v>2</v>
      </c>
      <c r="J514" s="185">
        <v>11</v>
      </c>
      <c r="K514" s="52">
        <v>0</v>
      </c>
      <c r="L514" s="53">
        <v>29558952</v>
      </c>
      <c r="M514" s="184" t="s">
        <v>464</v>
      </c>
      <c r="N514" s="53" t="s">
        <v>610</v>
      </c>
      <c r="O514" s="51" t="s">
        <v>218</v>
      </c>
      <c r="P514" s="186" t="str">
        <f>IFERROR(VLOOKUP(C514,TD!$B$33:$F$37,2,0)," ")</f>
        <v>O230117</v>
      </c>
      <c r="Q514" s="186" t="str">
        <f>IFERROR(VLOOKUP(C514,TD!$B$33:$F$37,3,0)," ")</f>
        <v>4599</v>
      </c>
      <c r="R514" s="186">
        <f>IFERROR(VLOOKUP(C514,TD!$B$33:$F$37,4,0)," ")</f>
        <v>20240207</v>
      </c>
      <c r="S514" s="51" t="s">
        <v>185</v>
      </c>
      <c r="T514" s="186" t="str">
        <f>IFERROR(VLOOKUP(S514,TD!$J$34:$K$44,2,0)," ")</f>
        <v>Infraestructura física, mantenimiento y dotación (Sedes construidas, mantenidas reforzadas)</v>
      </c>
      <c r="U514" s="187" t="str">
        <f>CONCATENATE(S514,"-",T514)</f>
        <v>08-Infraestructura física, mantenimiento y dotación (Sedes construidas, mantenidas reforzadas)</v>
      </c>
      <c r="V514" s="51" t="s">
        <v>238</v>
      </c>
      <c r="W514" s="186" t="str">
        <f>IFERROR(VLOOKUP(V514,TD!$N$34:$O$46,2,0)," ")</f>
        <v>Sedes mantenidas</v>
      </c>
      <c r="X514" s="187" t="str">
        <f>CONCATENATE(V514,"_",W514)</f>
        <v>016_Sedes mantenidas</v>
      </c>
      <c r="Y514" s="187" t="str">
        <f>CONCATENATE(U514," ",X514)</f>
        <v>08-Infraestructura física, mantenimiento y dotación (Sedes construidas, mantenidas reforzadas) 016_Sedes mantenidas</v>
      </c>
      <c r="Z514" s="186" t="str">
        <f>CONCATENATE(P514,Q514,R514,S514,V514)</f>
        <v>O23011745992024020708016</v>
      </c>
      <c r="AA514" s="186" t="str">
        <f>IFERROR(VLOOKUP(Y514,TD!$K$47:$L$65,2,0)," ")</f>
        <v>PM/0131/0108/45990160207</v>
      </c>
      <c r="AB514" s="53" t="s">
        <v>138</v>
      </c>
      <c r="AC514" s="188" t="s">
        <v>204</v>
      </c>
    </row>
    <row r="515" spans="2:29" s="28" customFormat="1" ht="56" x14ac:dyDescent="0.35">
      <c r="B515" s="77">
        <v>20250528</v>
      </c>
      <c r="C515" s="50" t="s">
        <v>208</v>
      </c>
      <c r="D515" s="184" t="s">
        <v>166</v>
      </c>
      <c r="E515" s="51" t="s">
        <v>558</v>
      </c>
      <c r="F515" s="184" t="s">
        <v>578</v>
      </c>
      <c r="G515" s="184" t="s">
        <v>156</v>
      </c>
      <c r="H515" s="93" t="s">
        <v>609</v>
      </c>
      <c r="I515" s="185">
        <v>2</v>
      </c>
      <c r="J515" s="185">
        <v>11</v>
      </c>
      <c r="K515" s="52">
        <v>0</v>
      </c>
      <c r="L515" s="53">
        <v>29558952</v>
      </c>
      <c r="M515" s="184" t="s">
        <v>464</v>
      </c>
      <c r="N515" s="53" t="s">
        <v>610</v>
      </c>
      <c r="O515" s="51" t="s">
        <v>218</v>
      </c>
      <c r="P515" s="186" t="str">
        <f>IFERROR(VLOOKUP(C515,TD!$B$33:$F$37,2,0)," ")</f>
        <v>O230117</v>
      </c>
      <c r="Q515" s="186" t="str">
        <f>IFERROR(VLOOKUP(C515,TD!$B$33:$F$37,3,0)," ")</f>
        <v>4599</v>
      </c>
      <c r="R515" s="186">
        <f>IFERROR(VLOOKUP(C515,TD!$B$33:$F$37,4,0)," ")</f>
        <v>20240207</v>
      </c>
      <c r="S515" s="51" t="s">
        <v>185</v>
      </c>
      <c r="T515" s="186" t="str">
        <f>IFERROR(VLOOKUP(S515,TD!$J$34:$K$44,2,0)," ")</f>
        <v>Infraestructura física, mantenimiento y dotación (Sedes construidas, mantenidas reforzadas)</v>
      </c>
      <c r="U515" s="187" t="str">
        <f>CONCATENATE(S515,"-",T515)</f>
        <v>08-Infraestructura física, mantenimiento y dotación (Sedes construidas, mantenidas reforzadas)</v>
      </c>
      <c r="V515" s="51" t="s">
        <v>238</v>
      </c>
      <c r="W515" s="186" t="str">
        <f>IFERROR(VLOOKUP(V515,TD!$N$34:$O$46,2,0)," ")</f>
        <v>Sedes mantenidas</v>
      </c>
      <c r="X515" s="187" t="str">
        <f>CONCATENATE(V515,"_",W515)</f>
        <v>016_Sedes mantenidas</v>
      </c>
      <c r="Y515" s="187" t="str">
        <f>CONCATENATE(U515," ",X515)</f>
        <v>08-Infraestructura física, mantenimiento y dotación (Sedes construidas, mantenidas reforzadas) 016_Sedes mantenidas</v>
      </c>
      <c r="Z515" s="186" t="str">
        <f>CONCATENATE(P515,Q515,R515,S515,V515)</f>
        <v>O23011745992024020708016</v>
      </c>
      <c r="AA515" s="186" t="str">
        <f>IFERROR(VLOOKUP(Y515,TD!$K$47:$L$65,2,0)," ")</f>
        <v>PM/0131/0108/45990160207</v>
      </c>
      <c r="AB515" s="53" t="s">
        <v>138</v>
      </c>
      <c r="AC515" s="188" t="s">
        <v>204</v>
      </c>
    </row>
    <row r="516" spans="2:29" s="28" customFormat="1" ht="70" x14ac:dyDescent="0.35">
      <c r="B516" s="77">
        <v>20250529</v>
      </c>
      <c r="C516" s="50" t="s">
        <v>209</v>
      </c>
      <c r="D516" s="184" t="s">
        <v>166</v>
      </c>
      <c r="E516" s="51" t="s">
        <v>558</v>
      </c>
      <c r="F516" s="184" t="s">
        <v>732</v>
      </c>
      <c r="G516" s="184" t="s">
        <v>155</v>
      </c>
      <c r="H516" s="93" t="s">
        <v>609</v>
      </c>
      <c r="I516" s="185">
        <v>2</v>
      </c>
      <c r="J516" s="185">
        <v>11</v>
      </c>
      <c r="K516" s="52">
        <v>0</v>
      </c>
      <c r="L516" s="53">
        <v>46449783</v>
      </c>
      <c r="M516" s="184" t="s">
        <v>464</v>
      </c>
      <c r="N516" s="53" t="s">
        <v>610</v>
      </c>
      <c r="O516" s="51" t="s">
        <v>230</v>
      </c>
      <c r="P516" s="186" t="str">
        <f>IFERROR(VLOOKUP(C516,TD!$B$33:$F$37,2,0)," ")</f>
        <v>O230117</v>
      </c>
      <c r="Q516" s="186" t="str">
        <f>IFERROR(VLOOKUP(C516,TD!$B$33:$F$37,3,0)," ")</f>
        <v>4503</v>
      </c>
      <c r="R516" s="186">
        <f>IFERROR(VLOOKUP(C516,TD!$B$33:$F$37,4,0)," ")</f>
        <v>20240255</v>
      </c>
      <c r="S516" s="51" t="s">
        <v>185</v>
      </c>
      <c r="T516" s="186" t="str">
        <f>IFERROR(VLOOKUP(S516,TD!$J$34:$K$44,2,0)," ")</f>
        <v>Infraestructura física, mantenimiento y dotación (Sedes construidas, mantenidas reforzadas)</v>
      </c>
      <c r="U516" s="187" t="str">
        <f>CONCATENATE(S516,"-",T516)</f>
        <v>08-Infraestructura física, mantenimiento y dotación (Sedes construidas, mantenidas reforzadas)</v>
      </c>
      <c r="V516" s="51" t="s">
        <v>294</v>
      </c>
      <c r="W516" s="186" t="str">
        <f>IFERROR(VLOOKUP(V516,TD!$N$34:$O$46,2,0)," ")</f>
        <v>Documentos de lineamientos técnicos</v>
      </c>
      <c r="X516" s="187" t="str">
        <f>CONCATENATE(V516,"_",W516)</f>
        <v>031__Documentos de lineamientos técnicos</v>
      </c>
      <c r="Y516" s="187" t="str">
        <f>CONCATENATE(U516," ",X516)</f>
        <v>08-Infraestructura física, mantenimiento y dotación (Sedes construidas, mantenidas reforzadas) 031__Documentos de lineamientos técnicos</v>
      </c>
      <c r="Z516" s="186" t="str">
        <f>CONCATENATE(P516,Q516,R516,S516,V516)</f>
        <v>O23011745032024025508031_</v>
      </c>
      <c r="AA516" s="186" t="str">
        <f>IFERROR(VLOOKUP(Y516,TD!$K$47:$L$65,2,0)," ")</f>
        <v>PM/0131/0108/45030310255</v>
      </c>
      <c r="AB516" s="53" t="s">
        <v>120</v>
      </c>
      <c r="AC516" s="188" t="s">
        <v>204</v>
      </c>
    </row>
    <row r="517" spans="2:29" s="28" customFormat="1" ht="56" x14ac:dyDescent="0.35">
      <c r="B517" s="77">
        <v>20250530</v>
      </c>
      <c r="C517" s="50" t="s">
        <v>209</v>
      </c>
      <c r="D517" s="184" t="s">
        <v>166</v>
      </c>
      <c r="E517" s="51" t="s">
        <v>558</v>
      </c>
      <c r="F517" s="184" t="s">
        <v>575</v>
      </c>
      <c r="G517" s="184" t="s">
        <v>155</v>
      </c>
      <c r="H517" s="93" t="s">
        <v>609</v>
      </c>
      <c r="I517" s="185">
        <v>2</v>
      </c>
      <c r="J517" s="185">
        <v>11</v>
      </c>
      <c r="K517" s="52">
        <v>0</v>
      </c>
      <c r="L517" s="53">
        <v>46800000</v>
      </c>
      <c r="M517" s="184" t="s">
        <v>464</v>
      </c>
      <c r="N517" s="53" t="s">
        <v>610</v>
      </c>
      <c r="O517" s="51" t="s">
        <v>227</v>
      </c>
      <c r="P517" s="186" t="str">
        <f>IFERROR(VLOOKUP(C517,TD!$B$33:$F$37,2,0)," ")</f>
        <v>O230117</v>
      </c>
      <c r="Q517" s="186" t="str">
        <f>IFERROR(VLOOKUP(C517,TD!$B$33:$F$37,3,0)," ")</f>
        <v>4503</v>
      </c>
      <c r="R517" s="186">
        <f>IFERROR(VLOOKUP(C517,TD!$B$33:$F$37,4,0)," ")</f>
        <v>20240255</v>
      </c>
      <c r="S517" s="51" t="s">
        <v>185</v>
      </c>
      <c r="T517" s="186" t="str">
        <f>IFERROR(VLOOKUP(S517,TD!$J$34:$K$44,2,0)," ")</f>
        <v>Infraestructura física, mantenimiento y dotación (Sedes construidas, mantenidas reforzadas)</v>
      </c>
      <c r="U517" s="187" t="str">
        <f>CONCATENATE(S517,"-",T517)</f>
        <v>08-Infraestructura física, mantenimiento y dotación (Sedes construidas, mantenidas reforzadas)</v>
      </c>
      <c r="V517" s="51" t="s">
        <v>236</v>
      </c>
      <c r="W517" s="186" t="str">
        <f>IFERROR(VLOOKUP(V517,TD!$N$34:$O$46,2,0)," ")</f>
        <v>Estaciones de bomberos adecuadas</v>
      </c>
      <c r="X517" s="187" t="str">
        <f>CONCATENATE(V517,"_",W517)</f>
        <v>014_Estaciones de bomberos adecuadas</v>
      </c>
      <c r="Y517" s="187" t="str">
        <f>CONCATENATE(U517," ",X517)</f>
        <v>08-Infraestructura física, mantenimiento y dotación (Sedes construidas, mantenidas reforzadas) 014_Estaciones de bomberos adecuadas</v>
      </c>
      <c r="Z517" s="186" t="str">
        <f>CONCATENATE(P517,Q517,R517,S517,V517)</f>
        <v>O23011745032024025508014</v>
      </c>
      <c r="AA517" s="186" t="str">
        <f>IFERROR(VLOOKUP(Y517,TD!$K$47:$L$65,2,0)," ")</f>
        <v>PM/0131/0108/45030140255</v>
      </c>
      <c r="AB517" s="53" t="s">
        <v>138</v>
      </c>
      <c r="AC517" s="188" t="s">
        <v>204</v>
      </c>
    </row>
    <row r="518" spans="2:29" s="28" customFormat="1" ht="56" x14ac:dyDescent="0.35">
      <c r="B518" s="77">
        <v>20250531</v>
      </c>
      <c r="C518" s="50" t="s">
        <v>209</v>
      </c>
      <c r="D518" s="184" t="s">
        <v>166</v>
      </c>
      <c r="E518" s="51" t="s">
        <v>558</v>
      </c>
      <c r="F518" s="184" t="s">
        <v>590</v>
      </c>
      <c r="G518" s="184" t="s">
        <v>155</v>
      </c>
      <c r="H518" s="93" t="s">
        <v>609</v>
      </c>
      <c r="I518" s="185">
        <v>2</v>
      </c>
      <c r="J518" s="185">
        <v>11</v>
      </c>
      <c r="K518" s="52">
        <v>0</v>
      </c>
      <c r="L518" s="53">
        <v>54291951</v>
      </c>
      <c r="M518" s="184" t="s">
        <v>464</v>
      </c>
      <c r="N518" s="53" t="s">
        <v>610</v>
      </c>
      <c r="O518" s="51" t="s">
        <v>227</v>
      </c>
      <c r="P518" s="186" t="str">
        <f>IFERROR(VLOOKUP(C518,TD!$B$33:$F$37,2,0)," ")</f>
        <v>O230117</v>
      </c>
      <c r="Q518" s="186" t="str">
        <f>IFERROR(VLOOKUP(C518,TD!$B$33:$F$37,3,0)," ")</f>
        <v>4503</v>
      </c>
      <c r="R518" s="186">
        <f>IFERROR(VLOOKUP(C518,TD!$B$33:$F$37,4,0)," ")</f>
        <v>20240255</v>
      </c>
      <c r="S518" s="51" t="s">
        <v>185</v>
      </c>
      <c r="T518" s="186" t="str">
        <f>IFERROR(VLOOKUP(S518,TD!$J$34:$K$44,2,0)," ")</f>
        <v>Infraestructura física, mantenimiento y dotación (Sedes construidas, mantenidas reforzadas)</v>
      </c>
      <c r="U518" s="187" t="str">
        <f>CONCATENATE(S518,"-",T518)</f>
        <v>08-Infraestructura física, mantenimiento y dotación (Sedes construidas, mantenidas reforzadas)</v>
      </c>
      <c r="V518" s="51" t="s">
        <v>236</v>
      </c>
      <c r="W518" s="186" t="str">
        <f>IFERROR(VLOOKUP(V518,TD!$N$34:$O$46,2,0)," ")</f>
        <v>Estaciones de bomberos adecuadas</v>
      </c>
      <c r="X518" s="187" t="str">
        <f>CONCATENATE(V518,"_",W518)</f>
        <v>014_Estaciones de bomberos adecuadas</v>
      </c>
      <c r="Y518" s="187" t="str">
        <f>CONCATENATE(U518," ",X518)</f>
        <v>08-Infraestructura física, mantenimiento y dotación (Sedes construidas, mantenidas reforzadas) 014_Estaciones de bomberos adecuadas</v>
      </c>
      <c r="Z518" s="186" t="str">
        <f>CONCATENATE(P518,Q518,R518,S518,V518)</f>
        <v>O23011745032024025508014</v>
      </c>
      <c r="AA518" s="186" t="str">
        <f>IFERROR(VLOOKUP(Y518,TD!$K$47:$L$65,2,0)," ")</f>
        <v>PM/0131/0108/45030140255</v>
      </c>
      <c r="AB518" s="53" t="s">
        <v>138</v>
      </c>
      <c r="AC518" s="188" t="s">
        <v>204</v>
      </c>
    </row>
    <row r="519" spans="2:29" s="28" customFormat="1" ht="56" x14ac:dyDescent="0.35">
      <c r="B519" s="127">
        <v>20250532</v>
      </c>
      <c r="C519" s="129" t="s">
        <v>208</v>
      </c>
      <c r="D519" s="189" t="s">
        <v>166</v>
      </c>
      <c r="E519" s="190" t="s">
        <v>558</v>
      </c>
      <c r="F519" s="189" t="s">
        <v>720</v>
      </c>
      <c r="G519" s="189" t="s">
        <v>155</v>
      </c>
      <c r="H519" s="130" t="s">
        <v>609</v>
      </c>
      <c r="I519" s="191">
        <v>2</v>
      </c>
      <c r="J519" s="191">
        <v>11</v>
      </c>
      <c r="K519" s="126">
        <v>0</v>
      </c>
      <c r="L519" s="125">
        <v>44237886</v>
      </c>
      <c r="M519" s="189" t="s">
        <v>464</v>
      </c>
      <c r="N519" s="125" t="s">
        <v>610</v>
      </c>
      <c r="O519" s="190" t="s">
        <v>219</v>
      </c>
      <c r="P519" s="192" t="str">
        <f>IFERROR(VLOOKUP(C519,TD!$B$33:$F$37,2,0)," ")</f>
        <v>O230117</v>
      </c>
      <c r="Q519" s="192" t="str">
        <f>IFERROR(VLOOKUP(C519,TD!$B$33:$F$37,3,0)," ")</f>
        <v>4599</v>
      </c>
      <c r="R519" s="192">
        <f>IFERROR(VLOOKUP(C519,TD!$B$33:$F$37,4,0)," ")</f>
        <v>20240207</v>
      </c>
      <c r="S519" s="190" t="s">
        <v>185</v>
      </c>
      <c r="T519" s="192" t="str">
        <f>IFERROR(VLOOKUP(S519,TD!$J$34:$K$44,2,0)," ")</f>
        <v>Infraestructura física, mantenimiento y dotación (Sedes construidas, mantenidas reforzadas)</v>
      </c>
      <c r="U519" s="187" t="str">
        <f>CONCATENATE(S519,"-",T519)</f>
        <v>08-Infraestructura física, mantenimiento y dotación (Sedes construidas, mantenidas reforzadas)</v>
      </c>
      <c r="V519" s="190" t="s">
        <v>238</v>
      </c>
      <c r="W519" s="192" t="str">
        <f>IFERROR(VLOOKUP(V519,TD!$N$34:$O$46,2,0)," ")</f>
        <v>Sedes mantenidas</v>
      </c>
      <c r="X519" s="187" t="str">
        <f>CONCATENATE(V519,"_",W519)</f>
        <v>016_Sedes mantenidas</v>
      </c>
      <c r="Y519" s="187" t="str">
        <f>CONCATENATE(U519," ",X519)</f>
        <v>08-Infraestructura física, mantenimiento y dotación (Sedes construidas, mantenidas reforzadas) 016_Sedes mantenidas</v>
      </c>
      <c r="Z519" s="192" t="str">
        <f>CONCATENATE(P519,Q519,R519,S519,V519)</f>
        <v>O23011745992024020708016</v>
      </c>
      <c r="AA519" s="192" t="str">
        <f>IFERROR(VLOOKUP(Y519,TD!$K$47:$L$65,2,0)," ")</f>
        <v>PM/0131/0108/45990160207</v>
      </c>
      <c r="AB519" s="125" t="s">
        <v>120</v>
      </c>
      <c r="AC519" s="193" t="s">
        <v>204</v>
      </c>
    </row>
    <row r="520" spans="2:29" s="28" customFormat="1" ht="56" x14ac:dyDescent="0.35">
      <c r="B520" s="127">
        <v>20250533</v>
      </c>
      <c r="C520" s="129" t="s">
        <v>209</v>
      </c>
      <c r="D520" s="189" t="s">
        <v>166</v>
      </c>
      <c r="E520" s="190" t="s">
        <v>558</v>
      </c>
      <c r="F520" s="189" t="s">
        <v>617</v>
      </c>
      <c r="G520" s="189" t="s">
        <v>155</v>
      </c>
      <c r="H520" s="130" t="s">
        <v>609</v>
      </c>
      <c r="I520" s="191">
        <v>2</v>
      </c>
      <c r="J520" s="191">
        <v>11</v>
      </c>
      <c r="K520" s="126">
        <v>0</v>
      </c>
      <c r="L520" s="125">
        <v>58500000</v>
      </c>
      <c r="M520" s="189" t="s">
        <v>464</v>
      </c>
      <c r="N520" s="125" t="s">
        <v>610</v>
      </c>
      <c r="O520" s="190" t="s">
        <v>227</v>
      </c>
      <c r="P520" s="192" t="str">
        <f>IFERROR(VLOOKUP(C520,TD!$B$33:$F$37,2,0)," ")</f>
        <v>O230117</v>
      </c>
      <c r="Q520" s="192" t="str">
        <f>IFERROR(VLOOKUP(C520,TD!$B$33:$F$37,3,0)," ")</f>
        <v>4503</v>
      </c>
      <c r="R520" s="192">
        <f>IFERROR(VLOOKUP(C520,TD!$B$33:$F$37,4,0)," ")</f>
        <v>20240255</v>
      </c>
      <c r="S520" s="190" t="s">
        <v>185</v>
      </c>
      <c r="T520" s="192" t="str">
        <f>IFERROR(VLOOKUP(S520,TD!$J$34:$K$44,2,0)," ")</f>
        <v>Infraestructura física, mantenimiento y dotación (Sedes construidas, mantenidas reforzadas)</v>
      </c>
      <c r="U520" s="187" t="str">
        <f>CONCATENATE(S520,"-",T520)</f>
        <v>08-Infraestructura física, mantenimiento y dotación (Sedes construidas, mantenidas reforzadas)</v>
      </c>
      <c r="V520" s="190" t="s">
        <v>236</v>
      </c>
      <c r="W520" s="192" t="str">
        <f>IFERROR(VLOOKUP(V520,TD!$N$34:$O$46,2,0)," ")</f>
        <v>Estaciones de bomberos adecuadas</v>
      </c>
      <c r="X520" s="187" t="str">
        <f>CONCATENATE(V520,"_",W520)</f>
        <v>014_Estaciones de bomberos adecuadas</v>
      </c>
      <c r="Y520" s="187" t="str">
        <f>CONCATENATE(U520," ",X520)</f>
        <v>08-Infraestructura física, mantenimiento y dotación (Sedes construidas, mantenidas reforzadas) 014_Estaciones de bomberos adecuadas</v>
      </c>
      <c r="Z520" s="192" t="str">
        <f>CONCATENATE(P520,Q520,R520,S520,V520)</f>
        <v>O23011745032024025508014</v>
      </c>
      <c r="AA520" s="192" t="str">
        <f>IFERROR(VLOOKUP(Y520,TD!$K$47:$L$65,2,0)," ")</f>
        <v>PM/0131/0108/45030140255</v>
      </c>
      <c r="AB520" s="53" t="s">
        <v>665</v>
      </c>
      <c r="AC520" s="193" t="s">
        <v>204</v>
      </c>
    </row>
    <row r="521" spans="2:29" s="28" customFormat="1" ht="70" x14ac:dyDescent="0.35">
      <c r="B521" s="77">
        <v>20250534</v>
      </c>
      <c r="C521" s="50" t="s">
        <v>208</v>
      </c>
      <c r="D521" s="184" t="s">
        <v>166</v>
      </c>
      <c r="E521" s="51" t="s">
        <v>558</v>
      </c>
      <c r="F521" s="184" t="s">
        <v>578</v>
      </c>
      <c r="G521" s="184" t="s">
        <v>156</v>
      </c>
      <c r="H521" s="93" t="s">
        <v>609</v>
      </c>
      <c r="I521" s="185">
        <v>2</v>
      </c>
      <c r="J521" s="185">
        <v>11</v>
      </c>
      <c r="K521" s="52">
        <v>0</v>
      </c>
      <c r="L521" s="53">
        <v>29558952</v>
      </c>
      <c r="M521" s="184" t="s">
        <v>464</v>
      </c>
      <c r="N521" s="53" t="s">
        <v>610</v>
      </c>
      <c r="O521" s="51" t="s">
        <v>218</v>
      </c>
      <c r="P521" s="186" t="str">
        <f>IFERROR(VLOOKUP(C521,TD!$B$33:$F$37,2,0)," ")</f>
        <v>O230117</v>
      </c>
      <c r="Q521" s="186" t="str">
        <f>IFERROR(VLOOKUP(C521,TD!$B$33:$F$37,3,0)," ")</f>
        <v>4599</v>
      </c>
      <c r="R521" s="186">
        <f>IFERROR(VLOOKUP(C521,TD!$B$33:$F$37,4,0)," ")</f>
        <v>20240207</v>
      </c>
      <c r="S521" s="51" t="s">
        <v>185</v>
      </c>
      <c r="T521" s="186" t="str">
        <f>IFERROR(VLOOKUP(S521,TD!$J$34:$K$44,2,0)," ")</f>
        <v>Infraestructura física, mantenimiento y dotación (Sedes construidas, mantenidas reforzadas)</v>
      </c>
      <c r="U521" s="187" t="str">
        <f>CONCATENATE(S521,"-",T521)</f>
        <v>08-Infraestructura física, mantenimiento y dotación (Sedes construidas, mantenidas reforzadas)</v>
      </c>
      <c r="V521" s="51" t="s">
        <v>238</v>
      </c>
      <c r="W521" s="186" t="str">
        <f>IFERROR(VLOOKUP(V521,TD!$N$34:$O$46,2,0)," ")</f>
        <v>Sedes mantenidas</v>
      </c>
      <c r="X521" s="187" t="str">
        <f>CONCATENATE(V521,"_",W521)</f>
        <v>016_Sedes mantenidas</v>
      </c>
      <c r="Y521" s="187" t="str">
        <f>CONCATENATE(U521," ",X521)</f>
        <v>08-Infraestructura física, mantenimiento y dotación (Sedes construidas, mantenidas reforzadas) 016_Sedes mantenidas</v>
      </c>
      <c r="Z521" s="186" t="str">
        <f>CONCATENATE(P521,Q521,R521,S521,V521)</f>
        <v>O23011745992024020708016</v>
      </c>
      <c r="AA521" s="186" t="str">
        <f>IFERROR(VLOOKUP(Y521,TD!$K$47:$L$65,2,0)," ")</f>
        <v>PM/0131/0108/45990160207</v>
      </c>
      <c r="AB521" s="53" t="s">
        <v>138</v>
      </c>
      <c r="AC521" s="188" t="s">
        <v>204</v>
      </c>
    </row>
    <row r="522" spans="2:29" s="28" customFormat="1" ht="126" x14ac:dyDescent="0.35">
      <c r="B522" s="77">
        <v>20250535</v>
      </c>
      <c r="C522" s="50" t="s">
        <v>208</v>
      </c>
      <c r="D522" s="184" t="s">
        <v>166</v>
      </c>
      <c r="E522" s="51" t="s">
        <v>558</v>
      </c>
      <c r="F522" s="184" t="s">
        <v>578</v>
      </c>
      <c r="G522" s="184" t="s">
        <v>156</v>
      </c>
      <c r="H522" s="93" t="s">
        <v>609</v>
      </c>
      <c r="I522" s="185">
        <v>2</v>
      </c>
      <c r="J522" s="185">
        <v>11</v>
      </c>
      <c r="K522" s="52">
        <v>0</v>
      </c>
      <c r="L522" s="53">
        <v>19705968</v>
      </c>
      <c r="M522" s="184" t="s">
        <v>464</v>
      </c>
      <c r="N522" s="53" t="s">
        <v>610</v>
      </c>
      <c r="O522" s="51" t="s">
        <v>218</v>
      </c>
      <c r="P522" s="186" t="str">
        <f>IFERROR(VLOOKUP(C522,TD!$B$33:$F$37,2,0)," ")</f>
        <v>O230117</v>
      </c>
      <c r="Q522" s="186" t="str">
        <f>IFERROR(VLOOKUP(C522,TD!$B$33:$F$37,3,0)," ")</f>
        <v>4599</v>
      </c>
      <c r="R522" s="186">
        <f>IFERROR(VLOOKUP(C522,TD!$B$33:$F$37,4,0)," ")</f>
        <v>20240207</v>
      </c>
      <c r="S522" s="51" t="s">
        <v>185</v>
      </c>
      <c r="T522" s="186" t="str">
        <f>IFERROR(VLOOKUP(S522,TD!$J$34:$K$44,2,0)," ")</f>
        <v>Infraestructura física, mantenimiento y dotación (Sedes construidas, mantenidas reforzadas)</v>
      </c>
      <c r="U522" s="187" t="str">
        <f>CONCATENATE(S522,"-",T522)</f>
        <v>08-Infraestructura física, mantenimiento y dotación (Sedes construidas, mantenidas reforzadas)</v>
      </c>
      <c r="V522" s="51" t="s">
        <v>238</v>
      </c>
      <c r="W522" s="186" t="str">
        <f>IFERROR(VLOOKUP(V522,TD!$N$34:$O$46,2,0)," ")</f>
        <v>Sedes mantenidas</v>
      </c>
      <c r="X522" s="187" t="str">
        <f>CONCATENATE(V522,"_",W522)</f>
        <v>016_Sedes mantenidas</v>
      </c>
      <c r="Y522" s="187" t="str">
        <f>CONCATENATE(U522," ",X522)</f>
        <v>08-Infraestructura física, mantenimiento y dotación (Sedes construidas, mantenidas reforzadas) 016_Sedes mantenidas</v>
      </c>
      <c r="Z522" s="186" t="str">
        <f>CONCATENATE(P522,Q522,R522,S522,V522)</f>
        <v>O23011745992024020708016</v>
      </c>
      <c r="AA522" s="186" t="str">
        <f>IFERROR(VLOOKUP(Y522,TD!$K$47:$L$65,2,0)," ")</f>
        <v>PM/0131/0108/45990160207</v>
      </c>
      <c r="AB522" s="53" t="s">
        <v>138</v>
      </c>
      <c r="AC522" s="188" t="s">
        <v>204</v>
      </c>
    </row>
    <row r="523" spans="2:29" s="28" customFormat="1" ht="56" x14ac:dyDescent="0.35">
      <c r="B523" s="127">
        <v>20250536</v>
      </c>
      <c r="C523" s="129" t="s">
        <v>208</v>
      </c>
      <c r="D523" s="189" t="s">
        <v>166</v>
      </c>
      <c r="E523" s="190" t="s">
        <v>558</v>
      </c>
      <c r="F523" s="189" t="s">
        <v>649</v>
      </c>
      <c r="G523" s="189" t="s">
        <v>155</v>
      </c>
      <c r="H523" s="130" t="s">
        <v>609</v>
      </c>
      <c r="I523" s="191">
        <v>2</v>
      </c>
      <c r="J523" s="191">
        <v>11</v>
      </c>
      <c r="K523" s="126">
        <v>0</v>
      </c>
      <c r="L523" s="125">
        <v>83482560</v>
      </c>
      <c r="M523" s="189" t="s">
        <v>464</v>
      </c>
      <c r="N523" s="125" t="s">
        <v>610</v>
      </c>
      <c r="O523" s="190" t="s">
        <v>219</v>
      </c>
      <c r="P523" s="192" t="str">
        <f>IFERROR(VLOOKUP(C523,TD!$B$33:$F$37,2,0)," ")</f>
        <v>O230117</v>
      </c>
      <c r="Q523" s="192" t="str">
        <f>IFERROR(VLOOKUP(C523,TD!$B$33:$F$37,3,0)," ")</f>
        <v>4599</v>
      </c>
      <c r="R523" s="192">
        <f>IFERROR(VLOOKUP(C523,TD!$B$33:$F$37,4,0)," ")</f>
        <v>20240207</v>
      </c>
      <c r="S523" s="190" t="s">
        <v>185</v>
      </c>
      <c r="T523" s="192" t="str">
        <f>IFERROR(VLOOKUP(S523,TD!$J$34:$K$44,2,0)," ")</f>
        <v>Infraestructura física, mantenimiento y dotación (Sedes construidas, mantenidas reforzadas)</v>
      </c>
      <c r="U523" s="187" t="str">
        <f>CONCATENATE(S523,"-",T523)</f>
        <v>08-Infraestructura física, mantenimiento y dotación (Sedes construidas, mantenidas reforzadas)</v>
      </c>
      <c r="V523" s="190" t="s">
        <v>238</v>
      </c>
      <c r="W523" s="192" t="str">
        <f>IFERROR(VLOOKUP(V523,TD!$N$34:$O$46,2,0)," ")</f>
        <v>Sedes mantenidas</v>
      </c>
      <c r="X523" s="187" t="str">
        <f>CONCATENATE(V523,"_",W523)</f>
        <v>016_Sedes mantenidas</v>
      </c>
      <c r="Y523" s="187" t="str">
        <f>CONCATENATE(U523," ",X523)</f>
        <v>08-Infraestructura física, mantenimiento y dotación (Sedes construidas, mantenidas reforzadas) 016_Sedes mantenidas</v>
      </c>
      <c r="Z523" s="192" t="str">
        <f>CONCATENATE(P523,Q523,R523,S523,V523)</f>
        <v>O23011745992024020708016</v>
      </c>
      <c r="AA523" s="192" t="str">
        <f>IFERROR(VLOOKUP(Y523,TD!$K$47:$L$65,2,0)," ")</f>
        <v>PM/0131/0108/45990160207</v>
      </c>
      <c r="AB523" s="125" t="s">
        <v>138</v>
      </c>
      <c r="AC523" s="193" t="s">
        <v>204</v>
      </c>
    </row>
    <row r="524" spans="2:29" s="28" customFormat="1" ht="56" x14ac:dyDescent="0.35">
      <c r="B524" s="77">
        <v>20250537</v>
      </c>
      <c r="C524" s="50" t="s">
        <v>208</v>
      </c>
      <c r="D524" s="184" t="s">
        <v>166</v>
      </c>
      <c r="E524" s="51" t="s">
        <v>558</v>
      </c>
      <c r="F524" s="184" t="s">
        <v>650</v>
      </c>
      <c r="G524" s="184" t="s">
        <v>155</v>
      </c>
      <c r="H524" s="93" t="s">
        <v>609</v>
      </c>
      <c r="I524" s="185">
        <v>2</v>
      </c>
      <c r="J524" s="185">
        <v>11</v>
      </c>
      <c r="K524" s="52">
        <v>0</v>
      </c>
      <c r="L524" s="53">
        <v>66356829</v>
      </c>
      <c r="M524" s="184" t="s">
        <v>464</v>
      </c>
      <c r="N524" s="53" t="s">
        <v>610</v>
      </c>
      <c r="O524" s="51" t="s">
        <v>219</v>
      </c>
      <c r="P524" s="186" t="str">
        <f>IFERROR(VLOOKUP(C524,TD!$B$33:$F$37,2,0)," ")</f>
        <v>O230117</v>
      </c>
      <c r="Q524" s="186" t="str">
        <f>IFERROR(VLOOKUP(C524,TD!$B$33:$F$37,3,0)," ")</f>
        <v>4599</v>
      </c>
      <c r="R524" s="186">
        <f>IFERROR(VLOOKUP(C524,TD!$B$33:$F$37,4,0)," ")</f>
        <v>20240207</v>
      </c>
      <c r="S524" s="51" t="s">
        <v>185</v>
      </c>
      <c r="T524" s="186" t="str">
        <f>IFERROR(VLOOKUP(S524,TD!$J$34:$K$44,2,0)," ")</f>
        <v>Infraestructura física, mantenimiento y dotación (Sedes construidas, mantenidas reforzadas)</v>
      </c>
      <c r="U524" s="187" t="str">
        <f>CONCATENATE(S524,"-",T524)</f>
        <v>08-Infraestructura física, mantenimiento y dotación (Sedes construidas, mantenidas reforzadas)</v>
      </c>
      <c r="V524" s="51" t="s">
        <v>238</v>
      </c>
      <c r="W524" s="186" t="str">
        <f>IFERROR(VLOOKUP(V524,TD!$N$34:$O$46,2,0)," ")</f>
        <v>Sedes mantenidas</v>
      </c>
      <c r="X524" s="187" t="str">
        <f>CONCATENATE(V524,"_",W524)</f>
        <v>016_Sedes mantenidas</v>
      </c>
      <c r="Y524" s="187" t="str">
        <f>CONCATENATE(U524," ",X524)</f>
        <v>08-Infraestructura física, mantenimiento y dotación (Sedes construidas, mantenidas reforzadas) 016_Sedes mantenidas</v>
      </c>
      <c r="Z524" s="186" t="str">
        <f>CONCATENATE(P524,Q524,R524,S524,V524)</f>
        <v>O23011745992024020708016</v>
      </c>
      <c r="AA524" s="186" t="str">
        <f>IFERROR(VLOOKUP(Y524,TD!$K$47:$L$65,2,0)," ")</f>
        <v>PM/0131/0108/45990160207</v>
      </c>
      <c r="AB524" s="53" t="s">
        <v>138</v>
      </c>
      <c r="AC524" s="188" t="s">
        <v>204</v>
      </c>
    </row>
    <row r="525" spans="2:29" s="28" customFormat="1" ht="56" x14ac:dyDescent="0.35">
      <c r="B525" s="77">
        <v>20250538</v>
      </c>
      <c r="C525" s="50" t="s">
        <v>208</v>
      </c>
      <c r="D525" s="184" t="s">
        <v>166</v>
      </c>
      <c r="E525" s="51" t="s">
        <v>558</v>
      </c>
      <c r="F525" s="184" t="s">
        <v>651</v>
      </c>
      <c r="G525" s="184" t="s">
        <v>155</v>
      </c>
      <c r="H525" s="93" t="s">
        <v>609</v>
      </c>
      <c r="I525" s="185">
        <v>2</v>
      </c>
      <c r="J525" s="185">
        <v>11</v>
      </c>
      <c r="K525" s="52">
        <v>0</v>
      </c>
      <c r="L525" s="53">
        <v>83482560</v>
      </c>
      <c r="M525" s="184" t="s">
        <v>464</v>
      </c>
      <c r="N525" s="53" t="s">
        <v>610</v>
      </c>
      <c r="O525" s="51" t="s">
        <v>219</v>
      </c>
      <c r="P525" s="186" t="str">
        <f>IFERROR(VLOOKUP(C525,TD!$B$33:$F$37,2,0)," ")</f>
        <v>O230117</v>
      </c>
      <c r="Q525" s="186" t="str">
        <f>IFERROR(VLOOKUP(C525,TD!$B$33:$F$37,3,0)," ")</f>
        <v>4599</v>
      </c>
      <c r="R525" s="186">
        <f>IFERROR(VLOOKUP(C525,TD!$B$33:$F$37,4,0)," ")</f>
        <v>20240207</v>
      </c>
      <c r="S525" s="51" t="s">
        <v>185</v>
      </c>
      <c r="T525" s="186" t="str">
        <f>IFERROR(VLOOKUP(S525,TD!$J$34:$K$44,2,0)," ")</f>
        <v>Infraestructura física, mantenimiento y dotación (Sedes construidas, mantenidas reforzadas)</v>
      </c>
      <c r="U525" s="187" t="str">
        <f>CONCATENATE(S525,"-",T525)</f>
        <v>08-Infraestructura física, mantenimiento y dotación (Sedes construidas, mantenidas reforzadas)</v>
      </c>
      <c r="V525" s="51" t="s">
        <v>238</v>
      </c>
      <c r="W525" s="186" t="str">
        <f>IFERROR(VLOOKUP(V525,TD!$N$34:$O$46,2,0)," ")</f>
        <v>Sedes mantenidas</v>
      </c>
      <c r="X525" s="187" t="str">
        <f>CONCATENATE(V525,"_",W525)</f>
        <v>016_Sedes mantenidas</v>
      </c>
      <c r="Y525" s="187" t="str">
        <f>CONCATENATE(U525," ",X525)</f>
        <v>08-Infraestructura física, mantenimiento y dotación (Sedes construidas, mantenidas reforzadas) 016_Sedes mantenidas</v>
      </c>
      <c r="Z525" s="186" t="str">
        <f>CONCATENATE(P525,Q525,R525,S525,V525)</f>
        <v>O23011745992024020708016</v>
      </c>
      <c r="AA525" s="186" t="str">
        <f>IFERROR(VLOOKUP(Y525,TD!$K$47:$L$65,2,0)," ")</f>
        <v>PM/0131/0108/45990160207</v>
      </c>
      <c r="AB525" s="53" t="s">
        <v>120</v>
      </c>
      <c r="AC525" s="188" t="s">
        <v>204</v>
      </c>
    </row>
    <row r="526" spans="2:29" s="28" customFormat="1" ht="56" x14ac:dyDescent="0.35">
      <c r="B526" s="127">
        <v>20250539</v>
      </c>
      <c r="C526" s="129" t="s">
        <v>208</v>
      </c>
      <c r="D526" s="189" t="s">
        <v>166</v>
      </c>
      <c r="E526" s="190" t="s">
        <v>558</v>
      </c>
      <c r="F526" s="189" t="s">
        <v>652</v>
      </c>
      <c r="G526" s="189" t="s">
        <v>156</v>
      </c>
      <c r="H526" s="130" t="s">
        <v>609</v>
      </c>
      <c r="I526" s="191">
        <v>2</v>
      </c>
      <c r="J526" s="191">
        <v>11</v>
      </c>
      <c r="K526" s="126">
        <v>0</v>
      </c>
      <c r="L526" s="125">
        <v>38607615</v>
      </c>
      <c r="M526" s="189" t="s">
        <v>464</v>
      </c>
      <c r="N526" s="125" t="s">
        <v>610</v>
      </c>
      <c r="O526" s="190" t="s">
        <v>219</v>
      </c>
      <c r="P526" s="192" t="str">
        <f>IFERROR(VLOOKUP(C526,TD!$B$33:$F$37,2,0)," ")</f>
        <v>O230117</v>
      </c>
      <c r="Q526" s="192" t="str">
        <f>IFERROR(VLOOKUP(C526,TD!$B$33:$F$37,3,0)," ")</f>
        <v>4599</v>
      </c>
      <c r="R526" s="192">
        <f>IFERROR(VLOOKUP(C526,TD!$B$33:$F$37,4,0)," ")</f>
        <v>20240207</v>
      </c>
      <c r="S526" s="190" t="s">
        <v>185</v>
      </c>
      <c r="T526" s="192" t="str">
        <f>IFERROR(VLOOKUP(S526,TD!$J$34:$K$44,2,0)," ")</f>
        <v>Infraestructura física, mantenimiento y dotación (Sedes construidas, mantenidas reforzadas)</v>
      </c>
      <c r="U526" s="187" t="str">
        <f>CONCATENATE(S526,"-",T526)</f>
        <v>08-Infraestructura física, mantenimiento y dotación (Sedes construidas, mantenidas reforzadas)</v>
      </c>
      <c r="V526" s="190" t="s">
        <v>238</v>
      </c>
      <c r="W526" s="192" t="str">
        <f>IFERROR(VLOOKUP(V526,TD!$N$34:$O$46,2,0)," ")</f>
        <v>Sedes mantenidas</v>
      </c>
      <c r="X526" s="187" t="str">
        <f>CONCATENATE(V526,"_",W526)</f>
        <v>016_Sedes mantenidas</v>
      </c>
      <c r="Y526" s="187" t="str">
        <f>CONCATENATE(U526," ",X526)</f>
        <v>08-Infraestructura física, mantenimiento y dotación (Sedes construidas, mantenidas reforzadas) 016_Sedes mantenidas</v>
      </c>
      <c r="Z526" s="192" t="str">
        <f>CONCATENATE(P526,Q526,R526,S526,V526)</f>
        <v>O23011745992024020708016</v>
      </c>
      <c r="AA526" s="192" t="str">
        <f>IFERROR(VLOOKUP(Y526,TD!$K$47:$L$65,2,0)," ")</f>
        <v>PM/0131/0108/45990160207</v>
      </c>
      <c r="AB526" s="125" t="s">
        <v>138</v>
      </c>
      <c r="AC526" s="193" t="s">
        <v>204</v>
      </c>
    </row>
    <row r="527" spans="2:29" s="28" customFormat="1" ht="84" x14ac:dyDescent="0.35">
      <c r="B527" s="77">
        <v>20250540</v>
      </c>
      <c r="C527" s="50" t="s">
        <v>209</v>
      </c>
      <c r="D527" s="184" t="s">
        <v>166</v>
      </c>
      <c r="E527" s="51" t="s">
        <v>558</v>
      </c>
      <c r="F527" s="184" t="s">
        <v>576</v>
      </c>
      <c r="G527" s="184" t="s">
        <v>155</v>
      </c>
      <c r="H527" s="93" t="s">
        <v>609</v>
      </c>
      <c r="I527" s="185">
        <v>2</v>
      </c>
      <c r="J527" s="185">
        <v>11</v>
      </c>
      <c r="K527" s="52">
        <v>0</v>
      </c>
      <c r="L527" s="53">
        <v>82041174</v>
      </c>
      <c r="M527" s="184" t="s">
        <v>464</v>
      </c>
      <c r="N527" s="53" t="s">
        <v>610</v>
      </c>
      <c r="O527" s="51" t="s">
        <v>228</v>
      </c>
      <c r="P527" s="186" t="str">
        <f>IFERROR(VLOOKUP(C527,TD!$B$33:$F$37,2,0)," ")</f>
        <v>O230117</v>
      </c>
      <c r="Q527" s="186" t="str">
        <f>IFERROR(VLOOKUP(C527,TD!$B$33:$F$37,3,0)," ")</f>
        <v>4503</v>
      </c>
      <c r="R527" s="186">
        <f>IFERROR(VLOOKUP(C527,TD!$B$33:$F$37,4,0)," ")</f>
        <v>20240255</v>
      </c>
      <c r="S527" s="51" t="s">
        <v>185</v>
      </c>
      <c r="T527" s="186" t="str">
        <f>IFERROR(VLOOKUP(S527,TD!$J$34:$K$44,2,0)," ")</f>
        <v>Infraestructura física, mantenimiento y dotación (Sedes construidas, mantenidas reforzadas)</v>
      </c>
      <c r="U527" s="187" t="str">
        <f>CONCATENATE(S527,"-",T527)</f>
        <v>08-Infraestructura física, mantenimiento y dotación (Sedes construidas, mantenidas reforzadas)</v>
      </c>
      <c r="V527" s="51" t="s">
        <v>237</v>
      </c>
      <c r="W527" s="186" t="str">
        <f>IFERROR(VLOOKUP(V527,TD!$N$34:$O$46,2,0)," ")</f>
        <v>Estaciones de bomberos construidas</v>
      </c>
      <c r="X527" s="187" t="str">
        <f>CONCATENATE(V527,"_",W527)</f>
        <v>015_Estaciones de bomberos construidas</v>
      </c>
      <c r="Y527" s="187" t="str">
        <f>CONCATENATE(U527," ",X527)</f>
        <v>08-Infraestructura física, mantenimiento y dotación (Sedes construidas, mantenidas reforzadas) 015_Estaciones de bomberos construidas</v>
      </c>
      <c r="Z527" s="186" t="str">
        <f>CONCATENATE(P527,Q527,R527,S527,V527)</f>
        <v>O23011745032024025508015</v>
      </c>
      <c r="AA527" s="186" t="str">
        <f>IFERROR(VLOOKUP(Y527,TD!$K$47:$L$65,2,0)," ")</f>
        <v>PM/0131/0108/45030150255</v>
      </c>
      <c r="AB527" s="53" t="s">
        <v>138</v>
      </c>
      <c r="AC527" s="188" t="s">
        <v>204</v>
      </c>
    </row>
    <row r="528" spans="2:29" s="28" customFormat="1" ht="84" x14ac:dyDescent="0.35">
      <c r="B528" s="77">
        <v>20250541</v>
      </c>
      <c r="C528" s="50" t="s">
        <v>208</v>
      </c>
      <c r="D528" s="184" t="s">
        <v>166</v>
      </c>
      <c r="E528" s="51" t="s">
        <v>558</v>
      </c>
      <c r="F528" s="184" t="s">
        <v>653</v>
      </c>
      <c r="G528" s="184" t="s">
        <v>156</v>
      </c>
      <c r="H528" s="93" t="s">
        <v>609</v>
      </c>
      <c r="I528" s="185">
        <v>2</v>
      </c>
      <c r="J528" s="185">
        <v>11</v>
      </c>
      <c r="K528" s="52">
        <v>0</v>
      </c>
      <c r="L528" s="53">
        <v>26274624</v>
      </c>
      <c r="M528" s="184" t="s">
        <v>464</v>
      </c>
      <c r="N528" s="53" t="s">
        <v>610</v>
      </c>
      <c r="O528" s="51" t="s">
        <v>219</v>
      </c>
      <c r="P528" s="186" t="str">
        <f>IFERROR(VLOOKUP(C528,TD!$B$33:$F$37,2,0)," ")</f>
        <v>O230117</v>
      </c>
      <c r="Q528" s="186" t="str">
        <f>IFERROR(VLOOKUP(C528,TD!$B$33:$F$37,3,0)," ")</f>
        <v>4599</v>
      </c>
      <c r="R528" s="186">
        <f>IFERROR(VLOOKUP(C528,TD!$B$33:$F$37,4,0)," ")</f>
        <v>20240207</v>
      </c>
      <c r="S528" s="51" t="s">
        <v>185</v>
      </c>
      <c r="T528" s="186" t="str">
        <f>IFERROR(VLOOKUP(S528,TD!$J$34:$K$44,2,0)," ")</f>
        <v>Infraestructura física, mantenimiento y dotación (Sedes construidas, mantenidas reforzadas)</v>
      </c>
      <c r="U528" s="187" t="str">
        <f>CONCATENATE(S528,"-",T528)</f>
        <v>08-Infraestructura física, mantenimiento y dotación (Sedes construidas, mantenidas reforzadas)</v>
      </c>
      <c r="V528" s="51" t="s">
        <v>238</v>
      </c>
      <c r="W528" s="186" t="str">
        <f>IFERROR(VLOOKUP(V528,TD!$N$34:$O$46,2,0)," ")</f>
        <v>Sedes mantenidas</v>
      </c>
      <c r="X528" s="187" t="str">
        <f>CONCATENATE(V528,"_",W528)</f>
        <v>016_Sedes mantenidas</v>
      </c>
      <c r="Y528" s="187" t="str">
        <f>CONCATENATE(U528," ",X528)</f>
        <v>08-Infraestructura física, mantenimiento y dotación (Sedes construidas, mantenidas reforzadas) 016_Sedes mantenidas</v>
      </c>
      <c r="Z528" s="186" t="str">
        <f>CONCATENATE(P528,Q528,R528,S528,V528)</f>
        <v>O23011745992024020708016</v>
      </c>
      <c r="AA528" s="186" t="str">
        <f>IFERROR(VLOOKUP(Y528,TD!$K$47:$L$65,2,0)," ")</f>
        <v>PM/0131/0108/45990160207</v>
      </c>
      <c r="AB528" s="53" t="s">
        <v>138</v>
      </c>
      <c r="AC528" s="188" t="s">
        <v>204</v>
      </c>
    </row>
    <row r="529" spans="2:29" s="28" customFormat="1" ht="84" x14ac:dyDescent="0.35">
      <c r="B529" s="77">
        <v>20250542</v>
      </c>
      <c r="C529" s="50" t="s">
        <v>208</v>
      </c>
      <c r="D529" s="184" t="s">
        <v>166</v>
      </c>
      <c r="E529" s="51" t="s">
        <v>558</v>
      </c>
      <c r="F529" s="184" t="s">
        <v>654</v>
      </c>
      <c r="G529" s="184" t="s">
        <v>155</v>
      </c>
      <c r="H529" s="93" t="s">
        <v>609</v>
      </c>
      <c r="I529" s="185">
        <v>2</v>
      </c>
      <c r="J529" s="185">
        <v>11</v>
      </c>
      <c r="K529" s="52">
        <v>0</v>
      </c>
      <c r="L529" s="53">
        <v>54291951</v>
      </c>
      <c r="M529" s="184" t="s">
        <v>464</v>
      </c>
      <c r="N529" s="53" t="s">
        <v>610</v>
      </c>
      <c r="O529" s="51" t="s">
        <v>219</v>
      </c>
      <c r="P529" s="186" t="str">
        <f>IFERROR(VLOOKUP(C529,TD!$B$33:$F$37,2,0)," ")</f>
        <v>O230117</v>
      </c>
      <c r="Q529" s="186" t="str">
        <f>IFERROR(VLOOKUP(C529,TD!$B$33:$F$37,3,0)," ")</f>
        <v>4599</v>
      </c>
      <c r="R529" s="186">
        <f>IFERROR(VLOOKUP(C529,TD!$B$33:$F$37,4,0)," ")</f>
        <v>20240207</v>
      </c>
      <c r="S529" s="51" t="s">
        <v>185</v>
      </c>
      <c r="T529" s="186" t="str">
        <f>IFERROR(VLOOKUP(S529,TD!$J$34:$K$44,2,0)," ")</f>
        <v>Infraestructura física, mantenimiento y dotación (Sedes construidas, mantenidas reforzadas)</v>
      </c>
      <c r="U529" s="187" t="str">
        <f>CONCATENATE(S529,"-",T529)</f>
        <v>08-Infraestructura física, mantenimiento y dotación (Sedes construidas, mantenidas reforzadas)</v>
      </c>
      <c r="V529" s="51" t="s">
        <v>238</v>
      </c>
      <c r="W529" s="186" t="str">
        <f>IFERROR(VLOOKUP(V529,TD!$N$34:$O$46,2,0)," ")</f>
        <v>Sedes mantenidas</v>
      </c>
      <c r="X529" s="187" t="str">
        <f>CONCATENATE(V529,"_",W529)</f>
        <v>016_Sedes mantenidas</v>
      </c>
      <c r="Y529" s="187" t="str">
        <f>CONCATENATE(U529," ",X529)</f>
        <v>08-Infraestructura física, mantenimiento y dotación (Sedes construidas, mantenidas reforzadas) 016_Sedes mantenidas</v>
      </c>
      <c r="Z529" s="186" t="str">
        <f>CONCATENATE(P529,Q529,R529,S529,V529)</f>
        <v>O23011745992024020708016</v>
      </c>
      <c r="AA529" s="186" t="str">
        <f>IFERROR(VLOOKUP(Y529,TD!$K$47:$L$65,2,0)," ")</f>
        <v>PM/0131/0108/45990160207</v>
      </c>
      <c r="AB529" s="53" t="s">
        <v>138</v>
      </c>
      <c r="AC529" s="188" t="s">
        <v>204</v>
      </c>
    </row>
    <row r="530" spans="2:29" s="28" customFormat="1" ht="84" x14ac:dyDescent="0.35">
      <c r="B530" s="77">
        <v>20250543</v>
      </c>
      <c r="C530" s="50" t="s">
        <v>208</v>
      </c>
      <c r="D530" s="184" t="s">
        <v>166</v>
      </c>
      <c r="E530" s="51" t="s">
        <v>558</v>
      </c>
      <c r="F530" s="184" t="s">
        <v>655</v>
      </c>
      <c r="G530" s="184" t="s">
        <v>156</v>
      </c>
      <c r="H530" s="93" t="s">
        <v>609</v>
      </c>
      <c r="I530" s="185">
        <v>2</v>
      </c>
      <c r="J530" s="185">
        <v>11</v>
      </c>
      <c r="K530" s="52">
        <v>0</v>
      </c>
      <c r="L530" s="53">
        <v>34317880</v>
      </c>
      <c r="M530" s="184" t="s">
        <v>464</v>
      </c>
      <c r="N530" s="53" t="s">
        <v>610</v>
      </c>
      <c r="O530" s="51" t="s">
        <v>219</v>
      </c>
      <c r="P530" s="186" t="str">
        <f>IFERROR(VLOOKUP(C530,TD!$B$33:$F$37,2,0)," ")</f>
        <v>O230117</v>
      </c>
      <c r="Q530" s="186" t="str">
        <f>IFERROR(VLOOKUP(C530,TD!$B$33:$F$37,3,0)," ")</f>
        <v>4599</v>
      </c>
      <c r="R530" s="186">
        <f>IFERROR(VLOOKUP(C530,TD!$B$33:$F$37,4,0)," ")</f>
        <v>20240207</v>
      </c>
      <c r="S530" s="51" t="s">
        <v>185</v>
      </c>
      <c r="T530" s="186" t="str">
        <f>IFERROR(VLOOKUP(S530,TD!$J$34:$K$44,2,0)," ")</f>
        <v>Infraestructura física, mantenimiento y dotación (Sedes construidas, mantenidas reforzadas)</v>
      </c>
      <c r="U530" s="187" t="str">
        <f>CONCATENATE(S530,"-",T530)</f>
        <v>08-Infraestructura física, mantenimiento y dotación (Sedes construidas, mantenidas reforzadas)</v>
      </c>
      <c r="V530" s="51" t="s">
        <v>238</v>
      </c>
      <c r="W530" s="186" t="str">
        <f>IFERROR(VLOOKUP(V530,TD!$N$34:$O$46,2,0)," ")</f>
        <v>Sedes mantenidas</v>
      </c>
      <c r="X530" s="187" t="str">
        <f>CONCATENATE(V530,"_",W530)</f>
        <v>016_Sedes mantenidas</v>
      </c>
      <c r="Y530" s="187" t="str">
        <f>CONCATENATE(U530," ",X530)</f>
        <v>08-Infraestructura física, mantenimiento y dotación (Sedes construidas, mantenidas reforzadas) 016_Sedes mantenidas</v>
      </c>
      <c r="Z530" s="186" t="str">
        <f>CONCATENATE(P530,Q530,R530,S530,V530)</f>
        <v>O23011745992024020708016</v>
      </c>
      <c r="AA530" s="186" t="str">
        <f>IFERROR(VLOOKUP(Y530,TD!$K$47:$L$65,2,0)," ")</f>
        <v>PM/0131/0108/45990160207</v>
      </c>
      <c r="AB530" s="53" t="s">
        <v>138</v>
      </c>
      <c r="AC530" s="188" t="s">
        <v>204</v>
      </c>
    </row>
    <row r="531" spans="2:29" s="28" customFormat="1" ht="98" x14ac:dyDescent="0.35">
      <c r="B531" s="77">
        <v>20250544</v>
      </c>
      <c r="C531" s="50" t="s">
        <v>208</v>
      </c>
      <c r="D531" s="184" t="s">
        <v>166</v>
      </c>
      <c r="E531" s="51" t="s">
        <v>558</v>
      </c>
      <c r="F531" s="184" t="s">
        <v>656</v>
      </c>
      <c r="G531" s="184" t="s">
        <v>155</v>
      </c>
      <c r="H531" s="93" t="s">
        <v>609</v>
      </c>
      <c r="I531" s="185">
        <v>2</v>
      </c>
      <c r="J531" s="185">
        <v>11</v>
      </c>
      <c r="K531" s="52">
        <v>0</v>
      </c>
      <c r="L531" s="53">
        <v>66356829</v>
      </c>
      <c r="M531" s="184" t="s">
        <v>464</v>
      </c>
      <c r="N531" s="53" t="s">
        <v>610</v>
      </c>
      <c r="O531" s="51" t="s">
        <v>219</v>
      </c>
      <c r="P531" s="186" t="str">
        <f>IFERROR(VLOOKUP(C531,TD!$B$33:$F$37,2,0)," ")</f>
        <v>O230117</v>
      </c>
      <c r="Q531" s="186" t="str">
        <f>IFERROR(VLOOKUP(C531,TD!$B$33:$F$37,3,0)," ")</f>
        <v>4599</v>
      </c>
      <c r="R531" s="186">
        <f>IFERROR(VLOOKUP(C531,TD!$B$33:$F$37,4,0)," ")</f>
        <v>20240207</v>
      </c>
      <c r="S531" s="51" t="s">
        <v>185</v>
      </c>
      <c r="T531" s="186" t="str">
        <f>IFERROR(VLOOKUP(S531,TD!$J$34:$K$44,2,0)," ")</f>
        <v>Infraestructura física, mantenimiento y dotación (Sedes construidas, mantenidas reforzadas)</v>
      </c>
      <c r="U531" s="187" t="str">
        <f>CONCATENATE(S531,"-",T531)</f>
        <v>08-Infraestructura física, mantenimiento y dotación (Sedes construidas, mantenidas reforzadas)</v>
      </c>
      <c r="V531" s="51" t="s">
        <v>238</v>
      </c>
      <c r="W531" s="186" t="str">
        <f>IFERROR(VLOOKUP(V531,TD!$N$34:$O$46,2,0)," ")</f>
        <v>Sedes mantenidas</v>
      </c>
      <c r="X531" s="187" t="str">
        <f>CONCATENATE(V531,"_",W531)</f>
        <v>016_Sedes mantenidas</v>
      </c>
      <c r="Y531" s="187" t="str">
        <f>CONCATENATE(U531," ",X531)</f>
        <v>08-Infraestructura física, mantenimiento y dotación (Sedes construidas, mantenidas reforzadas) 016_Sedes mantenidas</v>
      </c>
      <c r="Z531" s="186" t="str">
        <f>CONCATENATE(P531,Q531,R531,S531,V531)</f>
        <v>O23011745992024020708016</v>
      </c>
      <c r="AA531" s="186" t="str">
        <f>IFERROR(VLOOKUP(Y531,TD!$K$47:$L$65,2,0)," ")</f>
        <v>PM/0131/0108/45990160207</v>
      </c>
      <c r="AB531" s="53" t="s">
        <v>138</v>
      </c>
      <c r="AC531" s="188" t="s">
        <v>204</v>
      </c>
    </row>
    <row r="532" spans="2:29" s="28" customFormat="1" ht="56" x14ac:dyDescent="0.35">
      <c r="B532" s="77">
        <v>20250545</v>
      </c>
      <c r="C532" s="50" t="s">
        <v>208</v>
      </c>
      <c r="D532" s="184" t="s">
        <v>166</v>
      </c>
      <c r="E532" s="51" t="s">
        <v>558</v>
      </c>
      <c r="F532" s="184" t="s">
        <v>657</v>
      </c>
      <c r="G532" s="184" t="s">
        <v>155</v>
      </c>
      <c r="H532" s="93" t="s">
        <v>609</v>
      </c>
      <c r="I532" s="185">
        <v>2</v>
      </c>
      <c r="J532" s="185">
        <v>11</v>
      </c>
      <c r="K532" s="52">
        <v>0</v>
      </c>
      <c r="L532" s="53">
        <v>41288696</v>
      </c>
      <c r="M532" s="184" t="s">
        <v>464</v>
      </c>
      <c r="N532" s="53" t="s">
        <v>610</v>
      </c>
      <c r="O532" s="51" t="s">
        <v>219</v>
      </c>
      <c r="P532" s="186" t="str">
        <f>IFERROR(VLOOKUP(C532,TD!$B$33:$F$37,2,0)," ")</f>
        <v>O230117</v>
      </c>
      <c r="Q532" s="186" t="str">
        <f>IFERROR(VLOOKUP(C532,TD!$B$33:$F$37,3,0)," ")</f>
        <v>4599</v>
      </c>
      <c r="R532" s="186">
        <f>IFERROR(VLOOKUP(C532,TD!$B$33:$F$37,4,0)," ")</f>
        <v>20240207</v>
      </c>
      <c r="S532" s="51" t="s">
        <v>185</v>
      </c>
      <c r="T532" s="186" t="str">
        <f>IFERROR(VLOOKUP(S532,TD!$J$34:$K$44,2,0)," ")</f>
        <v>Infraestructura física, mantenimiento y dotación (Sedes construidas, mantenidas reforzadas)</v>
      </c>
      <c r="U532" s="187" t="str">
        <f>CONCATENATE(S532,"-",T532)</f>
        <v>08-Infraestructura física, mantenimiento y dotación (Sedes construidas, mantenidas reforzadas)</v>
      </c>
      <c r="V532" s="51" t="s">
        <v>238</v>
      </c>
      <c r="W532" s="186" t="str">
        <f>IFERROR(VLOOKUP(V532,TD!$N$34:$O$46,2,0)," ")</f>
        <v>Sedes mantenidas</v>
      </c>
      <c r="X532" s="187" t="str">
        <f>CONCATENATE(V532,"_",W532)</f>
        <v>016_Sedes mantenidas</v>
      </c>
      <c r="Y532" s="187" t="str">
        <f>CONCATENATE(U532," ",X532)</f>
        <v>08-Infraestructura física, mantenimiento y dotación (Sedes construidas, mantenidas reforzadas) 016_Sedes mantenidas</v>
      </c>
      <c r="Z532" s="186" t="str">
        <f>CONCATENATE(P532,Q532,R532,S532,V532)</f>
        <v>O23011745992024020708016</v>
      </c>
      <c r="AA532" s="186" t="str">
        <f>IFERROR(VLOOKUP(Y532,TD!$K$47:$L$65,2,0)," ")</f>
        <v>PM/0131/0108/45990160207</v>
      </c>
      <c r="AB532" s="53" t="s">
        <v>138</v>
      </c>
      <c r="AC532" s="188" t="s">
        <v>204</v>
      </c>
    </row>
    <row r="533" spans="2:29" s="28" customFormat="1" ht="56" x14ac:dyDescent="0.35">
      <c r="B533" s="77">
        <v>20250546</v>
      </c>
      <c r="C533" s="50" t="s">
        <v>209</v>
      </c>
      <c r="D533" s="184" t="s">
        <v>166</v>
      </c>
      <c r="E533" s="51" t="s">
        <v>558</v>
      </c>
      <c r="F533" s="184" t="s">
        <v>658</v>
      </c>
      <c r="G533" s="184" t="s">
        <v>155</v>
      </c>
      <c r="H533" s="93" t="s">
        <v>609</v>
      </c>
      <c r="I533" s="185">
        <v>2</v>
      </c>
      <c r="J533" s="185">
        <v>11</v>
      </c>
      <c r="K533" s="52">
        <v>0</v>
      </c>
      <c r="L533" s="53">
        <v>54694112</v>
      </c>
      <c r="M533" s="184" t="s">
        <v>464</v>
      </c>
      <c r="N533" s="53" t="s">
        <v>610</v>
      </c>
      <c r="O533" s="51" t="s">
        <v>227</v>
      </c>
      <c r="P533" s="186" t="str">
        <f>IFERROR(VLOOKUP(C533,TD!$B$33:$F$37,2,0)," ")</f>
        <v>O230117</v>
      </c>
      <c r="Q533" s="186" t="str">
        <f>IFERROR(VLOOKUP(C533,TD!$B$33:$F$37,3,0)," ")</f>
        <v>4503</v>
      </c>
      <c r="R533" s="186">
        <f>IFERROR(VLOOKUP(C533,TD!$B$33:$F$37,4,0)," ")</f>
        <v>20240255</v>
      </c>
      <c r="S533" s="51" t="s">
        <v>185</v>
      </c>
      <c r="T533" s="186" t="str">
        <f>IFERROR(VLOOKUP(S533,TD!$J$34:$K$44,2,0)," ")</f>
        <v>Infraestructura física, mantenimiento y dotación (Sedes construidas, mantenidas reforzadas)</v>
      </c>
      <c r="U533" s="187" t="str">
        <f>CONCATENATE(S533,"-",T533)</f>
        <v>08-Infraestructura física, mantenimiento y dotación (Sedes construidas, mantenidas reforzadas)</v>
      </c>
      <c r="V533" s="51" t="s">
        <v>236</v>
      </c>
      <c r="W533" s="186" t="str">
        <f>IFERROR(VLOOKUP(V533,TD!$N$34:$O$46,2,0)," ")</f>
        <v>Estaciones de bomberos adecuadas</v>
      </c>
      <c r="X533" s="187" t="str">
        <f>CONCATENATE(V533,"_",W533)</f>
        <v>014_Estaciones de bomberos adecuadas</v>
      </c>
      <c r="Y533" s="187" t="str">
        <f>CONCATENATE(U533," ",X533)</f>
        <v>08-Infraestructura física, mantenimiento y dotación (Sedes construidas, mantenidas reforzadas) 014_Estaciones de bomberos adecuadas</v>
      </c>
      <c r="Z533" s="186" t="str">
        <f>CONCATENATE(P533,Q533,R533,S533,V533)</f>
        <v>O23011745032024025508014</v>
      </c>
      <c r="AA533" s="186" t="str">
        <f>IFERROR(VLOOKUP(Y533,TD!$K$47:$L$65,2,0)," ")</f>
        <v>PM/0131/0108/45030140255</v>
      </c>
      <c r="AB533" s="53" t="s">
        <v>665</v>
      </c>
      <c r="AC533" s="188" t="s">
        <v>204</v>
      </c>
    </row>
    <row r="534" spans="2:29" s="28" customFormat="1" ht="84" x14ac:dyDescent="0.35">
      <c r="B534" s="77">
        <v>20250547</v>
      </c>
      <c r="C534" s="50" t="s">
        <v>209</v>
      </c>
      <c r="D534" s="184" t="s">
        <v>166</v>
      </c>
      <c r="E534" s="51" t="s">
        <v>558</v>
      </c>
      <c r="F534" s="184" t="s">
        <v>659</v>
      </c>
      <c r="G534" s="184" t="s">
        <v>155</v>
      </c>
      <c r="H534" s="93" t="s">
        <v>609</v>
      </c>
      <c r="I534" s="185">
        <v>2</v>
      </c>
      <c r="J534" s="185">
        <v>11</v>
      </c>
      <c r="K534" s="52">
        <v>0</v>
      </c>
      <c r="L534" s="53">
        <v>51253388</v>
      </c>
      <c r="M534" s="184" t="s">
        <v>464</v>
      </c>
      <c r="N534" s="53" t="s">
        <v>610</v>
      </c>
      <c r="O534" s="51" t="s">
        <v>228</v>
      </c>
      <c r="P534" s="186" t="str">
        <f>IFERROR(VLOOKUP(C534,TD!$B$33:$F$37,2,0)," ")</f>
        <v>O230117</v>
      </c>
      <c r="Q534" s="186" t="str">
        <f>IFERROR(VLOOKUP(C534,TD!$B$33:$F$37,3,0)," ")</f>
        <v>4503</v>
      </c>
      <c r="R534" s="186">
        <f>IFERROR(VLOOKUP(C534,TD!$B$33:$F$37,4,0)," ")</f>
        <v>20240255</v>
      </c>
      <c r="S534" s="51" t="s">
        <v>185</v>
      </c>
      <c r="T534" s="186" t="str">
        <f>IFERROR(VLOOKUP(S534,TD!$J$34:$K$44,2,0)," ")</f>
        <v>Infraestructura física, mantenimiento y dotación (Sedes construidas, mantenidas reforzadas)</v>
      </c>
      <c r="U534" s="187" t="str">
        <f>CONCATENATE(S534,"-",T534)</f>
        <v>08-Infraestructura física, mantenimiento y dotación (Sedes construidas, mantenidas reforzadas)</v>
      </c>
      <c r="V534" s="51" t="s">
        <v>237</v>
      </c>
      <c r="W534" s="186" t="str">
        <f>IFERROR(VLOOKUP(V534,TD!$N$34:$O$46,2,0)," ")</f>
        <v>Estaciones de bomberos construidas</v>
      </c>
      <c r="X534" s="187" t="str">
        <f>CONCATENATE(V534,"_",W534)</f>
        <v>015_Estaciones de bomberos construidas</v>
      </c>
      <c r="Y534" s="187" t="str">
        <f>CONCATENATE(U534," ",X534)</f>
        <v>08-Infraestructura física, mantenimiento y dotación (Sedes construidas, mantenidas reforzadas) 015_Estaciones de bomberos construidas</v>
      </c>
      <c r="Z534" s="186" t="str">
        <f>CONCATENATE(P534,Q534,R534,S534,V534)</f>
        <v>O23011745032024025508015</v>
      </c>
      <c r="AA534" s="186" t="str">
        <f>IFERROR(VLOOKUP(Y534,TD!$K$47:$L$65,2,0)," ")</f>
        <v>PM/0131/0108/45030150255</v>
      </c>
      <c r="AB534" s="53" t="s">
        <v>120</v>
      </c>
      <c r="AC534" s="188" t="s">
        <v>204</v>
      </c>
    </row>
    <row r="535" spans="2:29" s="28" customFormat="1" ht="56" x14ac:dyDescent="0.35">
      <c r="B535" s="77">
        <v>20250548</v>
      </c>
      <c r="C535" s="50" t="s">
        <v>209</v>
      </c>
      <c r="D535" s="184" t="s">
        <v>166</v>
      </c>
      <c r="E535" s="51" t="s">
        <v>558</v>
      </c>
      <c r="F535" s="184" t="s">
        <v>660</v>
      </c>
      <c r="G535" s="184" t="s">
        <v>155</v>
      </c>
      <c r="H535" s="93" t="s">
        <v>609</v>
      </c>
      <c r="I535" s="185">
        <v>2</v>
      </c>
      <c r="J535" s="185">
        <v>11</v>
      </c>
      <c r="K535" s="52">
        <v>0</v>
      </c>
      <c r="L535" s="53">
        <v>54694112</v>
      </c>
      <c r="M535" s="184" t="s">
        <v>464</v>
      </c>
      <c r="N535" s="53" t="s">
        <v>610</v>
      </c>
      <c r="O535" s="51" t="s">
        <v>230</v>
      </c>
      <c r="P535" s="186" t="str">
        <f>IFERROR(VLOOKUP(C535,TD!$B$33:$F$37,2,0)," ")</f>
        <v>O230117</v>
      </c>
      <c r="Q535" s="186" t="str">
        <f>IFERROR(VLOOKUP(C535,TD!$B$33:$F$37,3,0)," ")</f>
        <v>4503</v>
      </c>
      <c r="R535" s="186">
        <f>IFERROR(VLOOKUP(C535,TD!$B$33:$F$37,4,0)," ")</f>
        <v>20240255</v>
      </c>
      <c r="S535" s="51" t="s">
        <v>185</v>
      </c>
      <c r="T535" s="186" t="str">
        <f>IFERROR(VLOOKUP(S535,TD!$J$34:$K$44,2,0)," ")</f>
        <v>Infraestructura física, mantenimiento y dotación (Sedes construidas, mantenidas reforzadas)</v>
      </c>
      <c r="U535" s="187" t="str">
        <f>CONCATENATE(S535,"-",T535)</f>
        <v>08-Infraestructura física, mantenimiento y dotación (Sedes construidas, mantenidas reforzadas)</v>
      </c>
      <c r="V535" s="51" t="s">
        <v>294</v>
      </c>
      <c r="W535" s="186" t="str">
        <f>IFERROR(VLOOKUP(V535,TD!$N$34:$O$46,2,0)," ")</f>
        <v>Documentos de lineamientos técnicos</v>
      </c>
      <c r="X535" s="187" t="str">
        <f>CONCATENATE(V535,"_",W535)</f>
        <v>031__Documentos de lineamientos técnicos</v>
      </c>
      <c r="Y535" s="187" t="str">
        <f>CONCATENATE(U535," ",X535)</f>
        <v>08-Infraestructura física, mantenimiento y dotación (Sedes construidas, mantenidas reforzadas) 031__Documentos de lineamientos técnicos</v>
      </c>
      <c r="Z535" s="186" t="str">
        <f>CONCATENATE(P535,Q535,R535,S535,V535)</f>
        <v>O23011745032024025508031_</v>
      </c>
      <c r="AA535" s="186" t="str">
        <f>IFERROR(VLOOKUP(Y535,TD!$K$47:$L$65,2,0)," ")</f>
        <v>PM/0131/0108/45030310255</v>
      </c>
      <c r="AB535" s="53" t="s">
        <v>665</v>
      </c>
      <c r="AC535" s="188" t="s">
        <v>204</v>
      </c>
    </row>
    <row r="536" spans="2:29" s="28" customFormat="1" ht="112" x14ac:dyDescent="0.35">
      <c r="B536" s="77">
        <v>20250549</v>
      </c>
      <c r="C536" s="50" t="s">
        <v>209</v>
      </c>
      <c r="D536" s="184" t="s">
        <v>166</v>
      </c>
      <c r="E536" s="51" t="s">
        <v>558</v>
      </c>
      <c r="F536" s="184" t="s">
        <v>661</v>
      </c>
      <c r="G536" s="184" t="s">
        <v>155</v>
      </c>
      <c r="H536" s="93" t="s">
        <v>609</v>
      </c>
      <c r="I536" s="185">
        <v>2</v>
      </c>
      <c r="J536" s="185">
        <v>11</v>
      </c>
      <c r="K536" s="52">
        <v>0</v>
      </c>
      <c r="L536" s="53">
        <v>54291951</v>
      </c>
      <c r="M536" s="184" t="s">
        <v>464</v>
      </c>
      <c r="N536" s="53" t="s">
        <v>610</v>
      </c>
      <c r="O536" s="51" t="s">
        <v>227</v>
      </c>
      <c r="P536" s="186" t="str">
        <f>IFERROR(VLOOKUP(C536,TD!$B$33:$F$37,2,0)," ")</f>
        <v>O230117</v>
      </c>
      <c r="Q536" s="186" t="str">
        <f>IFERROR(VLOOKUP(C536,TD!$B$33:$F$37,3,0)," ")</f>
        <v>4503</v>
      </c>
      <c r="R536" s="186">
        <f>IFERROR(VLOOKUP(C536,TD!$B$33:$F$37,4,0)," ")</f>
        <v>20240255</v>
      </c>
      <c r="S536" s="51" t="s">
        <v>185</v>
      </c>
      <c r="T536" s="186" t="str">
        <f>IFERROR(VLOOKUP(S536,TD!$J$34:$K$44,2,0)," ")</f>
        <v>Infraestructura física, mantenimiento y dotación (Sedes construidas, mantenidas reforzadas)</v>
      </c>
      <c r="U536" s="187" t="str">
        <f>CONCATENATE(S536,"-",T536)</f>
        <v>08-Infraestructura física, mantenimiento y dotación (Sedes construidas, mantenidas reforzadas)</v>
      </c>
      <c r="V536" s="51" t="s">
        <v>236</v>
      </c>
      <c r="W536" s="186" t="str">
        <f>IFERROR(VLOOKUP(V536,TD!$N$34:$O$46,2,0)," ")</f>
        <v>Estaciones de bomberos adecuadas</v>
      </c>
      <c r="X536" s="187" t="str">
        <f>CONCATENATE(V536,"_",W536)</f>
        <v>014_Estaciones de bomberos adecuadas</v>
      </c>
      <c r="Y536" s="187" t="str">
        <f>CONCATENATE(U536," ",X536)</f>
        <v>08-Infraestructura física, mantenimiento y dotación (Sedes construidas, mantenidas reforzadas) 014_Estaciones de bomberos adecuadas</v>
      </c>
      <c r="Z536" s="186" t="str">
        <f>CONCATENATE(P536,Q536,R536,S536,V536)</f>
        <v>O23011745032024025508014</v>
      </c>
      <c r="AA536" s="186" t="str">
        <f>IFERROR(VLOOKUP(Y536,TD!$K$47:$L$65,2,0)," ")</f>
        <v>PM/0131/0108/45030140255</v>
      </c>
      <c r="AB536" s="53" t="s">
        <v>665</v>
      </c>
      <c r="AC536" s="188" t="s">
        <v>204</v>
      </c>
    </row>
    <row r="537" spans="2:29" s="28" customFormat="1" ht="84" x14ac:dyDescent="0.35">
      <c r="B537" s="77">
        <v>20250550</v>
      </c>
      <c r="C537" s="50" t="s">
        <v>209</v>
      </c>
      <c r="D537" s="184" t="s">
        <v>166</v>
      </c>
      <c r="E537" s="51" t="s">
        <v>558</v>
      </c>
      <c r="F537" s="184" t="s">
        <v>662</v>
      </c>
      <c r="G537" s="184" t="s">
        <v>155</v>
      </c>
      <c r="H537" s="93" t="s">
        <v>609</v>
      </c>
      <c r="I537" s="185">
        <v>2</v>
      </c>
      <c r="J537" s="185">
        <v>11</v>
      </c>
      <c r="K537" s="52">
        <v>0</v>
      </c>
      <c r="L537" s="53">
        <v>60000000</v>
      </c>
      <c r="M537" s="184" t="s">
        <v>464</v>
      </c>
      <c r="N537" s="53" t="s">
        <v>610</v>
      </c>
      <c r="O537" s="51" t="s">
        <v>227</v>
      </c>
      <c r="P537" s="186" t="str">
        <f>IFERROR(VLOOKUP(C537,TD!$B$33:$F$37,2,0)," ")</f>
        <v>O230117</v>
      </c>
      <c r="Q537" s="186" t="str">
        <f>IFERROR(VLOOKUP(C537,TD!$B$33:$F$37,3,0)," ")</f>
        <v>4503</v>
      </c>
      <c r="R537" s="186">
        <f>IFERROR(VLOOKUP(C537,TD!$B$33:$F$37,4,0)," ")</f>
        <v>20240255</v>
      </c>
      <c r="S537" s="51" t="s">
        <v>185</v>
      </c>
      <c r="T537" s="186" t="str">
        <f>IFERROR(VLOOKUP(S537,TD!$J$34:$K$44,2,0)," ")</f>
        <v>Infraestructura física, mantenimiento y dotación (Sedes construidas, mantenidas reforzadas)</v>
      </c>
      <c r="U537" s="187" t="str">
        <f>CONCATENATE(S537,"-",T537)</f>
        <v>08-Infraestructura física, mantenimiento y dotación (Sedes construidas, mantenidas reforzadas)</v>
      </c>
      <c r="V537" s="51" t="s">
        <v>236</v>
      </c>
      <c r="W537" s="186" t="str">
        <f>IFERROR(VLOOKUP(V537,TD!$N$34:$O$46,2,0)," ")</f>
        <v>Estaciones de bomberos adecuadas</v>
      </c>
      <c r="X537" s="187" t="str">
        <f>CONCATENATE(V537,"_",W537)</f>
        <v>014_Estaciones de bomberos adecuadas</v>
      </c>
      <c r="Y537" s="187" t="str">
        <f>CONCATENATE(U537," ",X537)</f>
        <v>08-Infraestructura física, mantenimiento y dotación (Sedes construidas, mantenidas reforzadas) 014_Estaciones de bomberos adecuadas</v>
      </c>
      <c r="Z537" s="186" t="str">
        <f>CONCATENATE(P537,Q537,R537,S537,V537)</f>
        <v>O23011745032024025508014</v>
      </c>
      <c r="AA537" s="186" t="str">
        <f>IFERROR(VLOOKUP(Y537,TD!$K$47:$L$65,2,0)," ")</f>
        <v>PM/0131/0108/45030140255</v>
      </c>
      <c r="AB537" s="53" t="s">
        <v>665</v>
      </c>
      <c r="AC537" s="188" t="s">
        <v>204</v>
      </c>
    </row>
    <row r="538" spans="2:29" s="28" customFormat="1" ht="56" x14ac:dyDescent="0.35">
      <c r="B538" s="77">
        <v>20250551</v>
      </c>
      <c r="C538" s="50" t="s">
        <v>208</v>
      </c>
      <c r="D538" s="184" t="s">
        <v>166</v>
      </c>
      <c r="E538" s="51" t="s">
        <v>558</v>
      </c>
      <c r="F538" s="184" t="s">
        <v>568</v>
      </c>
      <c r="G538" s="184" t="s">
        <v>156</v>
      </c>
      <c r="H538" s="93" t="s">
        <v>609</v>
      </c>
      <c r="I538" s="185">
        <v>2</v>
      </c>
      <c r="J538" s="185">
        <v>11</v>
      </c>
      <c r="K538" s="52">
        <v>0</v>
      </c>
      <c r="L538" s="53">
        <v>25336251</v>
      </c>
      <c r="M538" s="184" t="s">
        <v>464</v>
      </c>
      <c r="N538" s="53" t="s">
        <v>610</v>
      </c>
      <c r="O538" s="51" t="s">
        <v>219</v>
      </c>
      <c r="P538" s="186" t="str">
        <f>IFERROR(VLOOKUP(C538,TD!$B$33:$F$37,2,0)," ")</f>
        <v>O230117</v>
      </c>
      <c r="Q538" s="186" t="str">
        <f>IFERROR(VLOOKUP(C538,TD!$B$33:$F$37,3,0)," ")</f>
        <v>4599</v>
      </c>
      <c r="R538" s="186">
        <f>IFERROR(VLOOKUP(C538,TD!$B$33:$F$37,4,0)," ")</f>
        <v>20240207</v>
      </c>
      <c r="S538" s="51" t="s">
        <v>185</v>
      </c>
      <c r="T538" s="186" t="str">
        <f>IFERROR(VLOOKUP(S538,TD!$J$34:$K$44,2,0)," ")</f>
        <v>Infraestructura física, mantenimiento y dotación (Sedes construidas, mantenidas reforzadas)</v>
      </c>
      <c r="U538" s="187" t="str">
        <f>CONCATENATE(S538,"-",T538)</f>
        <v>08-Infraestructura física, mantenimiento y dotación (Sedes construidas, mantenidas reforzadas)</v>
      </c>
      <c r="V538" s="51" t="s">
        <v>238</v>
      </c>
      <c r="W538" s="186" t="str">
        <f>IFERROR(VLOOKUP(V538,TD!$N$34:$O$46,2,0)," ")</f>
        <v>Sedes mantenidas</v>
      </c>
      <c r="X538" s="187" t="str">
        <f>CONCATENATE(V538,"_",W538)</f>
        <v>016_Sedes mantenidas</v>
      </c>
      <c r="Y538" s="187" t="str">
        <f>CONCATENATE(U538," ",X538)</f>
        <v>08-Infraestructura física, mantenimiento y dotación (Sedes construidas, mantenidas reforzadas) 016_Sedes mantenidas</v>
      </c>
      <c r="Z538" s="186" t="str">
        <f>CONCATENATE(P538,Q538,R538,S538,V538)</f>
        <v>O23011745992024020708016</v>
      </c>
      <c r="AA538" s="186" t="str">
        <f>IFERROR(VLOOKUP(Y538,TD!$K$47:$L$65,2,0)," ")</f>
        <v>PM/0131/0108/45990160207</v>
      </c>
      <c r="AB538" s="53" t="s">
        <v>138</v>
      </c>
      <c r="AC538" s="188" t="s">
        <v>204</v>
      </c>
    </row>
    <row r="539" spans="2:29" s="28" customFormat="1" ht="70" x14ac:dyDescent="0.35">
      <c r="B539" s="77">
        <v>20250552</v>
      </c>
      <c r="C539" s="50" t="s">
        <v>208</v>
      </c>
      <c r="D539" s="184" t="s">
        <v>166</v>
      </c>
      <c r="E539" s="51" t="s">
        <v>558</v>
      </c>
      <c r="F539" s="184" t="s">
        <v>568</v>
      </c>
      <c r="G539" s="184" t="s">
        <v>156</v>
      </c>
      <c r="H539" s="93" t="s">
        <v>609</v>
      </c>
      <c r="I539" s="185">
        <v>2</v>
      </c>
      <c r="J539" s="185">
        <v>11</v>
      </c>
      <c r="K539" s="52">
        <v>0</v>
      </c>
      <c r="L539" s="53">
        <v>25336251</v>
      </c>
      <c r="M539" s="184" t="s">
        <v>464</v>
      </c>
      <c r="N539" s="53" t="s">
        <v>610</v>
      </c>
      <c r="O539" s="51" t="s">
        <v>219</v>
      </c>
      <c r="P539" s="186" t="str">
        <f>IFERROR(VLOOKUP(C539,TD!$B$33:$F$37,2,0)," ")</f>
        <v>O230117</v>
      </c>
      <c r="Q539" s="186" t="str">
        <f>IFERROR(VLOOKUP(C539,TD!$B$33:$F$37,3,0)," ")</f>
        <v>4599</v>
      </c>
      <c r="R539" s="186">
        <f>IFERROR(VLOOKUP(C539,TD!$B$33:$F$37,4,0)," ")</f>
        <v>20240207</v>
      </c>
      <c r="S539" s="51" t="s">
        <v>185</v>
      </c>
      <c r="T539" s="186" t="str">
        <f>IFERROR(VLOOKUP(S539,TD!$J$34:$K$44,2,0)," ")</f>
        <v>Infraestructura física, mantenimiento y dotación (Sedes construidas, mantenidas reforzadas)</v>
      </c>
      <c r="U539" s="187" t="str">
        <f>CONCATENATE(S539,"-",T539)</f>
        <v>08-Infraestructura física, mantenimiento y dotación (Sedes construidas, mantenidas reforzadas)</v>
      </c>
      <c r="V539" s="51" t="s">
        <v>238</v>
      </c>
      <c r="W539" s="186" t="str">
        <f>IFERROR(VLOOKUP(V539,TD!$N$34:$O$46,2,0)," ")</f>
        <v>Sedes mantenidas</v>
      </c>
      <c r="X539" s="187" t="str">
        <f>CONCATENATE(V539,"_",W539)</f>
        <v>016_Sedes mantenidas</v>
      </c>
      <c r="Y539" s="187" t="str">
        <f>CONCATENATE(U539," ",X539)</f>
        <v>08-Infraestructura física, mantenimiento y dotación (Sedes construidas, mantenidas reforzadas) 016_Sedes mantenidas</v>
      </c>
      <c r="Z539" s="186" t="str">
        <f>CONCATENATE(P539,Q539,R539,S539,V539)</f>
        <v>O23011745992024020708016</v>
      </c>
      <c r="AA539" s="186" t="str">
        <f>IFERROR(VLOOKUP(Y539,TD!$K$47:$L$65,2,0)," ")</f>
        <v>PM/0131/0108/45990160207</v>
      </c>
      <c r="AB539" s="53" t="s">
        <v>138</v>
      </c>
      <c r="AC539" s="188" t="s">
        <v>204</v>
      </c>
    </row>
    <row r="540" spans="2:29" s="28" customFormat="1" ht="154" x14ac:dyDescent="0.35">
      <c r="B540" s="77">
        <v>20250553</v>
      </c>
      <c r="C540" s="50" t="s">
        <v>208</v>
      </c>
      <c r="D540" s="184" t="s">
        <v>166</v>
      </c>
      <c r="E540" s="51" t="s">
        <v>558</v>
      </c>
      <c r="F540" s="184" t="s">
        <v>957</v>
      </c>
      <c r="G540" s="184" t="s">
        <v>155</v>
      </c>
      <c r="H540" s="93" t="s">
        <v>609</v>
      </c>
      <c r="I540" s="185">
        <v>2</v>
      </c>
      <c r="J540" s="185">
        <v>6</v>
      </c>
      <c r="K540" s="52">
        <v>0</v>
      </c>
      <c r="L540" s="53">
        <v>30965000</v>
      </c>
      <c r="M540" s="184" t="s">
        <v>464</v>
      </c>
      <c r="N540" s="53" t="s">
        <v>610</v>
      </c>
      <c r="O540" s="51" t="s">
        <v>218</v>
      </c>
      <c r="P540" s="186" t="str">
        <f>IFERROR(VLOOKUP(C540,TD!$B$33:$F$37,2,0)," ")</f>
        <v>O230117</v>
      </c>
      <c r="Q540" s="186" t="str">
        <f>IFERROR(VLOOKUP(C540,TD!$B$33:$F$37,3,0)," ")</f>
        <v>4599</v>
      </c>
      <c r="R540" s="186">
        <f>IFERROR(VLOOKUP(C540,TD!$B$33:$F$37,4,0)," ")</f>
        <v>20240207</v>
      </c>
      <c r="S540" s="51" t="s">
        <v>185</v>
      </c>
      <c r="T540" s="186" t="str">
        <f>IFERROR(VLOOKUP(S540,TD!$J$34:$K$44,2,0)," ")</f>
        <v>Infraestructura física, mantenimiento y dotación (Sedes construidas, mantenidas reforzadas)</v>
      </c>
      <c r="U540" s="187" t="str">
        <f>CONCATENATE(S540,"-",T540)</f>
        <v>08-Infraestructura física, mantenimiento y dotación (Sedes construidas, mantenidas reforzadas)</v>
      </c>
      <c r="V540" s="51" t="s">
        <v>238</v>
      </c>
      <c r="W540" s="186" t="str">
        <f>IFERROR(VLOOKUP(V540,TD!$N$34:$O$46,2,0)," ")</f>
        <v>Sedes mantenidas</v>
      </c>
      <c r="X540" s="187" t="str">
        <f>CONCATENATE(V540,"_",W540)</f>
        <v>016_Sedes mantenidas</v>
      </c>
      <c r="Y540" s="187" t="str">
        <f>CONCATENATE(U540," ",X540)</f>
        <v>08-Infraestructura física, mantenimiento y dotación (Sedes construidas, mantenidas reforzadas) 016_Sedes mantenidas</v>
      </c>
      <c r="Z540" s="186" t="str">
        <f>CONCATENATE(P540,Q540,R540,S540,V540)</f>
        <v>O23011745992024020708016</v>
      </c>
      <c r="AA540" s="186" t="str">
        <f>IFERROR(VLOOKUP(Y540,TD!$K$47:$L$65,2,0)," ")</f>
        <v>PM/0131/0108/45990160207</v>
      </c>
      <c r="AB540" s="53" t="s">
        <v>138</v>
      </c>
      <c r="AC540" s="188" t="s">
        <v>204</v>
      </c>
    </row>
    <row r="541" spans="2:29" s="28" customFormat="1" ht="56" x14ac:dyDescent="0.35">
      <c r="B541" s="77">
        <v>20250554</v>
      </c>
      <c r="C541" s="50" t="s">
        <v>208</v>
      </c>
      <c r="D541" s="184" t="s">
        <v>166</v>
      </c>
      <c r="E541" s="51" t="s">
        <v>558</v>
      </c>
      <c r="F541" s="184" t="s">
        <v>587</v>
      </c>
      <c r="G541" s="184" t="s">
        <v>156</v>
      </c>
      <c r="H541" s="93" t="s">
        <v>609</v>
      </c>
      <c r="I541" s="185">
        <v>2</v>
      </c>
      <c r="J541" s="185">
        <v>11</v>
      </c>
      <c r="K541" s="52">
        <v>0</v>
      </c>
      <c r="L541" s="53">
        <v>22521112</v>
      </c>
      <c r="M541" s="184" t="s">
        <v>464</v>
      </c>
      <c r="N541" s="53" t="s">
        <v>610</v>
      </c>
      <c r="O541" s="51" t="s">
        <v>219</v>
      </c>
      <c r="P541" s="186" t="str">
        <f>IFERROR(VLOOKUP(C541,TD!$B$33:$F$37,2,0)," ")</f>
        <v>O230117</v>
      </c>
      <c r="Q541" s="186" t="str">
        <f>IFERROR(VLOOKUP(C541,TD!$B$33:$F$37,3,0)," ")</f>
        <v>4599</v>
      </c>
      <c r="R541" s="186">
        <f>IFERROR(VLOOKUP(C541,TD!$B$33:$F$37,4,0)," ")</f>
        <v>20240207</v>
      </c>
      <c r="S541" s="51" t="s">
        <v>185</v>
      </c>
      <c r="T541" s="186" t="str">
        <f>IFERROR(VLOOKUP(S541,TD!$J$34:$K$44,2,0)," ")</f>
        <v>Infraestructura física, mantenimiento y dotación (Sedes construidas, mantenidas reforzadas)</v>
      </c>
      <c r="U541" s="187" t="str">
        <f>CONCATENATE(S541,"-",T541)</f>
        <v>08-Infraestructura física, mantenimiento y dotación (Sedes construidas, mantenidas reforzadas)</v>
      </c>
      <c r="V541" s="51" t="s">
        <v>238</v>
      </c>
      <c r="W541" s="186" t="str">
        <f>IFERROR(VLOOKUP(V541,TD!$N$34:$O$46,2,0)," ")</f>
        <v>Sedes mantenidas</v>
      </c>
      <c r="X541" s="187" t="str">
        <f>CONCATENATE(V541,"_",W541)</f>
        <v>016_Sedes mantenidas</v>
      </c>
      <c r="Y541" s="187" t="str">
        <f>CONCATENATE(U541," ",X541)</f>
        <v>08-Infraestructura física, mantenimiento y dotación (Sedes construidas, mantenidas reforzadas) 016_Sedes mantenidas</v>
      </c>
      <c r="Z541" s="186" t="str">
        <f>CONCATENATE(P541,Q541,R541,S541,V541)</f>
        <v>O23011745992024020708016</v>
      </c>
      <c r="AA541" s="186" t="str">
        <f>IFERROR(VLOOKUP(Y541,TD!$K$47:$L$65,2,0)," ")</f>
        <v>PM/0131/0108/45990160207</v>
      </c>
      <c r="AB541" s="53" t="s">
        <v>138</v>
      </c>
      <c r="AC541" s="188" t="s">
        <v>204</v>
      </c>
    </row>
    <row r="542" spans="2:29" s="28" customFormat="1" ht="56" x14ac:dyDescent="0.35">
      <c r="B542" s="77">
        <v>20250555</v>
      </c>
      <c r="C542" s="50" t="s">
        <v>208</v>
      </c>
      <c r="D542" s="184" t="s">
        <v>166</v>
      </c>
      <c r="E542" s="51" t="s">
        <v>558</v>
      </c>
      <c r="F542" s="184" t="s">
        <v>587</v>
      </c>
      <c r="G542" s="184" t="s">
        <v>156</v>
      </c>
      <c r="H542" s="93" t="s">
        <v>609</v>
      </c>
      <c r="I542" s="185">
        <v>2</v>
      </c>
      <c r="J542" s="185">
        <v>11</v>
      </c>
      <c r="K542" s="52">
        <v>0</v>
      </c>
      <c r="L542" s="53">
        <v>30564360</v>
      </c>
      <c r="M542" s="184" t="s">
        <v>464</v>
      </c>
      <c r="N542" s="53" t="s">
        <v>610</v>
      </c>
      <c r="O542" s="51" t="s">
        <v>219</v>
      </c>
      <c r="P542" s="186" t="str">
        <f>IFERROR(VLOOKUP(C542,TD!$B$33:$F$37,2,0)," ")</f>
        <v>O230117</v>
      </c>
      <c r="Q542" s="186" t="str">
        <f>IFERROR(VLOOKUP(C542,TD!$B$33:$F$37,3,0)," ")</f>
        <v>4599</v>
      </c>
      <c r="R542" s="186">
        <f>IFERROR(VLOOKUP(C542,TD!$B$33:$F$37,4,0)," ")</f>
        <v>20240207</v>
      </c>
      <c r="S542" s="51" t="s">
        <v>185</v>
      </c>
      <c r="T542" s="186" t="str">
        <f>IFERROR(VLOOKUP(S542,TD!$J$34:$K$44,2,0)," ")</f>
        <v>Infraestructura física, mantenimiento y dotación (Sedes construidas, mantenidas reforzadas)</v>
      </c>
      <c r="U542" s="187" t="str">
        <f>CONCATENATE(S542,"-",T542)</f>
        <v>08-Infraestructura física, mantenimiento y dotación (Sedes construidas, mantenidas reforzadas)</v>
      </c>
      <c r="V542" s="51" t="s">
        <v>238</v>
      </c>
      <c r="W542" s="186" t="str">
        <f>IFERROR(VLOOKUP(V542,TD!$N$34:$O$46,2,0)," ")</f>
        <v>Sedes mantenidas</v>
      </c>
      <c r="X542" s="187" t="str">
        <f>CONCATENATE(V542,"_",W542)</f>
        <v>016_Sedes mantenidas</v>
      </c>
      <c r="Y542" s="187" t="str">
        <f>CONCATENATE(U542," ",X542)</f>
        <v>08-Infraestructura física, mantenimiento y dotación (Sedes construidas, mantenidas reforzadas) 016_Sedes mantenidas</v>
      </c>
      <c r="Z542" s="186" t="str">
        <f>CONCATENATE(P542,Q542,R542,S542,V542)</f>
        <v>O23011745992024020708016</v>
      </c>
      <c r="AA542" s="186" t="str">
        <f>IFERROR(VLOOKUP(Y542,TD!$K$47:$L$65,2,0)," ")</f>
        <v>PM/0131/0108/45990160207</v>
      </c>
      <c r="AB542" s="53" t="s">
        <v>138</v>
      </c>
      <c r="AC542" s="188" t="s">
        <v>204</v>
      </c>
    </row>
    <row r="543" spans="2:29" s="28" customFormat="1" ht="56" x14ac:dyDescent="0.35">
      <c r="B543" s="77">
        <v>20250556</v>
      </c>
      <c r="C543" s="50" t="s">
        <v>208</v>
      </c>
      <c r="D543" s="184" t="s">
        <v>166</v>
      </c>
      <c r="E543" s="51" t="s">
        <v>558</v>
      </c>
      <c r="F543" s="184" t="s">
        <v>663</v>
      </c>
      <c r="G543" s="184" t="s">
        <v>156</v>
      </c>
      <c r="H543" s="93" t="s">
        <v>609</v>
      </c>
      <c r="I543" s="185">
        <v>2</v>
      </c>
      <c r="J543" s="185">
        <v>11</v>
      </c>
      <c r="K543" s="52">
        <v>0</v>
      </c>
      <c r="L543" s="53">
        <v>25336251</v>
      </c>
      <c r="M543" s="184" t="s">
        <v>464</v>
      </c>
      <c r="N543" s="53" t="s">
        <v>610</v>
      </c>
      <c r="O543" s="51" t="s">
        <v>219</v>
      </c>
      <c r="P543" s="186" t="str">
        <f>IFERROR(VLOOKUP(C543,TD!$B$33:$F$37,2,0)," ")</f>
        <v>O230117</v>
      </c>
      <c r="Q543" s="186" t="str">
        <f>IFERROR(VLOOKUP(C543,TD!$B$33:$F$37,3,0)," ")</f>
        <v>4599</v>
      </c>
      <c r="R543" s="186">
        <f>IFERROR(VLOOKUP(C543,TD!$B$33:$F$37,4,0)," ")</f>
        <v>20240207</v>
      </c>
      <c r="S543" s="51" t="s">
        <v>185</v>
      </c>
      <c r="T543" s="186" t="str">
        <f>IFERROR(VLOOKUP(S543,TD!$J$34:$K$44,2,0)," ")</f>
        <v>Infraestructura física, mantenimiento y dotación (Sedes construidas, mantenidas reforzadas)</v>
      </c>
      <c r="U543" s="187" t="str">
        <f>CONCATENATE(S543,"-",T543)</f>
        <v>08-Infraestructura física, mantenimiento y dotación (Sedes construidas, mantenidas reforzadas)</v>
      </c>
      <c r="V543" s="51" t="s">
        <v>238</v>
      </c>
      <c r="W543" s="186" t="str">
        <f>IFERROR(VLOOKUP(V543,TD!$N$34:$O$46,2,0)," ")</f>
        <v>Sedes mantenidas</v>
      </c>
      <c r="X543" s="187" t="str">
        <f>CONCATENATE(V543,"_",W543)</f>
        <v>016_Sedes mantenidas</v>
      </c>
      <c r="Y543" s="187" t="str">
        <f>CONCATENATE(U543," ",X543)</f>
        <v>08-Infraestructura física, mantenimiento y dotación (Sedes construidas, mantenidas reforzadas) 016_Sedes mantenidas</v>
      </c>
      <c r="Z543" s="186" t="str">
        <f>CONCATENATE(P543,Q543,R543,S543,V543)</f>
        <v>O23011745992024020708016</v>
      </c>
      <c r="AA543" s="186" t="str">
        <f>IFERROR(VLOOKUP(Y543,TD!$K$47:$L$65,2,0)," ")</f>
        <v>PM/0131/0108/45990160207</v>
      </c>
      <c r="AB543" s="53" t="s">
        <v>138</v>
      </c>
      <c r="AC543" s="188" t="s">
        <v>204</v>
      </c>
    </row>
    <row r="544" spans="2:29" s="28" customFormat="1" ht="56" x14ac:dyDescent="0.35">
      <c r="B544" s="77">
        <v>20250557</v>
      </c>
      <c r="C544" s="50" t="s">
        <v>208</v>
      </c>
      <c r="D544" s="184" t="s">
        <v>166</v>
      </c>
      <c r="E544" s="51" t="s">
        <v>558</v>
      </c>
      <c r="F544" s="184" t="s">
        <v>664</v>
      </c>
      <c r="G544" s="184" t="s">
        <v>156</v>
      </c>
      <c r="H544" s="93" t="s">
        <v>609</v>
      </c>
      <c r="I544" s="185">
        <v>2</v>
      </c>
      <c r="J544" s="185">
        <v>11</v>
      </c>
      <c r="K544" s="52">
        <v>0</v>
      </c>
      <c r="L544" s="53">
        <v>38607615</v>
      </c>
      <c r="M544" s="184" t="s">
        <v>464</v>
      </c>
      <c r="N544" s="53" t="s">
        <v>610</v>
      </c>
      <c r="O544" s="51" t="s">
        <v>219</v>
      </c>
      <c r="P544" s="186" t="str">
        <f>IFERROR(VLOOKUP(C544,TD!$B$33:$F$37,2,0)," ")</f>
        <v>O230117</v>
      </c>
      <c r="Q544" s="186" t="str">
        <f>IFERROR(VLOOKUP(C544,TD!$B$33:$F$37,3,0)," ")</f>
        <v>4599</v>
      </c>
      <c r="R544" s="186">
        <f>IFERROR(VLOOKUP(C544,TD!$B$33:$F$37,4,0)," ")</f>
        <v>20240207</v>
      </c>
      <c r="S544" s="51" t="s">
        <v>185</v>
      </c>
      <c r="T544" s="186" t="str">
        <f>IFERROR(VLOOKUP(S544,TD!$J$34:$K$44,2,0)," ")</f>
        <v>Infraestructura física, mantenimiento y dotación (Sedes construidas, mantenidas reforzadas)</v>
      </c>
      <c r="U544" s="187" t="str">
        <f>CONCATENATE(S544,"-",T544)</f>
        <v>08-Infraestructura física, mantenimiento y dotación (Sedes construidas, mantenidas reforzadas)</v>
      </c>
      <c r="V544" s="51" t="s">
        <v>238</v>
      </c>
      <c r="W544" s="186" t="str">
        <f>IFERROR(VLOOKUP(V544,TD!$N$34:$O$46,2,0)," ")</f>
        <v>Sedes mantenidas</v>
      </c>
      <c r="X544" s="187" t="str">
        <f>CONCATENATE(V544,"_",W544)</f>
        <v>016_Sedes mantenidas</v>
      </c>
      <c r="Y544" s="187" t="str">
        <f>CONCATENATE(U544," ",X544)</f>
        <v>08-Infraestructura física, mantenimiento y dotación (Sedes construidas, mantenidas reforzadas) 016_Sedes mantenidas</v>
      </c>
      <c r="Z544" s="186" t="str">
        <f>CONCATENATE(P544,Q544,R544,S544,V544)</f>
        <v>O23011745992024020708016</v>
      </c>
      <c r="AA544" s="186" t="str">
        <f>IFERROR(VLOOKUP(Y544,TD!$K$47:$L$65,2,0)," ")</f>
        <v>PM/0131/0108/45990160207</v>
      </c>
      <c r="AB544" s="53" t="s">
        <v>138</v>
      </c>
      <c r="AC544" s="188" t="s">
        <v>204</v>
      </c>
    </row>
    <row r="545" spans="2:29" s="28" customFormat="1" ht="56" x14ac:dyDescent="0.35">
      <c r="B545" s="127">
        <v>20250558</v>
      </c>
      <c r="C545" s="50" t="s">
        <v>346</v>
      </c>
      <c r="D545" s="184" t="s">
        <v>166</v>
      </c>
      <c r="E545" s="51" t="s">
        <v>558</v>
      </c>
      <c r="F545" s="184" t="s">
        <v>648</v>
      </c>
      <c r="G545" s="184" t="s">
        <v>96</v>
      </c>
      <c r="H545" s="93" t="s">
        <v>630</v>
      </c>
      <c r="I545" s="185">
        <v>2</v>
      </c>
      <c r="J545" s="185">
        <v>4</v>
      </c>
      <c r="K545" s="52">
        <v>0</v>
      </c>
      <c r="L545" s="53">
        <f>240000000+200000000</f>
        <v>440000000</v>
      </c>
      <c r="M545" s="184" t="s">
        <v>172</v>
      </c>
      <c r="N545" s="53" t="s">
        <v>85</v>
      </c>
      <c r="O545" s="51" t="s">
        <v>347</v>
      </c>
      <c r="P545" s="186" t="str">
        <f>IFERROR(VLOOKUP(C545,TD!$B$33:$F$37,2,0)," ")</f>
        <v>NA</v>
      </c>
      <c r="Q545" s="186" t="str">
        <f>IFERROR(VLOOKUP(C545,TD!$B$33:$F$37,3,0)," ")</f>
        <v>NA</v>
      </c>
      <c r="R545" s="186" t="str">
        <f>IFERROR(VLOOKUP(C545,TD!$B$33:$F$37,4,0)," ")</f>
        <v>NA</v>
      </c>
      <c r="S545" s="51" t="s">
        <v>406</v>
      </c>
      <c r="T545" s="186" t="str">
        <f>IFERROR(VLOOKUP(S545,TD!$J$34:$K$44,2,0)," ")</f>
        <v>N/A</v>
      </c>
      <c r="U545" s="187" t="str">
        <f>CONCATENATE(S545,"-",T545)</f>
        <v>N/A-N/A</v>
      </c>
      <c r="V545" s="51" t="s">
        <v>406</v>
      </c>
      <c r="W545" s="186" t="str">
        <f>IFERROR(VLOOKUP(V545,TD!$N$34:$O$46,2,0)," ")</f>
        <v>N/A</v>
      </c>
      <c r="X545" s="187" t="str">
        <f>CONCATENATE(V545,"_",W545)</f>
        <v>N/A_N/A</v>
      </c>
      <c r="Y545" s="187" t="str">
        <f>CONCATENATE(U545," ",X545)</f>
        <v>N/A-N/A N/A_N/A</v>
      </c>
      <c r="Z545" s="186" t="str">
        <f>CONCATENATE(P545,Q545,R545,S545,V545)</f>
        <v>NANANAN/AN/A</v>
      </c>
      <c r="AA545" s="186" t="str">
        <f>IFERROR(VLOOKUP(Y545,TD!$K$47:$L$65,2,0)," ")</f>
        <v>N/A</v>
      </c>
      <c r="AB545" s="53" t="s">
        <v>666</v>
      </c>
      <c r="AC545" s="188" t="s">
        <v>205</v>
      </c>
    </row>
    <row r="546" spans="2:29" s="28" customFormat="1" ht="70" x14ac:dyDescent="0.35">
      <c r="B546" s="127">
        <v>20250559</v>
      </c>
      <c r="C546" s="129" t="s">
        <v>346</v>
      </c>
      <c r="D546" s="189" t="s">
        <v>162</v>
      </c>
      <c r="E546" s="190" t="s">
        <v>355</v>
      </c>
      <c r="F546" s="189" t="s">
        <v>934</v>
      </c>
      <c r="G546" s="189" t="s">
        <v>157</v>
      </c>
      <c r="H546" s="130" t="s">
        <v>670</v>
      </c>
      <c r="I546" s="191">
        <v>8</v>
      </c>
      <c r="J546" s="191">
        <v>6</v>
      </c>
      <c r="K546" s="126">
        <v>0</v>
      </c>
      <c r="L546" s="125">
        <v>82808364</v>
      </c>
      <c r="M546" s="189" t="s">
        <v>172</v>
      </c>
      <c r="N546" s="125" t="s">
        <v>95</v>
      </c>
      <c r="O546" s="190" t="s">
        <v>347</v>
      </c>
      <c r="P546" s="192" t="str">
        <f>IFERROR(VLOOKUP(C546,TD!$B$33:$F$37,2,0)," ")</f>
        <v>NA</v>
      </c>
      <c r="Q546" s="192" t="str">
        <f>IFERROR(VLOOKUP(C546,TD!$B$33:$F$37,3,0)," ")</f>
        <v>NA</v>
      </c>
      <c r="R546" s="192" t="str">
        <f>IFERROR(VLOOKUP(C546,TD!$B$33:$F$37,4,0)," ")</f>
        <v>NA</v>
      </c>
      <c r="S546" s="190" t="s">
        <v>406</v>
      </c>
      <c r="T546" s="192" t="str">
        <f>IFERROR(VLOOKUP(S546,TD!$J$34:$K$44,2,0)," ")</f>
        <v>N/A</v>
      </c>
      <c r="U546" s="187" t="str">
        <f>CONCATENATE(S546,"-",T546)</f>
        <v>N/A-N/A</v>
      </c>
      <c r="V546" s="190" t="s">
        <v>406</v>
      </c>
      <c r="W546" s="192" t="str">
        <f>IFERROR(VLOOKUP(V546,TD!$N$34:$O$46,2,0)," ")</f>
        <v>N/A</v>
      </c>
      <c r="X546" s="187" t="str">
        <f>CONCATENATE(V546,"_",W546)</f>
        <v>N/A_N/A</v>
      </c>
      <c r="Y546" s="187" t="str">
        <f>CONCATENATE(U546," ",X546)</f>
        <v>N/A-N/A N/A_N/A</v>
      </c>
      <c r="Z546" s="192" t="str">
        <f>CONCATENATE(P546,Q546,R546,S546,V546)</f>
        <v>NANANAN/AN/A</v>
      </c>
      <c r="AA546" s="192" t="str">
        <f>IFERROR(VLOOKUP(Y546,TD!$K$47:$L$65,2,0)," ")</f>
        <v>N/A</v>
      </c>
      <c r="AB546" s="125" t="s">
        <v>442</v>
      </c>
      <c r="AC546" s="193" t="s">
        <v>204</v>
      </c>
    </row>
    <row r="547" spans="2:29" s="28" customFormat="1" ht="70" x14ac:dyDescent="0.35">
      <c r="B547" s="127">
        <v>20250560</v>
      </c>
      <c r="C547" s="129" t="s">
        <v>346</v>
      </c>
      <c r="D547" s="189" t="s">
        <v>162</v>
      </c>
      <c r="E547" s="190" t="s">
        <v>355</v>
      </c>
      <c r="F547" s="189" t="s">
        <v>667</v>
      </c>
      <c r="G547" s="189" t="s">
        <v>154</v>
      </c>
      <c r="H547" s="130">
        <v>81112100</v>
      </c>
      <c r="I547" s="191">
        <v>3</v>
      </c>
      <c r="J547" s="191">
        <v>12</v>
      </c>
      <c r="K547" s="126">
        <v>0</v>
      </c>
      <c r="L547" s="125">
        <v>514061636</v>
      </c>
      <c r="M547" s="189" t="s">
        <v>172</v>
      </c>
      <c r="N547" s="125" t="s">
        <v>113</v>
      </c>
      <c r="O547" s="190" t="s">
        <v>347</v>
      </c>
      <c r="P547" s="192" t="str">
        <f>IFERROR(VLOOKUP(C547,TD!$B$33:$F$37,2,0)," ")</f>
        <v>NA</v>
      </c>
      <c r="Q547" s="192" t="str">
        <f>IFERROR(VLOOKUP(C547,TD!$B$33:$F$37,3,0)," ")</f>
        <v>NA</v>
      </c>
      <c r="R547" s="192" t="str">
        <f>IFERROR(VLOOKUP(C547,TD!$B$33:$F$37,4,0)," ")</f>
        <v>NA</v>
      </c>
      <c r="S547" s="190" t="s">
        <v>406</v>
      </c>
      <c r="T547" s="192" t="str">
        <f>IFERROR(VLOOKUP(S547,TD!$J$34:$K$44,2,0)," ")</f>
        <v>N/A</v>
      </c>
      <c r="U547" s="187" t="str">
        <f>CONCATENATE(S547,"-",T547)</f>
        <v>N/A-N/A</v>
      </c>
      <c r="V547" s="190" t="s">
        <v>406</v>
      </c>
      <c r="W547" s="192" t="str">
        <f>IFERROR(VLOOKUP(V547,TD!$N$34:$O$46,2,0)," ")</f>
        <v>N/A</v>
      </c>
      <c r="X547" s="187" t="str">
        <f>CONCATENATE(V547,"_",W547)</f>
        <v>N/A_N/A</v>
      </c>
      <c r="Y547" s="187" t="str">
        <f>CONCATENATE(U547," ",X547)</f>
        <v>N/A-N/A N/A_N/A</v>
      </c>
      <c r="Z547" s="192" t="str">
        <f>CONCATENATE(P547,Q547,R547,S547,V547)</f>
        <v>NANANAN/AN/A</v>
      </c>
      <c r="AA547" s="192" t="str">
        <f>IFERROR(VLOOKUP(Y547,TD!$K$47:$L$65,2,0)," ")</f>
        <v>N/A</v>
      </c>
      <c r="AB547" s="125" t="s">
        <v>443</v>
      </c>
      <c r="AC547" s="193" t="s">
        <v>204</v>
      </c>
    </row>
    <row r="548" spans="2:29" s="28" customFormat="1" ht="70" x14ac:dyDescent="0.35">
      <c r="B548" s="127">
        <v>20250561</v>
      </c>
      <c r="C548" s="129" t="s">
        <v>346</v>
      </c>
      <c r="D548" s="189" t="s">
        <v>162</v>
      </c>
      <c r="E548" s="190" t="s">
        <v>355</v>
      </c>
      <c r="F548" s="189" t="s">
        <v>668</v>
      </c>
      <c r="G548" s="189" t="s">
        <v>149</v>
      </c>
      <c r="H548" s="130" t="s">
        <v>671</v>
      </c>
      <c r="I548" s="191">
        <v>11</v>
      </c>
      <c r="J548" s="191">
        <v>12</v>
      </c>
      <c r="K548" s="126">
        <v>0</v>
      </c>
      <c r="L548" s="125">
        <v>43000000</v>
      </c>
      <c r="M548" s="189" t="s">
        <v>172</v>
      </c>
      <c r="N548" s="125" t="s">
        <v>123</v>
      </c>
      <c r="O548" s="190" t="s">
        <v>347</v>
      </c>
      <c r="P548" s="192" t="str">
        <f>IFERROR(VLOOKUP(C548,TD!$B$33:$F$37,2,0)," ")</f>
        <v>NA</v>
      </c>
      <c r="Q548" s="192" t="str">
        <f>IFERROR(VLOOKUP(C548,TD!$B$33:$F$37,3,0)," ")</f>
        <v>NA</v>
      </c>
      <c r="R548" s="192" t="str">
        <f>IFERROR(VLOOKUP(C548,TD!$B$33:$F$37,4,0)," ")</f>
        <v>NA</v>
      </c>
      <c r="S548" s="190" t="s">
        <v>406</v>
      </c>
      <c r="T548" s="192" t="str">
        <f>IFERROR(VLOOKUP(S548,TD!$J$34:$K$44,2,0)," ")</f>
        <v>N/A</v>
      </c>
      <c r="U548" s="187" t="str">
        <f>CONCATENATE(S548,"-",T548)</f>
        <v>N/A-N/A</v>
      </c>
      <c r="V548" s="190" t="s">
        <v>406</v>
      </c>
      <c r="W548" s="192" t="str">
        <f>IFERROR(VLOOKUP(V548,TD!$N$34:$O$46,2,0)," ")</f>
        <v>N/A</v>
      </c>
      <c r="X548" s="187" t="str">
        <f>CONCATENATE(V548,"_",W548)</f>
        <v>N/A_N/A</v>
      </c>
      <c r="Y548" s="187" t="str">
        <f>CONCATENATE(U548," ",X548)</f>
        <v>N/A-N/A N/A_N/A</v>
      </c>
      <c r="Z548" s="192" t="str">
        <f>CONCATENATE(P548,Q548,R548,S548,V548)</f>
        <v>NANANAN/AN/A</v>
      </c>
      <c r="AA548" s="192" t="str">
        <f>IFERROR(VLOOKUP(Y548,TD!$K$47:$L$65,2,0)," ")</f>
        <v>N/A</v>
      </c>
      <c r="AB548" s="125" t="s">
        <v>444</v>
      </c>
      <c r="AC548" s="193" t="s">
        <v>204</v>
      </c>
    </row>
    <row r="549" spans="2:29" s="28" customFormat="1" ht="70" x14ac:dyDescent="0.35">
      <c r="B549" s="77">
        <v>20250562</v>
      </c>
      <c r="C549" s="50" t="s">
        <v>346</v>
      </c>
      <c r="D549" s="184" t="s">
        <v>162</v>
      </c>
      <c r="E549" s="51" t="s">
        <v>355</v>
      </c>
      <c r="F549" s="184" t="s">
        <v>669</v>
      </c>
      <c r="G549" s="184" t="s">
        <v>158</v>
      </c>
      <c r="H549" s="93" t="s">
        <v>672</v>
      </c>
      <c r="I549" s="185">
        <v>11</v>
      </c>
      <c r="J549" s="185">
        <v>12</v>
      </c>
      <c r="K549" s="52">
        <v>0</v>
      </c>
      <c r="L549" s="53">
        <v>13000000</v>
      </c>
      <c r="M549" s="184" t="s">
        <v>172</v>
      </c>
      <c r="N549" s="53" t="s">
        <v>100</v>
      </c>
      <c r="O549" s="51" t="s">
        <v>347</v>
      </c>
      <c r="P549" s="186" t="str">
        <f>IFERROR(VLOOKUP(C549,TD!$B$33:$F$37,2,0)," ")</f>
        <v>NA</v>
      </c>
      <c r="Q549" s="186" t="str">
        <f>IFERROR(VLOOKUP(C549,TD!$B$33:$F$37,3,0)," ")</f>
        <v>NA</v>
      </c>
      <c r="R549" s="186" t="str">
        <f>IFERROR(VLOOKUP(C549,TD!$B$33:$F$37,4,0)," ")</f>
        <v>NA</v>
      </c>
      <c r="S549" s="51" t="s">
        <v>406</v>
      </c>
      <c r="T549" s="186" t="str">
        <f>IFERROR(VLOOKUP(S549,TD!$J$34:$K$44,2,0)," ")</f>
        <v>N/A</v>
      </c>
      <c r="U549" s="187" t="str">
        <f>CONCATENATE(S549,"-",T549)</f>
        <v>N/A-N/A</v>
      </c>
      <c r="V549" s="51" t="s">
        <v>406</v>
      </c>
      <c r="W549" s="186" t="str">
        <f>IFERROR(VLOOKUP(V549,TD!$N$34:$O$46,2,0)," ")</f>
        <v>N/A</v>
      </c>
      <c r="X549" s="187" t="str">
        <f>CONCATENATE(V549,"_",W549)</f>
        <v>N/A_N/A</v>
      </c>
      <c r="Y549" s="187" t="str">
        <f>CONCATENATE(U549," ",X549)</f>
        <v>N/A-N/A N/A_N/A</v>
      </c>
      <c r="Z549" s="186" t="str">
        <f>CONCATENATE(P549,Q549,R549,S549,V549)</f>
        <v>NANANAN/AN/A</v>
      </c>
      <c r="AA549" s="186" t="str">
        <f>IFERROR(VLOOKUP(Y549,TD!$K$47:$L$65,2,0)," ")</f>
        <v>N/A</v>
      </c>
      <c r="AB549" s="53" t="s">
        <v>443</v>
      </c>
      <c r="AC549" s="188" t="s">
        <v>204</v>
      </c>
    </row>
    <row r="550" spans="2:29" s="28" customFormat="1" ht="70" x14ac:dyDescent="0.35">
      <c r="B550" s="77">
        <v>20250563</v>
      </c>
      <c r="C550" s="50" t="s">
        <v>208</v>
      </c>
      <c r="D550" s="184" t="s">
        <v>45</v>
      </c>
      <c r="E550" s="51" t="s">
        <v>355</v>
      </c>
      <c r="F550" s="184" t="s">
        <v>673</v>
      </c>
      <c r="G550" s="184" t="s">
        <v>155</v>
      </c>
      <c r="H550" s="93">
        <v>80111600</v>
      </c>
      <c r="I550" s="185">
        <v>2</v>
      </c>
      <c r="J550" s="185">
        <v>8</v>
      </c>
      <c r="K550" s="52">
        <v>0</v>
      </c>
      <c r="L550" s="53">
        <v>64000000</v>
      </c>
      <c r="M550" s="184" t="s">
        <v>464</v>
      </c>
      <c r="N550" s="53" t="s">
        <v>113</v>
      </c>
      <c r="O550" s="51" t="s">
        <v>219</v>
      </c>
      <c r="P550" s="186" t="str">
        <f>IFERROR(VLOOKUP(C550,TD!$B$33:$F$37,2,0)," ")</f>
        <v>O230117</v>
      </c>
      <c r="Q550" s="186" t="str">
        <f>IFERROR(VLOOKUP(C550,TD!$B$33:$F$37,3,0)," ")</f>
        <v>4599</v>
      </c>
      <c r="R550" s="186">
        <f>IFERROR(VLOOKUP(C550,TD!$B$33:$F$37,4,0)," ")</f>
        <v>20240207</v>
      </c>
      <c r="S550" s="51" t="s">
        <v>185</v>
      </c>
      <c r="T550" s="186" t="str">
        <f>IFERROR(VLOOKUP(S550,TD!$J$34:$K$44,2,0)," ")</f>
        <v>Infraestructura física, mantenimiento y dotación (Sedes construidas, mantenidas reforzadas)</v>
      </c>
      <c r="U550" s="187" t="str">
        <f>CONCATENATE(S550,"-",T550)</f>
        <v>08-Infraestructura física, mantenimiento y dotación (Sedes construidas, mantenidas reforzadas)</v>
      </c>
      <c r="V550" s="51" t="s">
        <v>238</v>
      </c>
      <c r="W550" s="186" t="str">
        <f>IFERROR(VLOOKUP(V550,TD!$N$34:$O$46,2,0)," ")</f>
        <v>Sedes mantenidas</v>
      </c>
      <c r="X550" s="187" t="str">
        <f>CONCATENATE(V550,"_",W550)</f>
        <v>016_Sedes mantenidas</v>
      </c>
      <c r="Y550" s="187" t="str">
        <f>CONCATENATE(U550," ",X550)</f>
        <v>08-Infraestructura física, mantenimiento y dotación (Sedes construidas, mantenidas reforzadas) 016_Sedes mantenidas</v>
      </c>
      <c r="Z550" s="186" t="str">
        <f>CONCATENATE(P550,Q550,R550,S550,V550)</f>
        <v>O23011745992024020708016</v>
      </c>
      <c r="AA550" s="186" t="str">
        <f>IFERROR(VLOOKUP(Y550,TD!$K$47:$L$65,2,0)," ")</f>
        <v>PM/0131/0108/45990160207</v>
      </c>
      <c r="AB550" s="53" t="s">
        <v>138</v>
      </c>
      <c r="AC550" s="188" t="s">
        <v>204</v>
      </c>
    </row>
    <row r="551" spans="2:29" s="28" customFormat="1" ht="56" x14ac:dyDescent="0.35">
      <c r="B551" s="77">
        <v>20250564</v>
      </c>
      <c r="C551" s="50" t="s">
        <v>208</v>
      </c>
      <c r="D551" s="184" t="s">
        <v>45</v>
      </c>
      <c r="E551" s="51" t="s">
        <v>355</v>
      </c>
      <c r="F551" s="184" t="s">
        <v>674</v>
      </c>
      <c r="G551" s="184" t="s">
        <v>155</v>
      </c>
      <c r="H551" s="93">
        <v>80111600</v>
      </c>
      <c r="I551" s="185">
        <v>2</v>
      </c>
      <c r="J551" s="185">
        <v>8</v>
      </c>
      <c r="K551" s="52">
        <v>0</v>
      </c>
      <c r="L551" s="53">
        <v>72000000</v>
      </c>
      <c r="M551" s="184" t="s">
        <v>464</v>
      </c>
      <c r="N551" s="53" t="s">
        <v>113</v>
      </c>
      <c r="O551" s="51" t="s">
        <v>219</v>
      </c>
      <c r="P551" s="186" t="str">
        <f>IFERROR(VLOOKUP(C551,TD!$B$33:$F$37,2,0)," ")</f>
        <v>O230117</v>
      </c>
      <c r="Q551" s="186" t="str">
        <f>IFERROR(VLOOKUP(C551,TD!$B$33:$F$37,3,0)," ")</f>
        <v>4599</v>
      </c>
      <c r="R551" s="186">
        <f>IFERROR(VLOOKUP(C551,TD!$B$33:$F$37,4,0)," ")</f>
        <v>20240207</v>
      </c>
      <c r="S551" s="51" t="s">
        <v>185</v>
      </c>
      <c r="T551" s="186" t="str">
        <f>IFERROR(VLOOKUP(S551,TD!$J$34:$K$44,2,0)," ")</f>
        <v>Infraestructura física, mantenimiento y dotación (Sedes construidas, mantenidas reforzadas)</v>
      </c>
      <c r="U551" s="187" t="str">
        <f>CONCATENATE(S551,"-",T551)</f>
        <v>08-Infraestructura física, mantenimiento y dotación (Sedes construidas, mantenidas reforzadas)</v>
      </c>
      <c r="V551" s="51" t="s">
        <v>238</v>
      </c>
      <c r="W551" s="186" t="str">
        <f>IFERROR(VLOOKUP(V551,TD!$N$34:$O$46,2,0)," ")</f>
        <v>Sedes mantenidas</v>
      </c>
      <c r="X551" s="187" t="str">
        <f>CONCATENATE(V551,"_",W551)</f>
        <v>016_Sedes mantenidas</v>
      </c>
      <c r="Y551" s="187" t="str">
        <f>CONCATENATE(U551," ",X551)</f>
        <v>08-Infraestructura física, mantenimiento y dotación (Sedes construidas, mantenidas reforzadas) 016_Sedes mantenidas</v>
      </c>
      <c r="Z551" s="186" t="str">
        <f>CONCATENATE(P551,Q551,R551,S551,V551)</f>
        <v>O23011745992024020708016</v>
      </c>
      <c r="AA551" s="186" t="str">
        <f>IFERROR(VLOOKUP(Y551,TD!$K$47:$L$65,2,0)," ")</f>
        <v>PM/0131/0108/45990160207</v>
      </c>
      <c r="AB551" s="53" t="s">
        <v>138</v>
      </c>
      <c r="AC551" s="188" t="s">
        <v>204</v>
      </c>
    </row>
    <row r="552" spans="2:29" s="28" customFormat="1" ht="56" x14ac:dyDescent="0.35">
      <c r="B552" s="77">
        <v>20250565</v>
      </c>
      <c r="C552" s="50" t="s">
        <v>208</v>
      </c>
      <c r="D552" s="184" t="s">
        <v>161</v>
      </c>
      <c r="E552" s="51" t="s">
        <v>355</v>
      </c>
      <c r="F552" s="184" t="s">
        <v>703</v>
      </c>
      <c r="G552" s="184" t="s">
        <v>156</v>
      </c>
      <c r="H552" s="93">
        <v>80111600</v>
      </c>
      <c r="I552" s="185">
        <v>2</v>
      </c>
      <c r="J552" s="185">
        <v>6</v>
      </c>
      <c r="K552" s="52">
        <v>0</v>
      </c>
      <c r="L552" s="53">
        <v>26400000</v>
      </c>
      <c r="M552" s="184" t="s">
        <v>464</v>
      </c>
      <c r="N552" s="53" t="s">
        <v>113</v>
      </c>
      <c r="O552" s="51" t="s">
        <v>220</v>
      </c>
      <c r="P552" s="186" t="str">
        <f>IFERROR(VLOOKUP(C552,TD!$B$33:$F$37,2,0)," ")</f>
        <v>O230117</v>
      </c>
      <c r="Q552" s="186" t="str">
        <f>IFERROR(VLOOKUP(C552,TD!$B$33:$F$37,3,0)," ")</f>
        <v>4599</v>
      </c>
      <c r="R552" s="186">
        <f>IFERROR(VLOOKUP(C552,TD!$B$33:$F$37,4,0)," ")</f>
        <v>20240207</v>
      </c>
      <c r="S552" s="51" t="s">
        <v>193</v>
      </c>
      <c r="T552" s="186" t="str">
        <f>IFERROR(VLOOKUP(S552,TD!$J$34:$K$44,2,0)," ")</f>
        <v>Servicios para la planeación y sistemas de gestión y comunicación estratégica</v>
      </c>
      <c r="U552" s="187" t="str">
        <f>CONCATENATE(S552,"-",T552)</f>
        <v>13-Servicios para la planeación y sistemas de gestión y comunicación estratégica</v>
      </c>
      <c r="V552" s="51" t="s">
        <v>242</v>
      </c>
      <c r="W552" s="186" t="str">
        <f>IFERROR(VLOOKUP(V552,TD!$N$34:$O$46,2,0)," ")</f>
        <v>Documentos de planeación</v>
      </c>
      <c r="X552" s="187" t="str">
        <f>CONCATENATE(V552,"_",W552)</f>
        <v>019_Documentos de planeación</v>
      </c>
      <c r="Y552" s="187" t="str">
        <f>CONCATENATE(U552," ",X552)</f>
        <v>13-Servicios para la planeación y sistemas de gestión y comunicación estratégica 019_Documentos de planeación</v>
      </c>
      <c r="Z552" s="186" t="str">
        <f>CONCATENATE(P552,Q552,R552,S552,V552)</f>
        <v>O23011745992024020713019</v>
      </c>
      <c r="AA552" s="186" t="str">
        <f>IFERROR(VLOOKUP(Y552,TD!$K$47:$L$65,2,0)," ")</f>
        <v>PM/0131/0113/45990190207</v>
      </c>
      <c r="AB552" s="53" t="s">
        <v>138</v>
      </c>
      <c r="AC552" s="188" t="s">
        <v>204</v>
      </c>
    </row>
    <row r="553" spans="2:29" s="28" customFormat="1" ht="56" x14ac:dyDescent="0.35">
      <c r="B553" s="77">
        <v>20250566</v>
      </c>
      <c r="C553" s="50" t="s">
        <v>208</v>
      </c>
      <c r="D553" s="184" t="s">
        <v>161</v>
      </c>
      <c r="E553" s="51" t="s">
        <v>355</v>
      </c>
      <c r="F553" s="184" t="s">
        <v>677</v>
      </c>
      <c r="G553" s="184" t="s">
        <v>155</v>
      </c>
      <c r="H553" s="93">
        <v>80111600</v>
      </c>
      <c r="I553" s="185">
        <v>11</v>
      </c>
      <c r="J553" s="185">
        <v>2</v>
      </c>
      <c r="K553" s="52">
        <v>15</v>
      </c>
      <c r="L553" s="53">
        <v>12500000</v>
      </c>
      <c r="M553" s="184" t="s">
        <v>464</v>
      </c>
      <c r="N553" s="53" t="s">
        <v>113</v>
      </c>
      <c r="O553" s="51" t="s">
        <v>220</v>
      </c>
      <c r="P553" s="186" t="s">
        <v>198</v>
      </c>
      <c r="Q553" s="186" t="s">
        <v>200</v>
      </c>
      <c r="R553" s="186">
        <v>20240207</v>
      </c>
      <c r="S553" s="51" t="s">
        <v>193</v>
      </c>
      <c r="T553" s="186" t="s">
        <v>194</v>
      </c>
      <c r="U553" s="187" t="s">
        <v>1126</v>
      </c>
      <c r="V553" s="51" t="s">
        <v>242</v>
      </c>
      <c r="W553" s="186" t="s">
        <v>255</v>
      </c>
      <c r="X553" s="187" t="s">
        <v>1127</v>
      </c>
      <c r="Y553" s="187" t="s">
        <v>292</v>
      </c>
      <c r="Z553" s="186" t="s">
        <v>322</v>
      </c>
      <c r="AA553" s="186" t="s">
        <v>273</v>
      </c>
      <c r="AB553" s="53" t="s">
        <v>138</v>
      </c>
      <c r="AC553" s="188" t="s">
        <v>204</v>
      </c>
    </row>
    <row r="554" spans="2:29" s="28" customFormat="1" ht="70" x14ac:dyDescent="0.35">
      <c r="B554" s="77">
        <v>20250567</v>
      </c>
      <c r="C554" s="50" t="s">
        <v>208</v>
      </c>
      <c r="D554" s="184" t="s">
        <v>45</v>
      </c>
      <c r="E554" s="51" t="s">
        <v>355</v>
      </c>
      <c r="F554" s="184" t="s">
        <v>675</v>
      </c>
      <c r="G554" s="184" t="s">
        <v>155</v>
      </c>
      <c r="H554" s="93">
        <v>80111600</v>
      </c>
      <c r="I554" s="185">
        <v>2</v>
      </c>
      <c r="J554" s="185">
        <v>8</v>
      </c>
      <c r="K554" s="52">
        <v>0</v>
      </c>
      <c r="L554" s="53">
        <v>64000000</v>
      </c>
      <c r="M554" s="184" t="s">
        <v>464</v>
      </c>
      <c r="N554" s="53" t="s">
        <v>113</v>
      </c>
      <c r="O554" s="51" t="s">
        <v>219</v>
      </c>
      <c r="P554" s="186" t="str">
        <f>IFERROR(VLOOKUP(C554,TD!$B$33:$F$37,2,0)," ")</f>
        <v>O230117</v>
      </c>
      <c r="Q554" s="186" t="str">
        <f>IFERROR(VLOOKUP(C554,TD!$B$33:$F$37,3,0)," ")</f>
        <v>4599</v>
      </c>
      <c r="R554" s="186">
        <f>IFERROR(VLOOKUP(C554,TD!$B$33:$F$37,4,0)," ")</f>
        <v>20240207</v>
      </c>
      <c r="S554" s="51" t="s">
        <v>185</v>
      </c>
      <c r="T554" s="186" t="str">
        <f>IFERROR(VLOOKUP(S554,TD!$J$34:$K$44,2,0)," ")</f>
        <v>Infraestructura física, mantenimiento y dotación (Sedes construidas, mantenidas reforzadas)</v>
      </c>
      <c r="U554" s="187" t="str">
        <f>CONCATENATE(S554,"-",T554)</f>
        <v>08-Infraestructura física, mantenimiento y dotación (Sedes construidas, mantenidas reforzadas)</v>
      </c>
      <c r="V554" s="51" t="s">
        <v>238</v>
      </c>
      <c r="W554" s="186" t="str">
        <f>IFERROR(VLOOKUP(V554,TD!$N$34:$O$46,2,0)," ")</f>
        <v>Sedes mantenidas</v>
      </c>
      <c r="X554" s="187" t="str">
        <f>CONCATENATE(V554,"_",W554)</f>
        <v>016_Sedes mantenidas</v>
      </c>
      <c r="Y554" s="187" t="str">
        <f>CONCATENATE(U554," ",X554)</f>
        <v>08-Infraestructura física, mantenimiento y dotación (Sedes construidas, mantenidas reforzadas) 016_Sedes mantenidas</v>
      </c>
      <c r="Z554" s="186" t="str">
        <f>CONCATENATE(P554,Q554,R554,S554,V554)</f>
        <v>O23011745992024020708016</v>
      </c>
      <c r="AA554" s="186" t="str">
        <f>IFERROR(VLOOKUP(Y554,TD!$K$47:$L$65,2,0)," ")</f>
        <v>PM/0131/0108/45990160207</v>
      </c>
      <c r="AB554" s="53" t="s">
        <v>138</v>
      </c>
      <c r="AC554" s="188" t="s">
        <v>204</v>
      </c>
    </row>
    <row r="555" spans="2:29" s="28" customFormat="1" ht="98" x14ac:dyDescent="0.35">
      <c r="B555" s="77">
        <v>20250568</v>
      </c>
      <c r="C555" s="50" t="s">
        <v>208</v>
      </c>
      <c r="D555" s="184" t="s">
        <v>161</v>
      </c>
      <c r="E555" s="51" t="s">
        <v>355</v>
      </c>
      <c r="F555" s="184" t="s">
        <v>676</v>
      </c>
      <c r="G555" s="184" t="s">
        <v>155</v>
      </c>
      <c r="H555" s="93">
        <v>80111600</v>
      </c>
      <c r="I555" s="185">
        <v>2</v>
      </c>
      <c r="J555" s="185">
        <v>11</v>
      </c>
      <c r="K555" s="52">
        <v>0</v>
      </c>
      <c r="L555" s="53">
        <v>73334</v>
      </c>
      <c r="M555" s="184" t="s">
        <v>464</v>
      </c>
      <c r="N555" s="53" t="s">
        <v>113</v>
      </c>
      <c r="O555" s="51" t="s">
        <v>220</v>
      </c>
      <c r="P555" s="186" t="str">
        <f>IFERROR(VLOOKUP(C555,TD!$B$33:$F$37,2,0)," ")</f>
        <v>O230117</v>
      </c>
      <c r="Q555" s="186" t="str">
        <f>IFERROR(VLOOKUP(C555,TD!$B$33:$F$37,3,0)," ")</f>
        <v>4599</v>
      </c>
      <c r="R555" s="186">
        <f>IFERROR(VLOOKUP(C555,TD!$B$33:$F$37,4,0)," ")</f>
        <v>20240207</v>
      </c>
      <c r="S555" s="51" t="s">
        <v>193</v>
      </c>
      <c r="T555" s="186" t="str">
        <f>IFERROR(VLOOKUP(S555,TD!$J$34:$K$44,2,0)," ")</f>
        <v>Servicios para la planeación y sistemas de gestión y comunicación estratégica</v>
      </c>
      <c r="U555" s="187" t="str">
        <f>CONCATENATE(S555,"-",T555)</f>
        <v>13-Servicios para la planeación y sistemas de gestión y comunicación estratégica</v>
      </c>
      <c r="V555" s="51" t="s">
        <v>242</v>
      </c>
      <c r="W555" s="186" t="str">
        <f>IFERROR(VLOOKUP(V555,TD!$N$34:$O$46,2,0)," ")</f>
        <v>Documentos de planeación</v>
      </c>
      <c r="X555" s="187" t="str">
        <f>CONCATENATE(V555,"_",W555)</f>
        <v>019_Documentos de planeación</v>
      </c>
      <c r="Y555" s="187" t="str">
        <f>CONCATENATE(U555," ",X555)</f>
        <v>13-Servicios para la planeación y sistemas de gestión y comunicación estratégica 019_Documentos de planeación</v>
      </c>
      <c r="Z555" s="186" t="str">
        <f>CONCATENATE(P555,Q555,R555,S555,V555)</f>
        <v>O23011745992024020713019</v>
      </c>
      <c r="AA555" s="186" t="str">
        <f>IFERROR(VLOOKUP(Y555,TD!$K$47:$L$65,2,0)," ")</f>
        <v>PM/0131/0113/45990190207</v>
      </c>
      <c r="AB555" s="53" t="s">
        <v>138</v>
      </c>
      <c r="AC555" s="188" t="s">
        <v>204</v>
      </c>
    </row>
    <row r="556" spans="2:29" s="28" customFormat="1" ht="56" x14ac:dyDescent="0.35">
      <c r="B556" s="77">
        <v>20250569</v>
      </c>
      <c r="C556" s="50" t="s">
        <v>209</v>
      </c>
      <c r="D556" s="184" t="s">
        <v>165</v>
      </c>
      <c r="E556" s="51" t="s">
        <v>484</v>
      </c>
      <c r="F556" s="184" t="s">
        <v>684</v>
      </c>
      <c r="G556" s="184" t="s">
        <v>155</v>
      </c>
      <c r="H556" s="93">
        <v>80111600</v>
      </c>
      <c r="I556" s="185">
        <v>2</v>
      </c>
      <c r="J556" s="185">
        <v>8</v>
      </c>
      <c r="K556" s="52">
        <v>15</v>
      </c>
      <c r="L556" s="53">
        <f>51272000-3016000</f>
        <v>48256000</v>
      </c>
      <c r="M556" s="184" t="s">
        <v>464</v>
      </c>
      <c r="N556" s="53" t="s">
        <v>113</v>
      </c>
      <c r="O556" s="51" t="s">
        <v>229</v>
      </c>
      <c r="P556" s="186" t="str">
        <f>IFERROR(VLOOKUP(C556,TD!$B$33:$F$37,2,0)," ")</f>
        <v>O230117</v>
      </c>
      <c r="Q556" s="186" t="str">
        <f>IFERROR(VLOOKUP(C556,TD!$B$33:$F$37,3,0)," ")</f>
        <v>4503</v>
      </c>
      <c r="R556" s="186">
        <f>IFERROR(VLOOKUP(C556,TD!$B$33:$F$37,4,0)," ")</f>
        <v>20240255</v>
      </c>
      <c r="S556" s="51" t="s">
        <v>183</v>
      </c>
      <c r="T556" s="186" t="str">
        <f>IFERROR(VLOOKUP(S556,TD!$J$34:$K$44,2,0)," ")</f>
        <v>Servicio de formación en gestión del riesgo de incendios para el personal UAECOB</v>
      </c>
      <c r="U556" s="187" t="str">
        <f>CONCATENATE(S556,"-",T556)</f>
        <v>07-Servicio de formación en gestión del riesgo de incendios para el personal UAECOB</v>
      </c>
      <c r="V556" s="51" t="s">
        <v>233</v>
      </c>
      <c r="W556" s="186" t="str">
        <f>IFERROR(VLOOKUP(V556,TD!$N$34:$O$46,2,0)," ")</f>
        <v>Servicio de educación informal</v>
      </c>
      <c r="X556" s="187" t="str">
        <f>CONCATENATE(V556,"_",W556)</f>
        <v>002_Servicio de educación informal</v>
      </c>
      <c r="Y556" s="187" t="str">
        <f>CONCATENATE(U556," ",X556)</f>
        <v>07-Servicio de formación en gestión del riesgo de incendios para el personal UAECOB 002_Servicio de educación informal</v>
      </c>
      <c r="Z556" s="186" t="str">
        <f>CONCATENATE(P556,Q556,R556,S556,V556)</f>
        <v>O23011745032024025507002</v>
      </c>
      <c r="AA556" s="186" t="str">
        <f>IFERROR(VLOOKUP(Y556,TD!$K$47:$L$65,2,0)," ")</f>
        <v>PM/0131/0107/45030020255</v>
      </c>
      <c r="AB556" s="125" t="s">
        <v>138</v>
      </c>
      <c r="AC556" s="188" t="s">
        <v>204</v>
      </c>
    </row>
    <row r="557" spans="2:29" s="28" customFormat="1" ht="56" x14ac:dyDescent="0.35">
      <c r="B557" s="77">
        <v>20250570</v>
      </c>
      <c r="C557" s="50" t="s">
        <v>209</v>
      </c>
      <c r="D557" s="184" t="s">
        <v>165</v>
      </c>
      <c r="E557" s="51" t="s">
        <v>484</v>
      </c>
      <c r="F557" s="184" t="s">
        <v>980</v>
      </c>
      <c r="G557" s="184" t="s">
        <v>156</v>
      </c>
      <c r="H557" s="93">
        <v>80111600</v>
      </c>
      <c r="I557" s="185">
        <v>8</v>
      </c>
      <c r="J557" s="185">
        <v>3</v>
      </c>
      <c r="K557" s="52">
        <v>0</v>
      </c>
      <c r="L557" s="53">
        <v>18500000</v>
      </c>
      <c r="M557" s="184" t="s">
        <v>464</v>
      </c>
      <c r="N557" s="53" t="s">
        <v>113</v>
      </c>
      <c r="O557" s="51" t="s">
        <v>229</v>
      </c>
      <c r="P557" s="186" t="str">
        <f>IFERROR(VLOOKUP(C557,TD!$B$33:$F$37,2,0)," ")</f>
        <v>O230117</v>
      </c>
      <c r="Q557" s="186" t="str">
        <f>IFERROR(VLOOKUP(C557,TD!$B$33:$F$37,3,0)," ")</f>
        <v>4503</v>
      </c>
      <c r="R557" s="186">
        <f>IFERROR(VLOOKUP(C557,TD!$B$33:$F$37,4,0)," ")</f>
        <v>20240255</v>
      </c>
      <c r="S557" s="51" t="s">
        <v>183</v>
      </c>
      <c r="T557" s="186" t="str">
        <f>IFERROR(VLOOKUP(S557,TD!$J$34:$K$44,2,0)," ")</f>
        <v>Servicio de formación en gestión del riesgo de incendios para el personal UAECOB</v>
      </c>
      <c r="U557" s="187" t="str">
        <f>CONCATENATE(S557,"-",T557)</f>
        <v>07-Servicio de formación en gestión del riesgo de incendios para el personal UAECOB</v>
      </c>
      <c r="V557" s="51" t="s">
        <v>233</v>
      </c>
      <c r="W557" s="186" t="str">
        <f>IFERROR(VLOOKUP(V557,TD!$N$34:$O$46,2,0)," ")</f>
        <v>Servicio de educación informal</v>
      </c>
      <c r="X557" s="187" t="str">
        <f>CONCATENATE(V557,"_",W557)</f>
        <v>002_Servicio de educación informal</v>
      </c>
      <c r="Y557" s="187" t="str">
        <f>CONCATENATE(U557," ",X557)</f>
        <v>07-Servicio de formación en gestión del riesgo de incendios para el personal UAECOB 002_Servicio de educación informal</v>
      </c>
      <c r="Z557" s="186" t="str">
        <f>CONCATENATE(P557,Q557,R557,S557,V557)</f>
        <v>O23011745032024025507002</v>
      </c>
      <c r="AA557" s="186" t="str">
        <f>IFERROR(VLOOKUP(Y557,TD!$K$47:$L$65,2,0)," ")</f>
        <v>PM/0131/0107/45030020255</v>
      </c>
      <c r="AB557" s="125" t="s">
        <v>138</v>
      </c>
      <c r="AC557" s="188" t="s">
        <v>204</v>
      </c>
    </row>
    <row r="558" spans="2:29" s="28" customFormat="1" ht="56" x14ac:dyDescent="0.35">
      <c r="B558" s="77">
        <v>20250571</v>
      </c>
      <c r="C558" s="50" t="s">
        <v>209</v>
      </c>
      <c r="D558" s="184" t="s">
        <v>165</v>
      </c>
      <c r="E558" s="51" t="s">
        <v>484</v>
      </c>
      <c r="F558" s="184" t="s">
        <v>685</v>
      </c>
      <c r="G558" s="184" t="s">
        <v>155</v>
      </c>
      <c r="H558" s="93">
        <v>80111600</v>
      </c>
      <c r="I558" s="185">
        <v>2</v>
      </c>
      <c r="J558" s="185">
        <v>11</v>
      </c>
      <c r="K558" s="52">
        <v>0</v>
      </c>
      <c r="L558" s="53">
        <v>49500000</v>
      </c>
      <c r="M558" s="184" t="s">
        <v>464</v>
      </c>
      <c r="N558" s="53" t="s">
        <v>113</v>
      </c>
      <c r="O558" s="51" t="s">
        <v>229</v>
      </c>
      <c r="P558" s="186" t="str">
        <f>IFERROR(VLOOKUP(C558,TD!$B$33:$F$37,2,0)," ")</f>
        <v>O230117</v>
      </c>
      <c r="Q558" s="186" t="str">
        <f>IFERROR(VLOOKUP(C558,TD!$B$33:$F$37,3,0)," ")</f>
        <v>4503</v>
      </c>
      <c r="R558" s="186">
        <f>IFERROR(VLOOKUP(C558,TD!$B$33:$F$37,4,0)," ")</f>
        <v>20240255</v>
      </c>
      <c r="S558" s="51" t="s">
        <v>183</v>
      </c>
      <c r="T558" s="186" t="str">
        <f>IFERROR(VLOOKUP(S558,TD!$J$34:$K$44,2,0)," ")</f>
        <v>Servicio de formación en gestión del riesgo de incendios para el personal UAECOB</v>
      </c>
      <c r="U558" s="187" t="str">
        <f>CONCATENATE(S558,"-",T558)</f>
        <v>07-Servicio de formación en gestión del riesgo de incendios para el personal UAECOB</v>
      </c>
      <c r="V558" s="51" t="s">
        <v>233</v>
      </c>
      <c r="W558" s="186" t="str">
        <f>IFERROR(VLOOKUP(V558,TD!$N$34:$O$46,2,0)," ")</f>
        <v>Servicio de educación informal</v>
      </c>
      <c r="X558" s="187" t="str">
        <f>CONCATENATE(V558,"_",W558)</f>
        <v>002_Servicio de educación informal</v>
      </c>
      <c r="Y558" s="187" t="str">
        <f>CONCATENATE(U558," ",X558)</f>
        <v>07-Servicio de formación en gestión del riesgo de incendios para el personal UAECOB 002_Servicio de educación informal</v>
      </c>
      <c r="Z558" s="186" t="str">
        <f>CONCATENATE(P558,Q558,R558,S558,V558)</f>
        <v>O23011745032024025507002</v>
      </c>
      <c r="AA558" s="186" t="str">
        <f>IFERROR(VLOOKUP(Y558,TD!$K$47:$L$65,2,0)," ")</f>
        <v>PM/0131/0107/45030020255</v>
      </c>
      <c r="AB558" s="125" t="s">
        <v>138</v>
      </c>
      <c r="AC558" s="188" t="s">
        <v>204</v>
      </c>
    </row>
    <row r="559" spans="2:29" s="28" customFormat="1" ht="56" x14ac:dyDescent="0.35">
      <c r="B559" s="77">
        <v>20250572</v>
      </c>
      <c r="C559" s="50" t="s">
        <v>209</v>
      </c>
      <c r="D559" s="184" t="s">
        <v>165</v>
      </c>
      <c r="E559" s="51" t="s">
        <v>484</v>
      </c>
      <c r="F559" s="184" t="s">
        <v>392</v>
      </c>
      <c r="G559" s="184" t="s">
        <v>155</v>
      </c>
      <c r="H559" s="93">
        <v>80111600</v>
      </c>
      <c r="I559" s="185">
        <v>2</v>
      </c>
      <c r="J559" s="185">
        <v>11</v>
      </c>
      <c r="K559" s="52">
        <v>0</v>
      </c>
      <c r="L559" s="53">
        <f>48828675-145342</f>
        <v>48683333</v>
      </c>
      <c r="M559" s="184" t="s">
        <v>464</v>
      </c>
      <c r="N559" s="53" t="s">
        <v>113</v>
      </c>
      <c r="O559" s="51" t="s">
        <v>229</v>
      </c>
      <c r="P559" s="186" t="str">
        <f>IFERROR(VLOOKUP(C559,TD!$B$33:$F$37,2,0)," ")</f>
        <v>O230117</v>
      </c>
      <c r="Q559" s="186" t="str">
        <f>IFERROR(VLOOKUP(C559,TD!$B$33:$F$37,3,0)," ")</f>
        <v>4503</v>
      </c>
      <c r="R559" s="186">
        <f>IFERROR(VLOOKUP(C559,TD!$B$33:$F$37,4,0)," ")</f>
        <v>20240255</v>
      </c>
      <c r="S559" s="51" t="s">
        <v>183</v>
      </c>
      <c r="T559" s="186" t="str">
        <f>IFERROR(VLOOKUP(S559,TD!$J$34:$K$44,2,0)," ")</f>
        <v>Servicio de formación en gestión del riesgo de incendios para el personal UAECOB</v>
      </c>
      <c r="U559" s="187" t="str">
        <f>CONCATENATE(S559,"-",T559)</f>
        <v>07-Servicio de formación en gestión del riesgo de incendios para el personal UAECOB</v>
      </c>
      <c r="V559" s="51" t="s">
        <v>233</v>
      </c>
      <c r="W559" s="186" t="str">
        <f>IFERROR(VLOOKUP(V559,TD!$N$34:$O$46,2,0)," ")</f>
        <v>Servicio de educación informal</v>
      </c>
      <c r="X559" s="187" t="str">
        <f>CONCATENATE(V559,"_",W559)</f>
        <v>002_Servicio de educación informal</v>
      </c>
      <c r="Y559" s="187" t="str">
        <f>CONCATENATE(U559," ",X559)</f>
        <v>07-Servicio de formación en gestión del riesgo de incendios para el personal UAECOB 002_Servicio de educación informal</v>
      </c>
      <c r="Z559" s="186" t="str">
        <f>CONCATENATE(P559,Q559,R559,S559,V559)</f>
        <v>O23011745032024025507002</v>
      </c>
      <c r="AA559" s="186" t="str">
        <f>IFERROR(VLOOKUP(Y559,TD!$K$47:$L$65,2,0)," ")</f>
        <v>PM/0131/0107/45030020255</v>
      </c>
      <c r="AB559" s="125" t="s">
        <v>138</v>
      </c>
      <c r="AC559" s="188" t="s">
        <v>204</v>
      </c>
    </row>
    <row r="560" spans="2:29" s="28" customFormat="1" ht="56" x14ac:dyDescent="0.35">
      <c r="B560" s="77">
        <v>20250573</v>
      </c>
      <c r="C560" s="50" t="s">
        <v>209</v>
      </c>
      <c r="D560" s="184" t="s">
        <v>165</v>
      </c>
      <c r="E560" s="51" t="s">
        <v>484</v>
      </c>
      <c r="F560" s="184" t="s">
        <v>686</v>
      </c>
      <c r="G560" s="184" t="s">
        <v>155</v>
      </c>
      <c r="H560" s="93">
        <v>80111600</v>
      </c>
      <c r="I560" s="185">
        <v>2</v>
      </c>
      <c r="J560" s="185">
        <v>11</v>
      </c>
      <c r="K560" s="52">
        <v>0</v>
      </c>
      <c r="L560" s="53">
        <f>56230900-130900</f>
        <v>56100000</v>
      </c>
      <c r="M560" s="184" t="s">
        <v>464</v>
      </c>
      <c r="N560" s="53" t="s">
        <v>113</v>
      </c>
      <c r="O560" s="51" t="s">
        <v>229</v>
      </c>
      <c r="P560" s="186" t="str">
        <f>IFERROR(VLOOKUP(C560,TD!$B$33:$F$37,2,0)," ")</f>
        <v>O230117</v>
      </c>
      <c r="Q560" s="186" t="str">
        <f>IFERROR(VLOOKUP(C560,TD!$B$33:$F$37,3,0)," ")</f>
        <v>4503</v>
      </c>
      <c r="R560" s="186">
        <f>IFERROR(VLOOKUP(C560,TD!$B$33:$F$37,4,0)," ")</f>
        <v>20240255</v>
      </c>
      <c r="S560" s="51" t="s">
        <v>183</v>
      </c>
      <c r="T560" s="186" t="str">
        <f>IFERROR(VLOOKUP(S560,TD!$J$34:$K$44,2,0)," ")</f>
        <v>Servicio de formación en gestión del riesgo de incendios para el personal UAECOB</v>
      </c>
      <c r="U560" s="187" t="str">
        <f>CONCATENATE(S560,"-",T560)</f>
        <v>07-Servicio de formación en gestión del riesgo de incendios para el personal UAECOB</v>
      </c>
      <c r="V560" s="51" t="s">
        <v>233</v>
      </c>
      <c r="W560" s="186" t="str">
        <f>IFERROR(VLOOKUP(V560,TD!$N$34:$O$46,2,0)," ")</f>
        <v>Servicio de educación informal</v>
      </c>
      <c r="X560" s="187" t="str">
        <f>CONCATENATE(V560,"_",W560)</f>
        <v>002_Servicio de educación informal</v>
      </c>
      <c r="Y560" s="187" t="str">
        <f>CONCATENATE(U560," ",X560)</f>
        <v>07-Servicio de formación en gestión del riesgo de incendios para el personal UAECOB 002_Servicio de educación informal</v>
      </c>
      <c r="Z560" s="186" t="str">
        <f>CONCATENATE(P560,Q560,R560,S560,V560)</f>
        <v>O23011745032024025507002</v>
      </c>
      <c r="AA560" s="186" t="str">
        <f>IFERROR(VLOOKUP(Y560,TD!$K$47:$L$65,2,0)," ")</f>
        <v>PM/0131/0107/45030020255</v>
      </c>
      <c r="AB560" s="125" t="s">
        <v>138</v>
      </c>
      <c r="AC560" s="188" t="s">
        <v>204</v>
      </c>
    </row>
    <row r="561" spans="2:29" s="28" customFormat="1" ht="56" x14ac:dyDescent="0.35">
      <c r="B561" s="77">
        <v>20250574</v>
      </c>
      <c r="C561" s="50" t="s">
        <v>209</v>
      </c>
      <c r="D561" s="184" t="s">
        <v>165</v>
      </c>
      <c r="E561" s="51" t="s">
        <v>484</v>
      </c>
      <c r="F561" s="184" t="s">
        <v>687</v>
      </c>
      <c r="G561" s="184" t="s">
        <v>155</v>
      </c>
      <c r="H561" s="94">
        <v>80111600</v>
      </c>
      <c r="I561" s="94">
        <v>2</v>
      </c>
      <c r="J561" s="94">
        <v>11</v>
      </c>
      <c r="K561" s="52">
        <v>0</v>
      </c>
      <c r="L561" s="53">
        <f>56230900-3430900</f>
        <v>52800000</v>
      </c>
      <c r="M561" s="184" t="s">
        <v>464</v>
      </c>
      <c r="N561" s="53" t="s">
        <v>113</v>
      </c>
      <c r="O561" s="51" t="s">
        <v>229</v>
      </c>
      <c r="P561" s="186" t="str">
        <f>IFERROR(VLOOKUP(C561,TD!$B$33:$F$37,2,0)," ")</f>
        <v>O230117</v>
      </c>
      <c r="Q561" s="186" t="str">
        <f>IFERROR(VLOOKUP(C561,TD!$B$33:$F$37,3,0)," ")</f>
        <v>4503</v>
      </c>
      <c r="R561" s="186">
        <f>IFERROR(VLOOKUP(C561,TD!$B$33:$F$37,4,0)," ")</f>
        <v>20240255</v>
      </c>
      <c r="S561" s="51" t="s">
        <v>183</v>
      </c>
      <c r="T561" s="186" t="str">
        <f>IFERROR(VLOOKUP(S561,TD!$J$34:$K$44,2,0)," ")</f>
        <v>Servicio de formación en gestión del riesgo de incendios para el personal UAECOB</v>
      </c>
      <c r="U561" s="187" t="str">
        <f>CONCATENATE(S561,"-",T561)</f>
        <v>07-Servicio de formación en gestión del riesgo de incendios para el personal UAECOB</v>
      </c>
      <c r="V561" s="51" t="s">
        <v>233</v>
      </c>
      <c r="W561" s="186" t="str">
        <f>IFERROR(VLOOKUP(V561,TD!$N$34:$O$46,2,0)," ")</f>
        <v>Servicio de educación informal</v>
      </c>
      <c r="X561" s="187" t="str">
        <f>CONCATENATE(V561,"_",W561)</f>
        <v>002_Servicio de educación informal</v>
      </c>
      <c r="Y561" s="187" t="str">
        <f>CONCATENATE(U561," ",X561)</f>
        <v>07-Servicio de formación en gestión del riesgo de incendios para el personal UAECOB 002_Servicio de educación informal</v>
      </c>
      <c r="Z561" s="186" t="str">
        <f>CONCATENATE(P561,Q561,R561,S561,V561)</f>
        <v>O23011745032024025507002</v>
      </c>
      <c r="AA561" s="186" t="str">
        <f>IFERROR(VLOOKUP(Y561,TD!$K$47:$L$65,2,0)," ")</f>
        <v>PM/0131/0107/45030020255</v>
      </c>
      <c r="AB561" s="125" t="s">
        <v>138</v>
      </c>
      <c r="AC561" s="188" t="s">
        <v>204</v>
      </c>
    </row>
    <row r="562" spans="2:29" s="28" customFormat="1" ht="70" x14ac:dyDescent="0.35">
      <c r="B562" s="77">
        <v>20250575</v>
      </c>
      <c r="C562" s="50" t="s">
        <v>209</v>
      </c>
      <c r="D562" s="184" t="s">
        <v>165</v>
      </c>
      <c r="E562" s="51" t="s">
        <v>484</v>
      </c>
      <c r="F562" s="184" t="s">
        <v>688</v>
      </c>
      <c r="G562" s="184" t="s">
        <v>155</v>
      </c>
      <c r="H562" s="94">
        <v>80111600</v>
      </c>
      <c r="I562" s="94">
        <v>2</v>
      </c>
      <c r="J562" s="94">
        <v>11</v>
      </c>
      <c r="K562" s="52">
        <v>0</v>
      </c>
      <c r="L562" s="53">
        <v>76500000</v>
      </c>
      <c r="M562" s="184" t="s">
        <v>464</v>
      </c>
      <c r="N562" s="53" t="s">
        <v>113</v>
      </c>
      <c r="O562" s="51" t="s">
        <v>229</v>
      </c>
      <c r="P562" s="186" t="str">
        <f>IFERROR(VLOOKUP(C562,TD!$B$33:$F$37,2,0)," ")</f>
        <v>O230117</v>
      </c>
      <c r="Q562" s="186" t="str">
        <f>IFERROR(VLOOKUP(C562,TD!$B$33:$F$37,3,0)," ")</f>
        <v>4503</v>
      </c>
      <c r="R562" s="186">
        <f>IFERROR(VLOOKUP(C562,TD!$B$33:$F$37,4,0)," ")</f>
        <v>20240255</v>
      </c>
      <c r="S562" s="51" t="s">
        <v>183</v>
      </c>
      <c r="T562" s="186" t="str">
        <f>IFERROR(VLOOKUP(S562,TD!$J$34:$K$44,2,0)," ")</f>
        <v>Servicio de formación en gestión del riesgo de incendios para el personal UAECOB</v>
      </c>
      <c r="U562" s="187" t="str">
        <f>CONCATENATE(S562,"-",T562)</f>
        <v>07-Servicio de formación en gestión del riesgo de incendios para el personal UAECOB</v>
      </c>
      <c r="V562" s="51" t="s">
        <v>233</v>
      </c>
      <c r="W562" s="186" t="str">
        <f>IFERROR(VLOOKUP(V562,TD!$N$34:$O$46,2,0)," ")</f>
        <v>Servicio de educación informal</v>
      </c>
      <c r="X562" s="187" t="str">
        <f>CONCATENATE(V562,"_",W562)</f>
        <v>002_Servicio de educación informal</v>
      </c>
      <c r="Y562" s="187" t="str">
        <f>CONCATENATE(U562," ",X562)</f>
        <v>07-Servicio de formación en gestión del riesgo de incendios para el personal UAECOB 002_Servicio de educación informal</v>
      </c>
      <c r="Z562" s="186" t="str">
        <f>CONCATENATE(P562,Q562,R562,S562,V562)</f>
        <v>O23011745032024025507002</v>
      </c>
      <c r="AA562" s="186" t="str">
        <f>IFERROR(VLOOKUP(Y562,TD!$K$47:$L$65,2,0)," ")</f>
        <v>PM/0131/0107/45030020255</v>
      </c>
      <c r="AB562" s="125" t="s">
        <v>138</v>
      </c>
      <c r="AC562" s="188" t="s">
        <v>204</v>
      </c>
    </row>
    <row r="563" spans="2:29" s="28" customFormat="1" ht="84" x14ac:dyDescent="0.35">
      <c r="B563" s="77">
        <v>20250576</v>
      </c>
      <c r="C563" s="50" t="s">
        <v>209</v>
      </c>
      <c r="D563" s="184" t="s">
        <v>165</v>
      </c>
      <c r="E563" s="51" t="s">
        <v>484</v>
      </c>
      <c r="F563" s="184" t="s">
        <v>689</v>
      </c>
      <c r="G563" s="184" t="s">
        <v>156</v>
      </c>
      <c r="H563" s="93">
        <v>80111600</v>
      </c>
      <c r="I563" s="185">
        <v>2</v>
      </c>
      <c r="J563" s="185">
        <v>8</v>
      </c>
      <c r="K563" s="52">
        <v>0</v>
      </c>
      <c r="L563" s="53">
        <v>29600000</v>
      </c>
      <c r="M563" s="184" t="s">
        <v>464</v>
      </c>
      <c r="N563" s="53" t="s">
        <v>113</v>
      </c>
      <c r="O563" s="51" t="s">
        <v>229</v>
      </c>
      <c r="P563" s="186" t="str">
        <f>IFERROR(VLOOKUP(C563,TD!$B$33:$F$37,2,0)," ")</f>
        <v>O230117</v>
      </c>
      <c r="Q563" s="186" t="str">
        <f>IFERROR(VLOOKUP(C563,TD!$B$33:$F$37,3,0)," ")</f>
        <v>4503</v>
      </c>
      <c r="R563" s="186">
        <f>IFERROR(VLOOKUP(C563,TD!$B$33:$F$37,4,0)," ")</f>
        <v>20240255</v>
      </c>
      <c r="S563" s="51" t="s">
        <v>183</v>
      </c>
      <c r="T563" s="186" t="str">
        <f>IFERROR(VLOOKUP(S563,TD!$J$34:$K$44,2,0)," ")</f>
        <v>Servicio de formación en gestión del riesgo de incendios para el personal UAECOB</v>
      </c>
      <c r="U563" s="187" t="str">
        <f>CONCATENATE(S563,"-",T563)</f>
        <v>07-Servicio de formación en gestión del riesgo de incendios para el personal UAECOB</v>
      </c>
      <c r="V563" s="51" t="s">
        <v>233</v>
      </c>
      <c r="W563" s="186" t="str">
        <f>IFERROR(VLOOKUP(V563,TD!$N$34:$O$46,2,0)," ")</f>
        <v>Servicio de educación informal</v>
      </c>
      <c r="X563" s="187" t="str">
        <f>CONCATENATE(V563,"_",W563)</f>
        <v>002_Servicio de educación informal</v>
      </c>
      <c r="Y563" s="187" t="str">
        <f>CONCATENATE(U563," ",X563)</f>
        <v>07-Servicio de formación en gestión del riesgo de incendios para el personal UAECOB 002_Servicio de educación informal</v>
      </c>
      <c r="Z563" s="186" t="str">
        <f>CONCATENATE(P563,Q563,R563,S563,V563)</f>
        <v>O23011745032024025507002</v>
      </c>
      <c r="AA563" s="186" t="str">
        <f>IFERROR(VLOOKUP(Y563,TD!$K$47:$L$65,2,0)," ")</f>
        <v>PM/0131/0107/45030020255</v>
      </c>
      <c r="AB563" s="125" t="s">
        <v>138</v>
      </c>
      <c r="AC563" s="188" t="s">
        <v>204</v>
      </c>
    </row>
    <row r="564" spans="2:29" s="28" customFormat="1" ht="84" x14ac:dyDescent="0.35">
      <c r="B564" s="77">
        <v>20250577</v>
      </c>
      <c r="C564" s="50" t="s">
        <v>209</v>
      </c>
      <c r="D564" s="184" t="s">
        <v>165</v>
      </c>
      <c r="E564" s="51" t="s">
        <v>484</v>
      </c>
      <c r="F564" s="184" t="s">
        <v>690</v>
      </c>
      <c r="G564" s="184" t="s">
        <v>156</v>
      </c>
      <c r="H564" s="93">
        <v>80111600</v>
      </c>
      <c r="I564" s="185">
        <v>2</v>
      </c>
      <c r="J564" s="185">
        <v>8</v>
      </c>
      <c r="K564" s="52">
        <v>0</v>
      </c>
      <c r="L564" s="53">
        <f>27600000-1328000</f>
        <v>26272000</v>
      </c>
      <c r="M564" s="184" t="s">
        <v>464</v>
      </c>
      <c r="N564" s="53" t="s">
        <v>113</v>
      </c>
      <c r="O564" s="51" t="s">
        <v>229</v>
      </c>
      <c r="P564" s="186" t="str">
        <f>IFERROR(VLOOKUP(C564,TD!$B$33:$F$37,2,0)," ")</f>
        <v>O230117</v>
      </c>
      <c r="Q564" s="186" t="str">
        <f>IFERROR(VLOOKUP(C564,TD!$B$33:$F$37,3,0)," ")</f>
        <v>4503</v>
      </c>
      <c r="R564" s="186">
        <f>IFERROR(VLOOKUP(C564,TD!$B$33:$F$37,4,0)," ")</f>
        <v>20240255</v>
      </c>
      <c r="S564" s="51" t="s">
        <v>183</v>
      </c>
      <c r="T564" s="186" t="str">
        <f>IFERROR(VLOOKUP(S564,TD!$J$34:$K$44,2,0)," ")</f>
        <v>Servicio de formación en gestión del riesgo de incendios para el personal UAECOB</v>
      </c>
      <c r="U564" s="187" t="str">
        <f>CONCATENATE(S564,"-",T564)</f>
        <v>07-Servicio de formación en gestión del riesgo de incendios para el personal UAECOB</v>
      </c>
      <c r="V564" s="51" t="s">
        <v>233</v>
      </c>
      <c r="W564" s="186" t="str">
        <f>IFERROR(VLOOKUP(V564,TD!$N$34:$O$46,2,0)," ")</f>
        <v>Servicio de educación informal</v>
      </c>
      <c r="X564" s="187" t="str">
        <f>CONCATENATE(V564,"_",W564)</f>
        <v>002_Servicio de educación informal</v>
      </c>
      <c r="Y564" s="187" t="str">
        <f>CONCATENATE(U564," ",X564)</f>
        <v>07-Servicio de formación en gestión del riesgo de incendios para el personal UAECOB 002_Servicio de educación informal</v>
      </c>
      <c r="Z564" s="186" t="str">
        <f>CONCATENATE(P564,Q564,R564,S564,V564)</f>
        <v>O23011745032024025507002</v>
      </c>
      <c r="AA564" s="186" t="str">
        <f>IFERROR(VLOOKUP(Y564,TD!$K$47:$L$65,2,0)," ")</f>
        <v>PM/0131/0107/45030020255</v>
      </c>
      <c r="AB564" s="125" t="s">
        <v>138</v>
      </c>
      <c r="AC564" s="188" t="s">
        <v>204</v>
      </c>
    </row>
    <row r="565" spans="2:29" s="28" customFormat="1" ht="98" x14ac:dyDescent="0.35">
      <c r="B565" s="77">
        <v>20250578</v>
      </c>
      <c r="C565" s="50" t="s">
        <v>209</v>
      </c>
      <c r="D565" s="184" t="s">
        <v>165</v>
      </c>
      <c r="E565" s="51" t="s">
        <v>484</v>
      </c>
      <c r="F565" s="184" t="s">
        <v>691</v>
      </c>
      <c r="G565" s="184" t="s">
        <v>155</v>
      </c>
      <c r="H565" s="93">
        <v>80111600</v>
      </c>
      <c r="I565" s="185">
        <v>2</v>
      </c>
      <c r="J565" s="185">
        <v>11</v>
      </c>
      <c r="K565" s="52">
        <v>0</v>
      </c>
      <c r="L565" s="53">
        <v>45000000</v>
      </c>
      <c r="M565" s="184" t="s">
        <v>464</v>
      </c>
      <c r="N565" s="53" t="s">
        <v>113</v>
      </c>
      <c r="O565" s="51" t="s">
        <v>229</v>
      </c>
      <c r="P565" s="186" t="str">
        <f>IFERROR(VLOOKUP(C565,TD!$B$33:$F$37,2,0)," ")</f>
        <v>O230117</v>
      </c>
      <c r="Q565" s="186" t="str">
        <f>IFERROR(VLOOKUP(C565,TD!$B$33:$F$37,3,0)," ")</f>
        <v>4503</v>
      </c>
      <c r="R565" s="186">
        <f>IFERROR(VLOOKUP(C565,TD!$B$33:$F$37,4,0)," ")</f>
        <v>20240255</v>
      </c>
      <c r="S565" s="51" t="s">
        <v>183</v>
      </c>
      <c r="T565" s="186" t="str">
        <f>IFERROR(VLOOKUP(S565,TD!$J$34:$K$44,2,0)," ")</f>
        <v>Servicio de formación en gestión del riesgo de incendios para el personal UAECOB</v>
      </c>
      <c r="U565" s="187" t="str">
        <f>CONCATENATE(S565,"-",T565)</f>
        <v>07-Servicio de formación en gestión del riesgo de incendios para el personal UAECOB</v>
      </c>
      <c r="V565" s="51" t="s">
        <v>233</v>
      </c>
      <c r="W565" s="186" t="str">
        <f>IFERROR(VLOOKUP(V565,TD!$N$34:$O$46,2,0)," ")</f>
        <v>Servicio de educación informal</v>
      </c>
      <c r="X565" s="187" t="str">
        <f>CONCATENATE(V565,"_",W565)</f>
        <v>002_Servicio de educación informal</v>
      </c>
      <c r="Y565" s="187" t="str">
        <f>CONCATENATE(U565," ",X565)</f>
        <v>07-Servicio de formación en gestión del riesgo de incendios para el personal UAECOB 002_Servicio de educación informal</v>
      </c>
      <c r="Z565" s="186" t="str">
        <f>CONCATENATE(P565,Q565,R565,S565,V565)</f>
        <v>O23011745032024025507002</v>
      </c>
      <c r="AA565" s="186" t="str">
        <f>IFERROR(VLOOKUP(Y565,TD!$K$47:$L$65,2,0)," ")</f>
        <v>PM/0131/0107/45030020255</v>
      </c>
      <c r="AB565" s="125" t="s">
        <v>138</v>
      </c>
      <c r="AC565" s="188" t="s">
        <v>204</v>
      </c>
    </row>
    <row r="566" spans="2:29" s="28" customFormat="1" ht="56" x14ac:dyDescent="0.35">
      <c r="B566" s="77">
        <v>20250579</v>
      </c>
      <c r="C566" s="50" t="s">
        <v>209</v>
      </c>
      <c r="D566" s="184" t="s">
        <v>165</v>
      </c>
      <c r="E566" s="51" t="s">
        <v>484</v>
      </c>
      <c r="F566" s="184" t="s">
        <v>692</v>
      </c>
      <c r="G566" s="184" t="s">
        <v>155</v>
      </c>
      <c r="H566" s="93">
        <v>80111600</v>
      </c>
      <c r="I566" s="185">
        <v>2</v>
      </c>
      <c r="J566" s="185">
        <v>11</v>
      </c>
      <c r="K566" s="52">
        <v>0</v>
      </c>
      <c r="L566" s="53">
        <v>87546667</v>
      </c>
      <c r="M566" s="184" t="s">
        <v>464</v>
      </c>
      <c r="N566" s="53" t="s">
        <v>113</v>
      </c>
      <c r="O566" s="51" t="s">
        <v>229</v>
      </c>
      <c r="P566" s="186" t="str">
        <f>IFERROR(VLOOKUP(C566,TD!$B$33:$F$37,2,0)," ")</f>
        <v>O230117</v>
      </c>
      <c r="Q566" s="186" t="str">
        <f>IFERROR(VLOOKUP(C566,TD!$B$33:$F$37,3,0)," ")</f>
        <v>4503</v>
      </c>
      <c r="R566" s="186">
        <f>IFERROR(VLOOKUP(C566,TD!$B$33:$F$37,4,0)," ")</f>
        <v>20240255</v>
      </c>
      <c r="S566" s="51" t="s">
        <v>183</v>
      </c>
      <c r="T566" s="186" t="str">
        <f>IFERROR(VLOOKUP(S566,TD!$J$34:$K$44,2,0)," ")</f>
        <v>Servicio de formación en gestión del riesgo de incendios para el personal UAECOB</v>
      </c>
      <c r="U566" s="187" t="str">
        <f>CONCATENATE(S566,"-",T566)</f>
        <v>07-Servicio de formación en gestión del riesgo de incendios para el personal UAECOB</v>
      </c>
      <c r="V566" s="51" t="s">
        <v>233</v>
      </c>
      <c r="W566" s="186" t="str">
        <f>IFERROR(VLOOKUP(V566,TD!$N$34:$O$46,2,0)," ")</f>
        <v>Servicio de educación informal</v>
      </c>
      <c r="X566" s="187" t="str">
        <f>CONCATENATE(V566,"_",W566)</f>
        <v>002_Servicio de educación informal</v>
      </c>
      <c r="Y566" s="187" t="str">
        <f>CONCATENATE(U566," ",X566)</f>
        <v>07-Servicio de formación en gestión del riesgo de incendios para el personal UAECOB 002_Servicio de educación informal</v>
      </c>
      <c r="Z566" s="186" t="str">
        <f>CONCATENATE(P566,Q566,R566,S566,V566)</f>
        <v>O23011745032024025507002</v>
      </c>
      <c r="AA566" s="186" t="str">
        <f>IFERROR(VLOOKUP(Y566,TD!$K$47:$L$65,2,0)," ")</f>
        <v>PM/0131/0107/45030020255</v>
      </c>
      <c r="AB566" s="125" t="s">
        <v>120</v>
      </c>
      <c r="AC566" s="188" t="s">
        <v>204</v>
      </c>
    </row>
    <row r="567" spans="2:29" s="28" customFormat="1" ht="56" x14ac:dyDescent="0.35">
      <c r="B567" s="77">
        <v>20250580</v>
      </c>
      <c r="C567" s="50" t="s">
        <v>209</v>
      </c>
      <c r="D567" s="184" t="s">
        <v>165</v>
      </c>
      <c r="E567" s="51" t="s">
        <v>484</v>
      </c>
      <c r="F567" s="184" t="s">
        <v>693</v>
      </c>
      <c r="G567" s="184" t="s">
        <v>155</v>
      </c>
      <c r="H567" s="93">
        <v>80111600</v>
      </c>
      <c r="I567" s="185">
        <v>2</v>
      </c>
      <c r="J567" s="185">
        <v>11</v>
      </c>
      <c r="K567" s="52">
        <v>0</v>
      </c>
      <c r="L567" s="53">
        <v>38500000</v>
      </c>
      <c r="M567" s="184" t="s">
        <v>464</v>
      </c>
      <c r="N567" s="53" t="s">
        <v>113</v>
      </c>
      <c r="O567" s="51" t="s">
        <v>229</v>
      </c>
      <c r="P567" s="186" t="str">
        <f>IFERROR(VLOOKUP(C567,TD!$B$33:$F$37,2,0)," ")</f>
        <v>O230117</v>
      </c>
      <c r="Q567" s="186" t="str">
        <f>IFERROR(VLOOKUP(C567,TD!$B$33:$F$37,3,0)," ")</f>
        <v>4503</v>
      </c>
      <c r="R567" s="186">
        <f>IFERROR(VLOOKUP(C567,TD!$B$33:$F$37,4,0)," ")</f>
        <v>20240255</v>
      </c>
      <c r="S567" s="51" t="s">
        <v>183</v>
      </c>
      <c r="T567" s="186" t="str">
        <f>IFERROR(VLOOKUP(S567,TD!$J$34:$K$44,2,0)," ")</f>
        <v>Servicio de formación en gestión del riesgo de incendios para el personal UAECOB</v>
      </c>
      <c r="U567" s="187" t="str">
        <f>CONCATENATE(S567,"-",T567)</f>
        <v>07-Servicio de formación en gestión del riesgo de incendios para el personal UAECOB</v>
      </c>
      <c r="V567" s="51" t="s">
        <v>233</v>
      </c>
      <c r="W567" s="186" t="str">
        <f>IFERROR(VLOOKUP(V567,TD!$N$34:$O$46,2,0)," ")</f>
        <v>Servicio de educación informal</v>
      </c>
      <c r="X567" s="187" t="str">
        <f>CONCATENATE(V567,"_",W567)</f>
        <v>002_Servicio de educación informal</v>
      </c>
      <c r="Y567" s="187" t="str">
        <f>CONCATENATE(U567," ",X567)</f>
        <v>07-Servicio de formación en gestión del riesgo de incendios para el personal UAECOB 002_Servicio de educación informal</v>
      </c>
      <c r="Z567" s="186" t="str">
        <f>CONCATENATE(P567,Q567,R567,S567,V567)</f>
        <v>O23011745032024025507002</v>
      </c>
      <c r="AA567" s="186" t="str">
        <f>IFERROR(VLOOKUP(Y567,TD!$K$47:$L$65,2,0)," ")</f>
        <v>PM/0131/0107/45030020255</v>
      </c>
      <c r="AB567" s="125" t="s">
        <v>138</v>
      </c>
      <c r="AC567" s="188" t="s">
        <v>204</v>
      </c>
    </row>
    <row r="568" spans="2:29" s="28" customFormat="1" ht="56" x14ac:dyDescent="0.35">
      <c r="B568" s="77">
        <v>20250581</v>
      </c>
      <c r="C568" s="50" t="s">
        <v>209</v>
      </c>
      <c r="D568" s="184" t="s">
        <v>165</v>
      </c>
      <c r="E568" s="51" t="s">
        <v>484</v>
      </c>
      <c r="F568" s="184" t="s">
        <v>694</v>
      </c>
      <c r="G568" s="184" t="s">
        <v>155</v>
      </c>
      <c r="H568" s="93">
        <v>80111600</v>
      </c>
      <c r="I568" s="185">
        <v>2</v>
      </c>
      <c r="J568" s="185">
        <v>11</v>
      </c>
      <c r="K568" s="52">
        <v>0</v>
      </c>
      <c r="L568" s="53">
        <v>64000000</v>
      </c>
      <c r="M568" s="184" t="s">
        <v>464</v>
      </c>
      <c r="N568" s="53" t="s">
        <v>113</v>
      </c>
      <c r="O568" s="51" t="s">
        <v>229</v>
      </c>
      <c r="P568" s="186" t="str">
        <f>IFERROR(VLOOKUP(C568,TD!$B$33:$F$37,2,0)," ")</f>
        <v>O230117</v>
      </c>
      <c r="Q568" s="186" t="str">
        <f>IFERROR(VLOOKUP(C568,TD!$B$33:$F$37,3,0)," ")</f>
        <v>4503</v>
      </c>
      <c r="R568" s="186">
        <f>IFERROR(VLOOKUP(C568,TD!$B$33:$F$37,4,0)," ")</f>
        <v>20240255</v>
      </c>
      <c r="S568" s="51" t="s">
        <v>183</v>
      </c>
      <c r="T568" s="186" t="str">
        <f>IFERROR(VLOOKUP(S568,TD!$J$34:$K$44,2,0)," ")</f>
        <v>Servicio de formación en gestión del riesgo de incendios para el personal UAECOB</v>
      </c>
      <c r="U568" s="187" t="str">
        <f>CONCATENATE(S568,"-",T568)</f>
        <v>07-Servicio de formación en gestión del riesgo de incendios para el personal UAECOB</v>
      </c>
      <c r="V568" s="51" t="s">
        <v>233</v>
      </c>
      <c r="W568" s="186" t="str">
        <f>IFERROR(VLOOKUP(V568,TD!$N$34:$O$46,2,0)," ")</f>
        <v>Servicio de educación informal</v>
      </c>
      <c r="X568" s="187" t="str">
        <f>CONCATENATE(V568,"_",W568)</f>
        <v>002_Servicio de educación informal</v>
      </c>
      <c r="Y568" s="187" t="str">
        <f>CONCATENATE(U568," ",X568)</f>
        <v>07-Servicio de formación en gestión del riesgo de incendios para el personal UAECOB 002_Servicio de educación informal</v>
      </c>
      <c r="Z568" s="186" t="str">
        <f>CONCATENATE(P568,Q568,R568,S568,V568)</f>
        <v>O23011745032024025507002</v>
      </c>
      <c r="AA568" s="186" t="str">
        <f>IFERROR(VLOOKUP(Y568,TD!$K$47:$L$65,2,0)," ")</f>
        <v>PM/0131/0107/45030020255</v>
      </c>
      <c r="AB568" s="125" t="s">
        <v>138</v>
      </c>
      <c r="AC568" s="188" t="s">
        <v>204</v>
      </c>
    </row>
    <row r="569" spans="2:29" s="28" customFormat="1" ht="98" x14ac:dyDescent="0.35">
      <c r="B569" s="77">
        <v>20250582</v>
      </c>
      <c r="C569" s="50" t="s">
        <v>209</v>
      </c>
      <c r="D569" s="184" t="s">
        <v>165</v>
      </c>
      <c r="E569" s="51" t="s">
        <v>484</v>
      </c>
      <c r="F569" s="184" t="s">
        <v>815</v>
      </c>
      <c r="G569" s="184" t="s">
        <v>155</v>
      </c>
      <c r="H569" s="93">
        <v>80111600</v>
      </c>
      <c r="I569" s="185">
        <v>2</v>
      </c>
      <c r="J569" s="185">
        <v>8</v>
      </c>
      <c r="K569" s="52">
        <v>0</v>
      </c>
      <c r="L569" s="53">
        <v>56000000</v>
      </c>
      <c r="M569" s="184" t="s">
        <v>464</v>
      </c>
      <c r="N569" s="53" t="s">
        <v>113</v>
      </c>
      <c r="O569" s="51" t="s">
        <v>229</v>
      </c>
      <c r="P569" s="186" t="str">
        <f>IFERROR(VLOOKUP(C569,TD!$B$33:$F$37,2,0)," ")</f>
        <v>O230117</v>
      </c>
      <c r="Q569" s="186" t="str">
        <f>IFERROR(VLOOKUP(C569,TD!$B$33:$F$37,3,0)," ")</f>
        <v>4503</v>
      </c>
      <c r="R569" s="186">
        <f>IFERROR(VLOOKUP(C569,TD!$B$33:$F$37,4,0)," ")</f>
        <v>20240255</v>
      </c>
      <c r="S569" s="51" t="s">
        <v>183</v>
      </c>
      <c r="T569" s="186" t="str">
        <f>IFERROR(VLOOKUP(S569,TD!$J$34:$K$44,2,0)," ")</f>
        <v>Servicio de formación en gestión del riesgo de incendios para el personal UAECOB</v>
      </c>
      <c r="U569" s="187" t="str">
        <f>CONCATENATE(S569,"-",T569)</f>
        <v>07-Servicio de formación en gestión del riesgo de incendios para el personal UAECOB</v>
      </c>
      <c r="V569" s="51" t="s">
        <v>233</v>
      </c>
      <c r="W569" s="186" t="str">
        <f>IFERROR(VLOOKUP(V569,TD!$N$34:$O$46,2,0)," ")</f>
        <v>Servicio de educación informal</v>
      </c>
      <c r="X569" s="187" t="str">
        <f>CONCATENATE(V569,"_",W569)</f>
        <v>002_Servicio de educación informal</v>
      </c>
      <c r="Y569" s="187" t="str">
        <f>CONCATENATE(U569," ",X569)</f>
        <v>07-Servicio de formación en gestión del riesgo de incendios para el personal UAECOB 002_Servicio de educación informal</v>
      </c>
      <c r="Z569" s="186" t="str">
        <f>CONCATENATE(P569,Q569,R569,S569,V569)</f>
        <v>O23011745032024025507002</v>
      </c>
      <c r="AA569" s="186" t="str">
        <f>IFERROR(VLOOKUP(Y569,TD!$K$47:$L$65,2,0)," ")</f>
        <v>PM/0131/0107/45030020255</v>
      </c>
      <c r="AB569" s="125" t="s">
        <v>138</v>
      </c>
      <c r="AC569" s="188" t="s">
        <v>204</v>
      </c>
    </row>
    <row r="570" spans="2:29" s="28" customFormat="1" ht="84" x14ac:dyDescent="0.35">
      <c r="B570" s="77">
        <v>20250583</v>
      </c>
      <c r="C570" s="50" t="s">
        <v>209</v>
      </c>
      <c r="D570" s="184" t="s">
        <v>165</v>
      </c>
      <c r="E570" s="51" t="s">
        <v>484</v>
      </c>
      <c r="F570" s="184" t="s">
        <v>695</v>
      </c>
      <c r="G570" s="184" t="s">
        <v>155</v>
      </c>
      <c r="H570" s="93">
        <v>80111600</v>
      </c>
      <c r="I570" s="185">
        <v>2</v>
      </c>
      <c r="J570" s="185">
        <v>11</v>
      </c>
      <c r="K570" s="52">
        <v>0</v>
      </c>
      <c r="L570" s="53">
        <f>40849200-49200</f>
        <v>40800000</v>
      </c>
      <c r="M570" s="184" t="s">
        <v>464</v>
      </c>
      <c r="N570" s="53" t="s">
        <v>113</v>
      </c>
      <c r="O570" s="51" t="s">
        <v>229</v>
      </c>
      <c r="P570" s="186" t="str">
        <f>IFERROR(VLOOKUP(C570,TD!$B$33:$F$37,2,0)," ")</f>
        <v>O230117</v>
      </c>
      <c r="Q570" s="186" t="str">
        <f>IFERROR(VLOOKUP(C570,TD!$B$33:$F$37,3,0)," ")</f>
        <v>4503</v>
      </c>
      <c r="R570" s="186">
        <f>IFERROR(VLOOKUP(C570,TD!$B$33:$F$37,4,0)," ")</f>
        <v>20240255</v>
      </c>
      <c r="S570" s="51" t="s">
        <v>183</v>
      </c>
      <c r="T570" s="186" t="str">
        <f>IFERROR(VLOOKUP(S570,TD!$J$34:$K$44,2,0)," ")</f>
        <v>Servicio de formación en gestión del riesgo de incendios para el personal UAECOB</v>
      </c>
      <c r="U570" s="187" t="str">
        <f>CONCATENATE(S570,"-",T570)</f>
        <v>07-Servicio de formación en gestión del riesgo de incendios para el personal UAECOB</v>
      </c>
      <c r="V570" s="51" t="s">
        <v>233</v>
      </c>
      <c r="W570" s="186" t="str">
        <f>IFERROR(VLOOKUP(V570,TD!$N$34:$O$46,2,0)," ")</f>
        <v>Servicio de educación informal</v>
      </c>
      <c r="X570" s="187" t="str">
        <f>CONCATENATE(V570,"_",W570)</f>
        <v>002_Servicio de educación informal</v>
      </c>
      <c r="Y570" s="187" t="str">
        <f>CONCATENATE(U570," ",X570)</f>
        <v>07-Servicio de formación en gestión del riesgo de incendios para el personal UAECOB 002_Servicio de educación informal</v>
      </c>
      <c r="Z570" s="186" t="str">
        <f>CONCATENATE(P570,Q570,R570,S570,V570)</f>
        <v>O23011745032024025507002</v>
      </c>
      <c r="AA570" s="186" t="str">
        <f>IFERROR(VLOOKUP(Y570,TD!$K$47:$L$65,2,0)," ")</f>
        <v>PM/0131/0107/45030020255</v>
      </c>
      <c r="AB570" s="125" t="s">
        <v>138</v>
      </c>
      <c r="AC570" s="188" t="s">
        <v>204</v>
      </c>
    </row>
    <row r="571" spans="2:29" s="28" customFormat="1" ht="56" x14ac:dyDescent="0.35">
      <c r="B571" s="77">
        <v>20250584</v>
      </c>
      <c r="C571" s="50" t="s">
        <v>209</v>
      </c>
      <c r="D571" s="184" t="s">
        <v>165</v>
      </c>
      <c r="E571" s="51" t="s">
        <v>484</v>
      </c>
      <c r="F571" s="184" t="s">
        <v>816</v>
      </c>
      <c r="G571" s="184" t="s">
        <v>155</v>
      </c>
      <c r="H571" s="93">
        <v>80111600</v>
      </c>
      <c r="I571" s="185">
        <v>2</v>
      </c>
      <c r="J571" s="185">
        <v>11</v>
      </c>
      <c r="K571" s="52">
        <v>0</v>
      </c>
      <c r="L571" s="53">
        <f>27344000-144000</f>
        <v>27200000</v>
      </c>
      <c r="M571" s="184" t="s">
        <v>464</v>
      </c>
      <c r="N571" s="53" t="s">
        <v>113</v>
      </c>
      <c r="O571" s="51" t="s">
        <v>229</v>
      </c>
      <c r="P571" s="186" t="str">
        <f>IFERROR(VLOOKUP(C571,TD!$B$33:$F$37,2,0)," ")</f>
        <v>O230117</v>
      </c>
      <c r="Q571" s="186" t="str">
        <f>IFERROR(VLOOKUP(C571,TD!$B$33:$F$37,3,0)," ")</f>
        <v>4503</v>
      </c>
      <c r="R571" s="186">
        <f>IFERROR(VLOOKUP(C571,TD!$B$33:$F$37,4,0)," ")</f>
        <v>20240255</v>
      </c>
      <c r="S571" s="51" t="s">
        <v>183</v>
      </c>
      <c r="T571" s="186" t="str">
        <f>IFERROR(VLOOKUP(S571,TD!$J$34:$K$44,2,0)," ")</f>
        <v>Servicio de formación en gestión del riesgo de incendios para el personal UAECOB</v>
      </c>
      <c r="U571" s="187" t="str">
        <f>CONCATENATE(S571,"-",T571)</f>
        <v>07-Servicio de formación en gestión del riesgo de incendios para el personal UAECOB</v>
      </c>
      <c r="V571" s="51" t="s">
        <v>233</v>
      </c>
      <c r="W571" s="186" t="str">
        <f>IFERROR(VLOOKUP(V571,TD!$N$34:$O$46,2,0)," ")</f>
        <v>Servicio de educación informal</v>
      </c>
      <c r="X571" s="187" t="str">
        <f>CONCATENATE(V571,"_",W571)</f>
        <v>002_Servicio de educación informal</v>
      </c>
      <c r="Y571" s="187" t="str">
        <f>CONCATENATE(U571," ",X571)</f>
        <v>07-Servicio de formación en gestión del riesgo de incendios para el personal UAECOB 002_Servicio de educación informal</v>
      </c>
      <c r="Z571" s="186" t="str">
        <f>CONCATENATE(P571,Q571,R571,S571,V571)</f>
        <v>O23011745032024025507002</v>
      </c>
      <c r="AA571" s="186" t="str">
        <f>IFERROR(VLOOKUP(Y571,TD!$K$47:$L$65,2,0)," ")</f>
        <v>PM/0131/0107/45030020255</v>
      </c>
      <c r="AB571" s="125" t="s">
        <v>138</v>
      </c>
      <c r="AC571" s="188" t="s">
        <v>204</v>
      </c>
    </row>
    <row r="572" spans="2:29" s="28" customFormat="1" ht="56" x14ac:dyDescent="0.35">
      <c r="B572" s="77">
        <v>20250585</v>
      </c>
      <c r="C572" s="50" t="s">
        <v>209</v>
      </c>
      <c r="D572" s="184" t="s">
        <v>165</v>
      </c>
      <c r="E572" s="51" t="s">
        <v>484</v>
      </c>
      <c r="F572" s="184" t="s">
        <v>696</v>
      </c>
      <c r="G572" s="184" t="s">
        <v>155</v>
      </c>
      <c r="H572" s="93">
        <v>80111600</v>
      </c>
      <c r="I572" s="185">
        <v>2</v>
      </c>
      <c r="J572" s="185">
        <v>11</v>
      </c>
      <c r="K572" s="52">
        <v>0</v>
      </c>
      <c r="L572" s="53">
        <f>27344000-144000</f>
        <v>27200000</v>
      </c>
      <c r="M572" s="184" t="s">
        <v>464</v>
      </c>
      <c r="N572" s="53" t="s">
        <v>113</v>
      </c>
      <c r="O572" s="51" t="s">
        <v>229</v>
      </c>
      <c r="P572" s="186" t="str">
        <f>IFERROR(VLOOKUP(C572,TD!$B$33:$F$37,2,0)," ")</f>
        <v>O230117</v>
      </c>
      <c r="Q572" s="186" t="str">
        <f>IFERROR(VLOOKUP(C572,TD!$B$33:$F$37,3,0)," ")</f>
        <v>4503</v>
      </c>
      <c r="R572" s="186">
        <f>IFERROR(VLOOKUP(C572,TD!$B$33:$F$37,4,0)," ")</f>
        <v>20240255</v>
      </c>
      <c r="S572" s="51" t="s">
        <v>183</v>
      </c>
      <c r="T572" s="186" t="str">
        <f>IFERROR(VLOOKUP(S572,TD!$J$34:$K$44,2,0)," ")</f>
        <v>Servicio de formación en gestión del riesgo de incendios para el personal UAECOB</v>
      </c>
      <c r="U572" s="187" t="str">
        <f>CONCATENATE(S572,"-",T572)</f>
        <v>07-Servicio de formación en gestión del riesgo de incendios para el personal UAECOB</v>
      </c>
      <c r="V572" s="51" t="s">
        <v>233</v>
      </c>
      <c r="W572" s="186" t="str">
        <f>IFERROR(VLOOKUP(V572,TD!$N$34:$O$46,2,0)," ")</f>
        <v>Servicio de educación informal</v>
      </c>
      <c r="X572" s="187" t="str">
        <f>CONCATENATE(V572,"_",W572)</f>
        <v>002_Servicio de educación informal</v>
      </c>
      <c r="Y572" s="187" t="str">
        <f>CONCATENATE(U572," ",X572)</f>
        <v>07-Servicio de formación en gestión del riesgo de incendios para el personal UAECOB 002_Servicio de educación informal</v>
      </c>
      <c r="Z572" s="186" t="str">
        <f>CONCATENATE(P572,Q572,R572,S572,V572)</f>
        <v>O23011745032024025507002</v>
      </c>
      <c r="AA572" s="186" t="str">
        <f>IFERROR(VLOOKUP(Y572,TD!$K$47:$L$65,2,0)," ")</f>
        <v>PM/0131/0107/45030020255</v>
      </c>
      <c r="AB572" s="125" t="s">
        <v>138</v>
      </c>
      <c r="AC572" s="188" t="s">
        <v>204</v>
      </c>
    </row>
    <row r="573" spans="2:29" s="28" customFormat="1" ht="98" x14ac:dyDescent="0.35">
      <c r="B573" s="77">
        <v>20250586</v>
      </c>
      <c r="C573" s="50" t="s">
        <v>208</v>
      </c>
      <c r="D573" s="184" t="s">
        <v>164</v>
      </c>
      <c r="E573" s="51" t="s">
        <v>389</v>
      </c>
      <c r="F573" s="184" t="s">
        <v>705</v>
      </c>
      <c r="G573" s="184" t="s">
        <v>155</v>
      </c>
      <c r="H573" s="93">
        <v>80111600</v>
      </c>
      <c r="I573" s="185">
        <v>2</v>
      </c>
      <c r="J573" s="185">
        <v>11</v>
      </c>
      <c r="K573" s="52">
        <v>0</v>
      </c>
      <c r="L573" s="53">
        <f>79450000-33550000</f>
        <v>45900000</v>
      </c>
      <c r="M573" s="184" t="s">
        <v>464</v>
      </c>
      <c r="N573" s="53" t="s">
        <v>113</v>
      </c>
      <c r="O573" s="51" t="s">
        <v>219</v>
      </c>
      <c r="P573" s="186" t="str">
        <f>IFERROR(VLOOKUP(C573,TD!$B$33:$F$37,2,0)," ")</f>
        <v>O230117</v>
      </c>
      <c r="Q573" s="186" t="str">
        <f>IFERROR(VLOOKUP(C573,TD!$B$33:$F$37,3,0)," ")</f>
        <v>4599</v>
      </c>
      <c r="R573" s="186">
        <f>IFERROR(VLOOKUP(C573,TD!$B$33:$F$37,4,0)," ")</f>
        <v>20240207</v>
      </c>
      <c r="S573" s="51" t="s">
        <v>185</v>
      </c>
      <c r="T573" s="186" t="str">
        <f>IFERROR(VLOOKUP(S573,TD!$J$34:$K$44,2,0)," ")</f>
        <v>Infraestructura física, mantenimiento y dotación (Sedes construidas, mantenidas reforzadas)</v>
      </c>
      <c r="U573" s="187" t="str">
        <f>CONCATENATE(S573,"-",T573)</f>
        <v>08-Infraestructura física, mantenimiento y dotación (Sedes construidas, mantenidas reforzadas)</v>
      </c>
      <c r="V573" s="51" t="s">
        <v>238</v>
      </c>
      <c r="W573" s="186" t="str">
        <f>IFERROR(VLOOKUP(V573,TD!$N$34:$O$46,2,0)," ")</f>
        <v>Sedes mantenidas</v>
      </c>
      <c r="X573" s="187" t="str">
        <f>CONCATENATE(V573,"_",W573)</f>
        <v>016_Sedes mantenidas</v>
      </c>
      <c r="Y573" s="187" t="str">
        <f>CONCATENATE(U573," ",X573)</f>
        <v>08-Infraestructura física, mantenimiento y dotación (Sedes construidas, mantenidas reforzadas) 016_Sedes mantenidas</v>
      </c>
      <c r="Z573" s="186" t="str">
        <f>CONCATENATE(P573,Q573,R573,S573,V573)</f>
        <v>O23011745992024020708016</v>
      </c>
      <c r="AA573" s="186" t="str">
        <f>IFERROR(VLOOKUP(Y573,TD!$K$47:$L$65,2,0)," ")</f>
        <v>PM/0131/0108/45990160207</v>
      </c>
      <c r="AB573" s="53" t="s">
        <v>120</v>
      </c>
      <c r="AC573" s="188" t="s">
        <v>204</v>
      </c>
    </row>
    <row r="574" spans="2:29" s="28" customFormat="1" ht="84" x14ac:dyDescent="0.35">
      <c r="B574" s="77">
        <v>20250587</v>
      </c>
      <c r="C574" s="50" t="s">
        <v>208</v>
      </c>
      <c r="D574" s="184" t="s">
        <v>164</v>
      </c>
      <c r="E574" s="51" t="s">
        <v>389</v>
      </c>
      <c r="F574" s="184" t="s">
        <v>709</v>
      </c>
      <c r="G574" s="184" t="s">
        <v>156</v>
      </c>
      <c r="H574" s="93">
        <v>80111600</v>
      </c>
      <c r="I574" s="185">
        <v>2</v>
      </c>
      <c r="J574" s="185">
        <v>4</v>
      </c>
      <c r="K574" s="52">
        <v>0</v>
      </c>
      <c r="L574" s="53">
        <v>25500000</v>
      </c>
      <c r="M574" s="184" t="s">
        <v>464</v>
      </c>
      <c r="N574" s="53" t="s">
        <v>113</v>
      </c>
      <c r="O574" s="51" t="s">
        <v>219</v>
      </c>
      <c r="P574" s="186" t="str">
        <f>IFERROR(VLOOKUP(C574,TD!$B$33:$F$37,2,0)," ")</f>
        <v>O230117</v>
      </c>
      <c r="Q574" s="186" t="str">
        <f>IFERROR(VLOOKUP(C574,TD!$B$33:$F$37,3,0)," ")</f>
        <v>4599</v>
      </c>
      <c r="R574" s="186">
        <f>IFERROR(VLOOKUP(C574,TD!$B$33:$F$37,4,0)," ")</f>
        <v>20240207</v>
      </c>
      <c r="S574" s="51" t="s">
        <v>185</v>
      </c>
      <c r="T574" s="186" t="str">
        <f>IFERROR(VLOOKUP(S574,TD!$J$34:$K$44,2,0)," ")</f>
        <v>Infraestructura física, mantenimiento y dotación (Sedes construidas, mantenidas reforzadas)</v>
      </c>
      <c r="U574" s="187" t="str">
        <f>CONCATENATE(S574,"-",T574)</f>
        <v>08-Infraestructura física, mantenimiento y dotación (Sedes construidas, mantenidas reforzadas)</v>
      </c>
      <c r="V574" s="51" t="s">
        <v>238</v>
      </c>
      <c r="W574" s="186" t="str">
        <f>IFERROR(VLOOKUP(V574,TD!$N$34:$O$46,2,0)," ")</f>
        <v>Sedes mantenidas</v>
      </c>
      <c r="X574" s="187" t="str">
        <f>CONCATENATE(V574,"_",W574)</f>
        <v>016_Sedes mantenidas</v>
      </c>
      <c r="Y574" s="187" t="str">
        <f>CONCATENATE(U574," ",X574)</f>
        <v>08-Infraestructura física, mantenimiento y dotación (Sedes construidas, mantenidas reforzadas) 016_Sedes mantenidas</v>
      </c>
      <c r="Z574" s="186" t="str">
        <f>CONCATENATE(P574,Q574,R574,S574,V574)</f>
        <v>O23011745992024020708016</v>
      </c>
      <c r="AA574" s="186" t="str">
        <f>IFERROR(VLOOKUP(Y574,TD!$K$47:$L$65,2,0)," ")</f>
        <v>PM/0131/0108/45990160207</v>
      </c>
      <c r="AB574" s="53" t="s">
        <v>120</v>
      </c>
      <c r="AC574" s="188" t="s">
        <v>204</v>
      </c>
    </row>
    <row r="575" spans="2:29" s="28" customFormat="1" ht="70" x14ac:dyDescent="0.35">
      <c r="B575" s="127">
        <v>20250588</v>
      </c>
      <c r="C575" s="50" t="s">
        <v>346</v>
      </c>
      <c r="D575" s="184" t="s">
        <v>166</v>
      </c>
      <c r="E575" s="51" t="s">
        <v>558</v>
      </c>
      <c r="F575" s="184" t="s">
        <v>733</v>
      </c>
      <c r="G575" s="184" t="s">
        <v>129</v>
      </c>
      <c r="H575" s="93" t="s">
        <v>632</v>
      </c>
      <c r="I575" s="185">
        <v>2</v>
      </c>
      <c r="J575" s="185">
        <v>0</v>
      </c>
      <c r="K575" s="52">
        <v>0</v>
      </c>
      <c r="L575" s="53">
        <v>5684125</v>
      </c>
      <c r="M575" s="184" t="s">
        <v>172</v>
      </c>
      <c r="N575" s="53" t="s">
        <v>90</v>
      </c>
      <c r="O575" s="51" t="s">
        <v>347</v>
      </c>
      <c r="P575" s="186" t="str">
        <f>IFERROR(VLOOKUP(C575,TD!$B$33:$F$37,2,0)," ")</f>
        <v>NA</v>
      </c>
      <c r="Q575" s="186" t="str">
        <f>IFERROR(VLOOKUP(C575,TD!$B$33:$F$37,3,0)," ")</f>
        <v>NA</v>
      </c>
      <c r="R575" s="186" t="str">
        <f>IFERROR(VLOOKUP(C575,TD!$B$33:$F$37,4,0)," ")</f>
        <v>NA</v>
      </c>
      <c r="S575" s="51" t="s">
        <v>406</v>
      </c>
      <c r="T575" s="186" t="str">
        <f>IFERROR(VLOOKUP(S575,TD!$J$34:$K$44,2,0)," ")</f>
        <v>N/A</v>
      </c>
      <c r="U575" s="187" t="str">
        <f>CONCATENATE(S575,"-",T575)</f>
        <v>N/A-N/A</v>
      </c>
      <c r="V575" s="51" t="s">
        <v>406</v>
      </c>
      <c r="W575" s="186" t="str">
        <f>IFERROR(VLOOKUP(V575,TD!$N$34:$O$46,2,0)," ")</f>
        <v>N/A</v>
      </c>
      <c r="X575" s="187" t="str">
        <f>CONCATENATE(V575,"_",W575)</f>
        <v>N/A_N/A</v>
      </c>
      <c r="Y575" s="187" t="str">
        <f>CONCATENATE(U575," ",X575)</f>
        <v>N/A-N/A N/A_N/A</v>
      </c>
      <c r="Z575" s="186" t="str">
        <f>CONCATENATE(P575,Q575,R575,S575,V575)</f>
        <v>NANANAN/AN/A</v>
      </c>
      <c r="AA575" s="186" t="str">
        <f>IFERROR(VLOOKUP(Y575,TD!$K$47:$L$65,2,0)," ")</f>
        <v>N/A</v>
      </c>
      <c r="AB575" s="53" t="s">
        <v>348</v>
      </c>
      <c r="AC575" s="188" t="s">
        <v>205</v>
      </c>
    </row>
    <row r="576" spans="2:29" s="28" customFormat="1" ht="56" x14ac:dyDescent="0.35">
      <c r="B576" s="77">
        <v>20250590</v>
      </c>
      <c r="C576" s="50" t="s">
        <v>208</v>
      </c>
      <c r="D576" s="184" t="s">
        <v>166</v>
      </c>
      <c r="E576" s="51" t="s">
        <v>558</v>
      </c>
      <c r="F576" s="184" t="s">
        <v>561</v>
      </c>
      <c r="G576" s="184" t="s">
        <v>156</v>
      </c>
      <c r="H576" s="93" t="s">
        <v>609</v>
      </c>
      <c r="I576" s="185">
        <v>2</v>
      </c>
      <c r="J576" s="185">
        <v>9</v>
      </c>
      <c r="K576" s="52">
        <v>0</v>
      </c>
      <c r="L576" s="53">
        <v>29558952</v>
      </c>
      <c r="M576" s="184" t="s">
        <v>464</v>
      </c>
      <c r="N576" s="53" t="s">
        <v>113</v>
      </c>
      <c r="O576" s="51" t="s">
        <v>219</v>
      </c>
      <c r="P576" s="186" t="str">
        <f>IFERROR(VLOOKUP(C576,TD!$B$33:$F$37,2,0)," ")</f>
        <v>O230117</v>
      </c>
      <c r="Q576" s="186" t="str">
        <f>IFERROR(VLOOKUP(C576,TD!$B$33:$F$37,3,0)," ")</f>
        <v>4599</v>
      </c>
      <c r="R576" s="186">
        <f>IFERROR(VLOOKUP(C576,TD!$B$33:$F$37,4,0)," ")</f>
        <v>20240207</v>
      </c>
      <c r="S576" s="51" t="s">
        <v>185</v>
      </c>
      <c r="T576" s="186" t="str">
        <f>IFERROR(VLOOKUP(S576,TD!$J$34:$K$44,2,0)," ")</f>
        <v>Infraestructura física, mantenimiento y dotación (Sedes construidas, mantenidas reforzadas)</v>
      </c>
      <c r="U576" s="187" t="str">
        <f>CONCATENATE(S576,"-",T576)</f>
        <v>08-Infraestructura física, mantenimiento y dotación (Sedes construidas, mantenidas reforzadas)</v>
      </c>
      <c r="V576" s="51" t="s">
        <v>238</v>
      </c>
      <c r="W576" s="186" t="str">
        <f>IFERROR(VLOOKUP(V576,TD!$N$34:$O$46,2,0)," ")</f>
        <v>Sedes mantenidas</v>
      </c>
      <c r="X576" s="187" t="str">
        <f>CONCATENATE(V576,"_",W576)</f>
        <v>016_Sedes mantenidas</v>
      </c>
      <c r="Y576" s="187" t="str">
        <f>CONCATENATE(U576," ",X576)</f>
        <v>08-Infraestructura física, mantenimiento y dotación (Sedes construidas, mantenidas reforzadas) 016_Sedes mantenidas</v>
      </c>
      <c r="Z576" s="186" t="str">
        <f>CONCATENATE(P576,Q576,R576,S576,V576)</f>
        <v>O23011745992024020708016</v>
      </c>
      <c r="AA576" s="186" t="str">
        <f>IFERROR(VLOOKUP(Y576,TD!$K$47:$L$65,2,0)," ")</f>
        <v>PM/0131/0108/45990160207</v>
      </c>
      <c r="AB576" s="53" t="s">
        <v>138</v>
      </c>
      <c r="AC576" s="188" t="s">
        <v>204</v>
      </c>
    </row>
    <row r="577" spans="2:29" s="28" customFormat="1" ht="98" x14ac:dyDescent="0.35">
      <c r="B577" s="77">
        <v>20250591</v>
      </c>
      <c r="C577" s="50" t="s">
        <v>208</v>
      </c>
      <c r="D577" s="184" t="s">
        <v>166</v>
      </c>
      <c r="E577" s="51" t="s">
        <v>558</v>
      </c>
      <c r="F577" s="184" t="s">
        <v>561</v>
      </c>
      <c r="G577" s="184" t="s">
        <v>156</v>
      </c>
      <c r="H577" s="93" t="s">
        <v>609</v>
      </c>
      <c r="I577" s="185">
        <v>2</v>
      </c>
      <c r="J577" s="185">
        <v>9</v>
      </c>
      <c r="K577" s="52">
        <v>0</v>
      </c>
      <c r="L577" s="53">
        <v>0</v>
      </c>
      <c r="M577" s="184" t="s">
        <v>464</v>
      </c>
      <c r="N577" s="53" t="s">
        <v>113</v>
      </c>
      <c r="O577" s="51" t="s">
        <v>219</v>
      </c>
      <c r="P577" s="186" t="str">
        <f>IFERROR(VLOOKUP(C577,TD!$B$33:$F$37,2,0)," ")</f>
        <v>O230117</v>
      </c>
      <c r="Q577" s="186" t="str">
        <f>IFERROR(VLOOKUP(C577,TD!$B$33:$F$37,3,0)," ")</f>
        <v>4599</v>
      </c>
      <c r="R577" s="186">
        <f>IFERROR(VLOOKUP(C577,TD!$B$33:$F$37,4,0)," ")</f>
        <v>20240207</v>
      </c>
      <c r="S577" s="51" t="s">
        <v>185</v>
      </c>
      <c r="T577" s="186" t="str">
        <f>IFERROR(VLOOKUP(S577,TD!$J$34:$K$44,2,0)," ")</f>
        <v>Infraestructura física, mantenimiento y dotación (Sedes construidas, mantenidas reforzadas)</v>
      </c>
      <c r="U577" s="187" t="str">
        <f>CONCATENATE(S577,"-",T577)</f>
        <v>08-Infraestructura física, mantenimiento y dotación (Sedes construidas, mantenidas reforzadas)</v>
      </c>
      <c r="V577" s="51" t="s">
        <v>238</v>
      </c>
      <c r="W577" s="186" t="str">
        <f>IFERROR(VLOOKUP(V577,TD!$N$34:$O$46,2,0)," ")</f>
        <v>Sedes mantenidas</v>
      </c>
      <c r="X577" s="187" t="str">
        <f>CONCATENATE(V577,"_",W577)</f>
        <v>016_Sedes mantenidas</v>
      </c>
      <c r="Y577" s="187" t="str">
        <f>CONCATENATE(U577," ",X577)</f>
        <v>08-Infraestructura física, mantenimiento y dotación (Sedes construidas, mantenidas reforzadas) 016_Sedes mantenidas</v>
      </c>
      <c r="Z577" s="186" t="str">
        <f>CONCATENATE(P577,Q577,R577,S577,V577)</f>
        <v>O23011745992024020708016</v>
      </c>
      <c r="AA577" s="186" t="str">
        <f>IFERROR(VLOOKUP(Y577,TD!$K$47:$L$65,2,0)," ")</f>
        <v>PM/0131/0108/45990160207</v>
      </c>
      <c r="AB577" s="53" t="s">
        <v>138</v>
      </c>
      <c r="AC577" s="188" t="s">
        <v>204</v>
      </c>
    </row>
    <row r="578" spans="2:29" s="28" customFormat="1" ht="98" x14ac:dyDescent="0.35">
      <c r="B578" s="77">
        <v>20250592</v>
      </c>
      <c r="C578" s="50" t="s">
        <v>208</v>
      </c>
      <c r="D578" s="201" t="s">
        <v>166</v>
      </c>
      <c r="E578" s="51" t="s">
        <v>558</v>
      </c>
      <c r="F578" s="184" t="s">
        <v>561</v>
      </c>
      <c r="G578" s="184" t="s">
        <v>156</v>
      </c>
      <c r="H578" s="93" t="s">
        <v>609</v>
      </c>
      <c r="I578" s="185">
        <v>2</v>
      </c>
      <c r="J578" s="185">
        <v>9</v>
      </c>
      <c r="K578" s="52">
        <v>0</v>
      </c>
      <c r="L578" s="53">
        <v>29558952</v>
      </c>
      <c r="M578" s="136" t="s">
        <v>464</v>
      </c>
      <c r="N578" s="53" t="s">
        <v>113</v>
      </c>
      <c r="O578" s="51" t="s">
        <v>219</v>
      </c>
      <c r="P578" s="186" t="str">
        <f>IFERROR(VLOOKUP(C578,TD!$B$33:$F$37,2,0)," ")</f>
        <v>O230117</v>
      </c>
      <c r="Q578" s="186" t="str">
        <f>IFERROR(VLOOKUP(C578,TD!$B$33:$F$37,3,0)," ")</f>
        <v>4599</v>
      </c>
      <c r="R578" s="186">
        <f>IFERROR(VLOOKUP(C578,TD!$B$33:$F$37,4,0)," ")</f>
        <v>20240207</v>
      </c>
      <c r="S578" s="51" t="s">
        <v>185</v>
      </c>
      <c r="T578" s="186" t="str">
        <f>IFERROR(VLOOKUP(S578,TD!$J$34:$K$44,2,0)," ")</f>
        <v>Infraestructura física, mantenimiento y dotación (Sedes construidas, mantenidas reforzadas)</v>
      </c>
      <c r="U578" s="187" t="str">
        <f>CONCATENATE(S578,"-",T578)</f>
        <v>08-Infraestructura física, mantenimiento y dotación (Sedes construidas, mantenidas reforzadas)</v>
      </c>
      <c r="V578" s="51" t="s">
        <v>238</v>
      </c>
      <c r="W578" s="186" t="str">
        <f>IFERROR(VLOOKUP(V578,TD!$N$34:$O$46,2,0)," ")</f>
        <v>Sedes mantenidas</v>
      </c>
      <c r="X578" s="187" t="str">
        <f>CONCATENATE(V578,"_",W578)</f>
        <v>016_Sedes mantenidas</v>
      </c>
      <c r="Y578" s="187" t="str">
        <f>CONCATENATE(U578," ",X578)</f>
        <v>08-Infraestructura física, mantenimiento y dotación (Sedes construidas, mantenidas reforzadas) 016_Sedes mantenidas</v>
      </c>
      <c r="Z578" s="186" t="str">
        <f>CONCATENATE(P578,Q578,R578,S578,V578)</f>
        <v>O23011745992024020708016</v>
      </c>
      <c r="AA578" s="186" t="str">
        <f>IFERROR(VLOOKUP(Y578,TD!$K$47:$L$65,2,0)," ")</f>
        <v>PM/0131/0108/45990160207</v>
      </c>
      <c r="AB578" s="53" t="s">
        <v>138</v>
      </c>
      <c r="AC578" s="188" t="s">
        <v>204</v>
      </c>
    </row>
    <row r="579" spans="2:29" s="28" customFormat="1" ht="140" x14ac:dyDescent="0.35">
      <c r="B579" s="77">
        <v>20250593</v>
      </c>
      <c r="C579" s="50" t="s">
        <v>208</v>
      </c>
      <c r="D579" s="184" t="s">
        <v>166</v>
      </c>
      <c r="E579" s="51" t="s">
        <v>558</v>
      </c>
      <c r="F579" s="184" t="s">
        <v>561</v>
      </c>
      <c r="G579" s="184" t="s">
        <v>156</v>
      </c>
      <c r="H579" s="93" t="s">
        <v>609</v>
      </c>
      <c r="I579" s="185">
        <v>2</v>
      </c>
      <c r="J579" s="185">
        <v>9</v>
      </c>
      <c r="K579" s="52">
        <v>0</v>
      </c>
      <c r="L579" s="53">
        <v>29558952</v>
      </c>
      <c r="M579" s="184" t="s">
        <v>464</v>
      </c>
      <c r="N579" s="53" t="s">
        <v>113</v>
      </c>
      <c r="O579" s="51" t="s">
        <v>219</v>
      </c>
      <c r="P579" s="186" t="str">
        <f>IFERROR(VLOOKUP(C579,TD!$B$33:$F$37,2,0)," ")</f>
        <v>O230117</v>
      </c>
      <c r="Q579" s="186" t="str">
        <f>IFERROR(VLOOKUP(C579,TD!$B$33:$F$37,3,0)," ")</f>
        <v>4599</v>
      </c>
      <c r="R579" s="186">
        <f>IFERROR(VLOOKUP(C579,TD!$B$33:$F$37,4,0)," ")</f>
        <v>20240207</v>
      </c>
      <c r="S579" s="51" t="s">
        <v>185</v>
      </c>
      <c r="T579" s="186" t="str">
        <f>IFERROR(VLOOKUP(S579,TD!$J$34:$K$44,2,0)," ")</f>
        <v>Infraestructura física, mantenimiento y dotación (Sedes construidas, mantenidas reforzadas)</v>
      </c>
      <c r="U579" s="187" t="str">
        <f>CONCATENATE(S579,"-",T579)</f>
        <v>08-Infraestructura física, mantenimiento y dotación (Sedes construidas, mantenidas reforzadas)</v>
      </c>
      <c r="V579" s="51" t="s">
        <v>238</v>
      </c>
      <c r="W579" s="186" t="str">
        <f>IFERROR(VLOOKUP(V579,TD!$N$34:$O$46,2,0)," ")</f>
        <v>Sedes mantenidas</v>
      </c>
      <c r="X579" s="187" t="str">
        <f>CONCATENATE(V579,"_",W579)</f>
        <v>016_Sedes mantenidas</v>
      </c>
      <c r="Y579" s="187" t="str">
        <f>CONCATENATE(U579," ",X579)</f>
        <v>08-Infraestructura física, mantenimiento y dotación (Sedes construidas, mantenidas reforzadas) 016_Sedes mantenidas</v>
      </c>
      <c r="Z579" s="186" t="str">
        <f>CONCATENATE(P579,Q579,R579,S579,V579)</f>
        <v>O23011745992024020708016</v>
      </c>
      <c r="AA579" s="186" t="str">
        <f>IFERROR(VLOOKUP(Y579,TD!$K$47:$L$65,2,0)," ")</f>
        <v>PM/0131/0108/45990160207</v>
      </c>
      <c r="AB579" s="53" t="s">
        <v>138</v>
      </c>
      <c r="AC579" s="188" t="s">
        <v>204</v>
      </c>
    </row>
    <row r="580" spans="2:29" s="28" customFormat="1" ht="70" x14ac:dyDescent="0.35">
      <c r="B580" s="77">
        <v>20250594</v>
      </c>
      <c r="C580" s="50" t="s">
        <v>208</v>
      </c>
      <c r="D580" s="184" t="s">
        <v>166</v>
      </c>
      <c r="E580" s="51" t="s">
        <v>558</v>
      </c>
      <c r="F580" s="184" t="s">
        <v>561</v>
      </c>
      <c r="G580" s="184" t="s">
        <v>156</v>
      </c>
      <c r="H580" s="93" t="s">
        <v>609</v>
      </c>
      <c r="I580" s="185">
        <v>2</v>
      </c>
      <c r="J580" s="185">
        <v>9</v>
      </c>
      <c r="K580" s="52">
        <v>0</v>
      </c>
      <c r="L580" s="53">
        <v>29558952</v>
      </c>
      <c r="M580" s="184" t="s">
        <v>464</v>
      </c>
      <c r="N580" s="53" t="s">
        <v>113</v>
      </c>
      <c r="O580" s="51" t="s">
        <v>219</v>
      </c>
      <c r="P580" s="186" t="str">
        <f>IFERROR(VLOOKUP(C580,TD!$B$33:$F$37,2,0)," ")</f>
        <v>O230117</v>
      </c>
      <c r="Q580" s="186" t="str">
        <f>IFERROR(VLOOKUP(C580,TD!$B$33:$F$37,3,0)," ")</f>
        <v>4599</v>
      </c>
      <c r="R580" s="186">
        <f>IFERROR(VLOOKUP(C580,TD!$B$33:$F$37,4,0)," ")</f>
        <v>20240207</v>
      </c>
      <c r="S580" s="51" t="s">
        <v>185</v>
      </c>
      <c r="T580" s="186" t="str">
        <f>IFERROR(VLOOKUP(S580,TD!$J$34:$K$44,2,0)," ")</f>
        <v>Infraestructura física, mantenimiento y dotación (Sedes construidas, mantenidas reforzadas)</v>
      </c>
      <c r="U580" s="187" t="str">
        <f>CONCATENATE(S580,"-",T580)</f>
        <v>08-Infraestructura física, mantenimiento y dotación (Sedes construidas, mantenidas reforzadas)</v>
      </c>
      <c r="V580" s="51" t="s">
        <v>238</v>
      </c>
      <c r="W580" s="186" t="str">
        <f>IFERROR(VLOOKUP(V580,TD!$N$34:$O$46,2,0)," ")</f>
        <v>Sedes mantenidas</v>
      </c>
      <c r="X580" s="187" t="str">
        <f>CONCATENATE(V580,"_",W580)</f>
        <v>016_Sedes mantenidas</v>
      </c>
      <c r="Y580" s="187" t="str">
        <f>CONCATENATE(U580," ",X580)</f>
        <v>08-Infraestructura física, mantenimiento y dotación (Sedes construidas, mantenidas reforzadas) 016_Sedes mantenidas</v>
      </c>
      <c r="Z580" s="186" t="str">
        <f>CONCATENATE(P580,Q580,R580,S580,V580)</f>
        <v>O23011745992024020708016</v>
      </c>
      <c r="AA580" s="186" t="str">
        <f>IFERROR(VLOOKUP(Y580,TD!$K$47:$L$65,2,0)," ")</f>
        <v>PM/0131/0108/45990160207</v>
      </c>
      <c r="AB580" s="53" t="s">
        <v>138</v>
      </c>
      <c r="AC580" s="188" t="s">
        <v>204</v>
      </c>
    </row>
    <row r="581" spans="2:29" s="28" customFormat="1" ht="56" x14ac:dyDescent="0.35">
      <c r="B581" s="77">
        <v>20250595</v>
      </c>
      <c r="C581" s="50" t="s">
        <v>208</v>
      </c>
      <c r="D581" s="184" t="s">
        <v>166</v>
      </c>
      <c r="E581" s="51" t="s">
        <v>558</v>
      </c>
      <c r="F581" s="184" t="s">
        <v>578</v>
      </c>
      <c r="G581" s="184" t="s">
        <v>156</v>
      </c>
      <c r="H581" s="93" t="s">
        <v>609</v>
      </c>
      <c r="I581" s="185">
        <v>2</v>
      </c>
      <c r="J581" s="185">
        <v>9</v>
      </c>
      <c r="K581" s="52">
        <v>0</v>
      </c>
      <c r="L581" s="53">
        <v>0</v>
      </c>
      <c r="M581" s="184" t="s">
        <v>464</v>
      </c>
      <c r="N581" s="53" t="s">
        <v>113</v>
      </c>
      <c r="O581" s="51" t="s">
        <v>218</v>
      </c>
      <c r="P581" s="186" t="str">
        <f>IFERROR(VLOOKUP(C581,TD!$B$33:$F$37,2,0)," ")</f>
        <v>O230117</v>
      </c>
      <c r="Q581" s="186" t="str">
        <f>IFERROR(VLOOKUP(C581,TD!$B$33:$F$37,3,0)," ")</f>
        <v>4599</v>
      </c>
      <c r="R581" s="186">
        <f>IFERROR(VLOOKUP(C581,TD!$B$33:$F$37,4,0)," ")</f>
        <v>20240207</v>
      </c>
      <c r="S581" s="51" t="s">
        <v>185</v>
      </c>
      <c r="T581" s="186" t="str">
        <f>IFERROR(VLOOKUP(S581,TD!$J$34:$K$44,2,0)," ")</f>
        <v>Infraestructura física, mantenimiento y dotación (Sedes construidas, mantenidas reforzadas)</v>
      </c>
      <c r="U581" s="187" t="str">
        <f>CONCATENATE(S581,"-",T581)</f>
        <v>08-Infraestructura física, mantenimiento y dotación (Sedes construidas, mantenidas reforzadas)</v>
      </c>
      <c r="V581" s="51" t="s">
        <v>238</v>
      </c>
      <c r="W581" s="186" t="str">
        <f>IFERROR(VLOOKUP(V581,TD!$N$34:$O$46,2,0)," ")</f>
        <v>Sedes mantenidas</v>
      </c>
      <c r="X581" s="187" t="str">
        <f>CONCATENATE(V581,"_",W581)</f>
        <v>016_Sedes mantenidas</v>
      </c>
      <c r="Y581" s="187" t="str">
        <f>CONCATENATE(U581," ",X581)</f>
        <v>08-Infraestructura física, mantenimiento y dotación (Sedes construidas, mantenidas reforzadas) 016_Sedes mantenidas</v>
      </c>
      <c r="Z581" s="186" t="str">
        <f>CONCATENATE(P581,Q581,R581,S581,V581)</f>
        <v>O23011745992024020708016</v>
      </c>
      <c r="AA581" s="186" t="str">
        <f>IFERROR(VLOOKUP(Y581,TD!$K$47:$L$65,2,0)," ")</f>
        <v>PM/0131/0108/45990160207</v>
      </c>
      <c r="AB581" s="53" t="s">
        <v>138</v>
      </c>
      <c r="AC581" s="188" t="s">
        <v>204</v>
      </c>
    </row>
    <row r="582" spans="2:29" s="28" customFormat="1" ht="42" x14ac:dyDescent="0.35">
      <c r="B582" s="77">
        <v>20250596</v>
      </c>
      <c r="C582" s="50" t="s">
        <v>208</v>
      </c>
      <c r="D582" s="184" t="s">
        <v>166</v>
      </c>
      <c r="E582" s="51" t="s">
        <v>558</v>
      </c>
      <c r="F582" s="184" t="s">
        <v>578</v>
      </c>
      <c r="G582" s="184" t="s">
        <v>156</v>
      </c>
      <c r="H582" s="93" t="s">
        <v>609</v>
      </c>
      <c r="I582" s="185">
        <v>2</v>
      </c>
      <c r="J582" s="185">
        <v>9</v>
      </c>
      <c r="K582" s="52">
        <v>0</v>
      </c>
      <c r="L582" s="53">
        <v>29558952</v>
      </c>
      <c r="M582" s="184" t="s">
        <v>464</v>
      </c>
      <c r="N582" s="53" t="s">
        <v>113</v>
      </c>
      <c r="O582" s="51" t="s">
        <v>218</v>
      </c>
      <c r="P582" s="186" t="str">
        <f>IFERROR(VLOOKUP(C582,TD!$B$33:$F$37,2,0)," ")</f>
        <v>O230117</v>
      </c>
      <c r="Q582" s="186" t="str">
        <f>IFERROR(VLOOKUP(C582,TD!$B$33:$F$37,3,0)," ")</f>
        <v>4599</v>
      </c>
      <c r="R582" s="186">
        <f>IFERROR(VLOOKUP(C582,TD!$B$33:$F$37,4,0)," ")</f>
        <v>20240207</v>
      </c>
      <c r="S582" s="51" t="s">
        <v>185</v>
      </c>
      <c r="T582" s="186" t="str">
        <f>IFERROR(VLOOKUP(S582,TD!$J$34:$K$44,2,0)," ")</f>
        <v>Infraestructura física, mantenimiento y dotación (Sedes construidas, mantenidas reforzadas)</v>
      </c>
      <c r="U582" s="187" t="str">
        <f>CONCATENATE(S582,"-",T582)</f>
        <v>08-Infraestructura física, mantenimiento y dotación (Sedes construidas, mantenidas reforzadas)</v>
      </c>
      <c r="V582" s="51" t="s">
        <v>238</v>
      </c>
      <c r="W582" s="186" t="str">
        <f>IFERROR(VLOOKUP(V582,TD!$N$34:$O$46,2,0)," ")</f>
        <v>Sedes mantenidas</v>
      </c>
      <c r="X582" s="187" t="str">
        <f>CONCATENATE(V582,"_",W582)</f>
        <v>016_Sedes mantenidas</v>
      </c>
      <c r="Y582" s="187" t="str">
        <f>CONCATENATE(U582," ",X582)</f>
        <v>08-Infraestructura física, mantenimiento y dotación (Sedes construidas, mantenidas reforzadas) 016_Sedes mantenidas</v>
      </c>
      <c r="Z582" s="186" t="str">
        <f>CONCATENATE(P582,Q582,R582,S582,V582)</f>
        <v>O23011745992024020708016</v>
      </c>
      <c r="AA582" s="186" t="str">
        <f>IFERROR(VLOOKUP(Y582,TD!$K$47:$L$65,2,0)," ")</f>
        <v>PM/0131/0108/45990160207</v>
      </c>
      <c r="AB582" s="53" t="s">
        <v>138</v>
      </c>
      <c r="AC582" s="188" t="s">
        <v>204</v>
      </c>
    </row>
    <row r="583" spans="2:29" s="28" customFormat="1" ht="224" x14ac:dyDescent="0.35">
      <c r="B583" s="77">
        <v>20250597</v>
      </c>
      <c r="C583" s="50" t="s">
        <v>208</v>
      </c>
      <c r="D583" s="184" t="s">
        <v>166</v>
      </c>
      <c r="E583" s="51" t="s">
        <v>558</v>
      </c>
      <c r="F583" s="184" t="s">
        <v>578</v>
      </c>
      <c r="G583" s="184" t="s">
        <v>156</v>
      </c>
      <c r="H583" s="93" t="s">
        <v>609</v>
      </c>
      <c r="I583" s="185">
        <v>2</v>
      </c>
      <c r="J583" s="185">
        <v>9</v>
      </c>
      <c r="K583" s="52">
        <v>0</v>
      </c>
      <c r="L583" s="53">
        <v>29558952</v>
      </c>
      <c r="M583" s="184" t="s">
        <v>464</v>
      </c>
      <c r="N583" s="53" t="s">
        <v>113</v>
      </c>
      <c r="O583" s="51" t="s">
        <v>218</v>
      </c>
      <c r="P583" s="186" t="str">
        <f>IFERROR(VLOOKUP(C583,TD!$B$33:$F$37,2,0)," ")</f>
        <v>O230117</v>
      </c>
      <c r="Q583" s="186" t="str">
        <f>IFERROR(VLOOKUP(C583,TD!$B$33:$F$37,3,0)," ")</f>
        <v>4599</v>
      </c>
      <c r="R583" s="186">
        <f>IFERROR(VLOOKUP(C583,TD!$B$33:$F$37,4,0)," ")</f>
        <v>20240207</v>
      </c>
      <c r="S583" s="51" t="s">
        <v>185</v>
      </c>
      <c r="T583" s="186" t="str">
        <f>IFERROR(VLOOKUP(S583,TD!$J$34:$K$44,2,0)," ")</f>
        <v>Infraestructura física, mantenimiento y dotación (Sedes construidas, mantenidas reforzadas)</v>
      </c>
      <c r="U583" s="187" t="str">
        <f>CONCATENATE(S583,"-",T583)</f>
        <v>08-Infraestructura física, mantenimiento y dotación (Sedes construidas, mantenidas reforzadas)</v>
      </c>
      <c r="V583" s="51" t="s">
        <v>238</v>
      </c>
      <c r="W583" s="186" t="str">
        <f>IFERROR(VLOOKUP(V583,TD!$N$34:$O$46,2,0)," ")</f>
        <v>Sedes mantenidas</v>
      </c>
      <c r="X583" s="187" t="str">
        <f>CONCATENATE(V583,"_",W583)</f>
        <v>016_Sedes mantenidas</v>
      </c>
      <c r="Y583" s="187" t="str">
        <f>CONCATENATE(U583," ",X583)</f>
        <v>08-Infraestructura física, mantenimiento y dotación (Sedes construidas, mantenidas reforzadas) 016_Sedes mantenidas</v>
      </c>
      <c r="Z583" s="186" t="str">
        <f>CONCATENATE(P583,Q583,R583,S583,V583)</f>
        <v>O23011745992024020708016</v>
      </c>
      <c r="AA583" s="186" t="str">
        <f>IFERROR(VLOOKUP(Y583,TD!$K$47:$L$65,2,0)," ")</f>
        <v>PM/0131/0108/45990160207</v>
      </c>
      <c r="AB583" s="53" t="s">
        <v>138</v>
      </c>
      <c r="AC583" s="188" t="s">
        <v>204</v>
      </c>
    </row>
    <row r="584" spans="2:29" s="28" customFormat="1" ht="98" x14ac:dyDescent="0.35">
      <c r="B584" s="77">
        <v>20250598</v>
      </c>
      <c r="C584" s="50" t="s">
        <v>208</v>
      </c>
      <c r="D584" s="184" t="s">
        <v>166</v>
      </c>
      <c r="E584" s="51" t="s">
        <v>558</v>
      </c>
      <c r="F584" s="184" t="s">
        <v>578</v>
      </c>
      <c r="G584" s="184" t="s">
        <v>156</v>
      </c>
      <c r="H584" s="93" t="s">
        <v>609</v>
      </c>
      <c r="I584" s="185">
        <v>2</v>
      </c>
      <c r="J584" s="185">
        <v>9</v>
      </c>
      <c r="K584" s="52">
        <v>0</v>
      </c>
      <c r="L584" s="53">
        <v>29558952</v>
      </c>
      <c r="M584" s="184" t="s">
        <v>464</v>
      </c>
      <c r="N584" s="53" t="s">
        <v>113</v>
      </c>
      <c r="O584" s="51" t="s">
        <v>218</v>
      </c>
      <c r="P584" s="186" t="str">
        <f>IFERROR(VLOOKUP(C584,TD!$B$33:$F$37,2,0)," ")</f>
        <v>O230117</v>
      </c>
      <c r="Q584" s="186" t="str">
        <f>IFERROR(VLOOKUP(C584,TD!$B$33:$F$37,3,0)," ")</f>
        <v>4599</v>
      </c>
      <c r="R584" s="186">
        <f>IFERROR(VLOOKUP(C584,TD!$B$33:$F$37,4,0)," ")</f>
        <v>20240207</v>
      </c>
      <c r="S584" s="51" t="s">
        <v>185</v>
      </c>
      <c r="T584" s="186" t="str">
        <f>IFERROR(VLOOKUP(S584,TD!$J$34:$K$44,2,0)," ")</f>
        <v>Infraestructura física, mantenimiento y dotación (Sedes construidas, mantenidas reforzadas)</v>
      </c>
      <c r="U584" s="187" t="str">
        <f>CONCATENATE(S584,"-",T584)</f>
        <v>08-Infraestructura física, mantenimiento y dotación (Sedes construidas, mantenidas reforzadas)</v>
      </c>
      <c r="V584" s="51" t="s">
        <v>238</v>
      </c>
      <c r="W584" s="186" t="str">
        <f>IFERROR(VLOOKUP(V584,TD!$N$34:$O$46,2,0)," ")</f>
        <v>Sedes mantenidas</v>
      </c>
      <c r="X584" s="187" t="str">
        <f>CONCATENATE(V584,"_",W584)</f>
        <v>016_Sedes mantenidas</v>
      </c>
      <c r="Y584" s="187" t="str">
        <f>CONCATENATE(U584," ",X584)</f>
        <v>08-Infraestructura física, mantenimiento y dotación (Sedes construidas, mantenidas reforzadas) 016_Sedes mantenidas</v>
      </c>
      <c r="Z584" s="186" t="str">
        <f>CONCATENATE(P584,Q584,R584,S584,V584)</f>
        <v>O23011745992024020708016</v>
      </c>
      <c r="AA584" s="186" t="str">
        <f>IFERROR(VLOOKUP(Y584,TD!$K$47:$L$65,2,0)," ")</f>
        <v>PM/0131/0108/45990160207</v>
      </c>
      <c r="AB584" s="53" t="s">
        <v>138</v>
      </c>
      <c r="AC584" s="188" t="s">
        <v>204</v>
      </c>
    </row>
    <row r="585" spans="2:29" s="28" customFormat="1" ht="84" x14ac:dyDescent="0.35">
      <c r="B585" s="77">
        <v>20250599</v>
      </c>
      <c r="C585" s="50" t="s">
        <v>208</v>
      </c>
      <c r="D585" s="184" t="s">
        <v>166</v>
      </c>
      <c r="E585" s="51" t="s">
        <v>558</v>
      </c>
      <c r="F585" s="184" t="s">
        <v>578</v>
      </c>
      <c r="G585" s="184" t="s">
        <v>156</v>
      </c>
      <c r="H585" s="93" t="s">
        <v>609</v>
      </c>
      <c r="I585" s="185">
        <v>2</v>
      </c>
      <c r="J585" s="185">
        <v>9</v>
      </c>
      <c r="K585" s="52">
        <v>0</v>
      </c>
      <c r="L585" s="53">
        <f>25990412</f>
        <v>25990412</v>
      </c>
      <c r="M585" s="184" t="s">
        <v>464</v>
      </c>
      <c r="N585" s="53" t="s">
        <v>113</v>
      </c>
      <c r="O585" s="51" t="s">
        <v>218</v>
      </c>
      <c r="P585" s="186" t="str">
        <f>IFERROR(VLOOKUP(C585,TD!$B$33:$F$37,2,0)," ")</f>
        <v>O230117</v>
      </c>
      <c r="Q585" s="186" t="str">
        <f>IFERROR(VLOOKUP(C585,TD!$B$33:$F$37,3,0)," ")</f>
        <v>4599</v>
      </c>
      <c r="R585" s="186">
        <f>IFERROR(VLOOKUP(C585,TD!$B$33:$F$37,4,0)," ")</f>
        <v>20240207</v>
      </c>
      <c r="S585" s="51" t="s">
        <v>185</v>
      </c>
      <c r="T585" s="186" t="str">
        <f>IFERROR(VLOOKUP(S585,TD!$J$34:$K$44,2,0)," ")</f>
        <v>Infraestructura física, mantenimiento y dotación (Sedes construidas, mantenidas reforzadas)</v>
      </c>
      <c r="U585" s="187" t="str">
        <f>CONCATENATE(S585,"-",T585)</f>
        <v>08-Infraestructura física, mantenimiento y dotación (Sedes construidas, mantenidas reforzadas)</v>
      </c>
      <c r="V585" s="51" t="s">
        <v>238</v>
      </c>
      <c r="W585" s="186" t="str">
        <f>IFERROR(VLOOKUP(V585,TD!$N$34:$O$46,2,0)," ")</f>
        <v>Sedes mantenidas</v>
      </c>
      <c r="X585" s="187" t="str">
        <f>CONCATENATE(V585,"_",W585)</f>
        <v>016_Sedes mantenidas</v>
      </c>
      <c r="Y585" s="187" t="str">
        <f>CONCATENATE(U585," ",X585)</f>
        <v>08-Infraestructura física, mantenimiento y dotación (Sedes construidas, mantenidas reforzadas) 016_Sedes mantenidas</v>
      </c>
      <c r="Z585" s="186" t="str">
        <f>CONCATENATE(P585,Q585,R585,S585,V585)</f>
        <v>O23011745992024020708016</v>
      </c>
      <c r="AA585" s="186" t="str">
        <f>IFERROR(VLOOKUP(Y585,TD!$K$47:$L$65,2,0)," ")</f>
        <v>PM/0131/0108/45990160207</v>
      </c>
      <c r="AB585" s="53" t="s">
        <v>138</v>
      </c>
      <c r="AC585" s="188" t="s">
        <v>204</v>
      </c>
    </row>
    <row r="586" spans="2:29" s="28" customFormat="1" ht="56" x14ac:dyDescent="0.35">
      <c r="B586" s="77">
        <v>20250600</v>
      </c>
      <c r="C586" s="50" t="s">
        <v>208</v>
      </c>
      <c r="D586" s="184" t="s">
        <v>166</v>
      </c>
      <c r="E586" s="51" t="s">
        <v>558</v>
      </c>
      <c r="F586" s="184" t="s">
        <v>568</v>
      </c>
      <c r="G586" s="184" t="s">
        <v>156</v>
      </c>
      <c r="H586" s="93" t="s">
        <v>609</v>
      </c>
      <c r="I586" s="185">
        <v>2</v>
      </c>
      <c r="J586" s="185">
        <v>9</v>
      </c>
      <c r="K586" s="52">
        <v>0</v>
      </c>
      <c r="L586" s="53">
        <v>2320130</v>
      </c>
      <c r="M586" s="184" t="s">
        <v>464</v>
      </c>
      <c r="N586" s="53" t="s">
        <v>113</v>
      </c>
      <c r="O586" s="51" t="s">
        <v>219</v>
      </c>
      <c r="P586" s="186" t="str">
        <f>IFERROR(VLOOKUP(C586,TD!$B$33:$F$37,2,0)," ")</f>
        <v>O230117</v>
      </c>
      <c r="Q586" s="186" t="str">
        <f>IFERROR(VLOOKUP(C586,TD!$B$33:$F$37,3,0)," ")</f>
        <v>4599</v>
      </c>
      <c r="R586" s="186">
        <f>IFERROR(VLOOKUP(C586,TD!$B$33:$F$37,4,0)," ")</f>
        <v>20240207</v>
      </c>
      <c r="S586" s="51" t="s">
        <v>185</v>
      </c>
      <c r="T586" s="186" t="str">
        <f>IFERROR(VLOOKUP(S586,TD!$J$34:$K$44,2,0)," ")</f>
        <v>Infraestructura física, mantenimiento y dotación (Sedes construidas, mantenidas reforzadas)</v>
      </c>
      <c r="U586" s="187" t="str">
        <f>CONCATENATE(S586,"-",T586)</f>
        <v>08-Infraestructura física, mantenimiento y dotación (Sedes construidas, mantenidas reforzadas)</v>
      </c>
      <c r="V586" s="51" t="s">
        <v>238</v>
      </c>
      <c r="W586" s="186" t="str">
        <f>IFERROR(VLOOKUP(V586,TD!$N$34:$O$46,2,0)," ")</f>
        <v>Sedes mantenidas</v>
      </c>
      <c r="X586" s="187" t="str">
        <f>CONCATENATE(V586,"_",W586)</f>
        <v>016_Sedes mantenidas</v>
      </c>
      <c r="Y586" s="187" t="str">
        <f>CONCATENATE(U586," ",X586)</f>
        <v>08-Infraestructura física, mantenimiento y dotación (Sedes construidas, mantenidas reforzadas) 016_Sedes mantenidas</v>
      </c>
      <c r="Z586" s="186" t="str">
        <f>CONCATENATE(P586,Q586,R586,S586,V586)</f>
        <v>O23011745992024020708016</v>
      </c>
      <c r="AA586" s="186" t="str">
        <f>IFERROR(VLOOKUP(Y586,TD!$K$47:$L$65,2,0)," ")</f>
        <v>PM/0131/0108/45990160207</v>
      </c>
      <c r="AB586" s="53" t="s">
        <v>138</v>
      </c>
      <c r="AC586" s="188" t="s">
        <v>204</v>
      </c>
    </row>
    <row r="587" spans="2:29" s="28" customFormat="1" ht="56" x14ac:dyDescent="0.35">
      <c r="B587" s="127">
        <v>20250601</v>
      </c>
      <c r="C587" s="129" t="s">
        <v>208</v>
      </c>
      <c r="D587" s="189" t="s">
        <v>166</v>
      </c>
      <c r="E587" s="190" t="s">
        <v>558</v>
      </c>
      <c r="F587" s="189" t="s">
        <v>719</v>
      </c>
      <c r="G587" s="189" t="s">
        <v>155</v>
      </c>
      <c r="H587" s="130" t="s">
        <v>609</v>
      </c>
      <c r="I587" s="191">
        <v>2</v>
      </c>
      <c r="J587" s="191">
        <v>9</v>
      </c>
      <c r="K587" s="126">
        <v>0</v>
      </c>
      <c r="L587" s="125">
        <v>91156860</v>
      </c>
      <c r="M587" s="189" t="s">
        <v>464</v>
      </c>
      <c r="N587" s="125" t="s">
        <v>113</v>
      </c>
      <c r="O587" s="190" t="s">
        <v>219</v>
      </c>
      <c r="P587" s="192" t="str">
        <f>IFERROR(VLOOKUP(C587,TD!$B$33:$F$37,2,0)," ")</f>
        <v>O230117</v>
      </c>
      <c r="Q587" s="192" t="str">
        <f>IFERROR(VLOOKUP(C587,TD!$B$33:$F$37,3,0)," ")</f>
        <v>4599</v>
      </c>
      <c r="R587" s="192">
        <f>IFERROR(VLOOKUP(C587,TD!$B$33:$F$37,4,0)," ")</f>
        <v>20240207</v>
      </c>
      <c r="S587" s="190" t="s">
        <v>185</v>
      </c>
      <c r="T587" s="192" t="str">
        <f>IFERROR(VLOOKUP(S587,TD!$J$34:$K$44,2,0)," ")</f>
        <v>Infraestructura física, mantenimiento y dotación (Sedes construidas, mantenidas reforzadas)</v>
      </c>
      <c r="U587" s="187" t="str">
        <f>CONCATENATE(S587,"-",T587)</f>
        <v>08-Infraestructura física, mantenimiento y dotación (Sedes construidas, mantenidas reforzadas)</v>
      </c>
      <c r="V587" s="190" t="s">
        <v>238</v>
      </c>
      <c r="W587" s="192" t="str">
        <f>IFERROR(VLOOKUP(V587,TD!$N$34:$O$46,2,0)," ")</f>
        <v>Sedes mantenidas</v>
      </c>
      <c r="X587" s="187" t="str">
        <f>CONCATENATE(V587,"_",W587)</f>
        <v>016_Sedes mantenidas</v>
      </c>
      <c r="Y587" s="187" t="str">
        <f>CONCATENATE(U587," ",X587)</f>
        <v>08-Infraestructura física, mantenimiento y dotación (Sedes construidas, mantenidas reforzadas) 016_Sedes mantenidas</v>
      </c>
      <c r="Z587" s="192" t="str">
        <f>CONCATENATE(P587,Q587,R587,S587,V587)</f>
        <v>O23011745992024020708016</v>
      </c>
      <c r="AA587" s="192" t="str">
        <f>IFERROR(VLOOKUP(Y587,TD!$K$47:$L$65,2,0)," ")</f>
        <v>PM/0131/0108/45990160207</v>
      </c>
      <c r="AB587" s="125" t="s">
        <v>138</v>
      </c>
      <c r="AC587" s="193" t="s">
        <v>204</v>
      </c>
    </row>
    <row r="588" spans="2:29" s="28" customFormat="1" ht="56" x14ac:dyDescent="0.35">
      <c r="B588" s="127">
        <v>20250602</v>
      </c>
      <c r="C588" s="129" t="s">
        <v>208</v>
      </c>
      <c r="D588" s="189" t="s">
        <v>166</v>
      </c>
      <c r="E588" s="190" t="s">
        <v>558</v>
      </c>
      <c r="F588" s="189" t="s">
        <v>854</v>
      </c>
      <c r="G588" s="189" t="s">
        <v>155</v>
      </c>
      <c r="H588" s="130" t="s">
        <v>609</v>
      </c>
      <c r="I588" s="191">
        <v>2</v>
      </c>
      <c r="J588" s="191">
        <v>9</v>
      </c>
      <c r="K588" s="126">
        <v>0</v>
      </c>
      <c r="L588" s="125">
        <v>41288696</v>
      </c>
      <c r="M588" s="189" t="s">
        <v>464</v>
      </c>
      <c r="N588" s="125" t="s">
        <v>113</v>
      </c>
      <c r="O588" s="190" t="s">
        <v>219</v>
      </c>
      <c r="P588" s="192" t="str">
        <f>IFERROR(VLOOKUP(C588,TD!$B$33:$F$37,2,0)," ")</f>
        <v>O230117</v>
      </c>
      <c r="Q588" s="192" t="str">
        <f>IFERROR(VLOOKUP(C588,TD!$B$33:$F$37,3,0)," ")</f>
        <v>4599</v>
      </c>
      <c r="R588" s="192">
        <f>IFERROR(VLOOKUP(C588,TD!$B$33:$F$37,4,0)," ")</f>
        <v>20240207</v>
      </c>
      <c r="S588" s="190" t="s">
        <v>185</v>
      </c>
      <c r="T588" s="192" t="str">
        <f>IFERROR(VLOOKUP(S588,TD!$J$34:$K$44,2,0)," ")</f>
        <v>Infraestructura física, mantenimiento y dotación (Sedes construidas, mantenidas reforzadas)</v>
      </c>
      <c r="U588" s="187" t="str">
        <f>CONCATENATE(S588,"-",T588)</f>
        <v>08-Infraestructura física, mantenimiento y dotación (Sedes construidas, mantenidas reforzadas)</v>
      </c>
      <c r="V588" s="190" t="s">
        <v>238</v>
      </c>
      <c r="W588" s="192" t="str">
        <f>IFERROR(VLOOKUP(V588,TD!$N$34:$O$46,2,0)," ")</f>
        <v>Sedes mantenidas</v>
      </c>
      <c r="X588" s="187" t="str">
        <f>CONCATENATE(V588,"_",W588)</f>
        <v>016_Sedes mantenidas</v>
      </c>
      <c r="Y588" s="187" t="str">
        <f>CONCATENATE(U588," ",X588)</f>
        <v>08-Infraestructura física, mantenimiento y dotación (Sedes construidas, mantenidas reforzadas) 016_Sedes mantenidas</v>
      </c>
      <c r="Z588" s="192" t="str">
        <f>CONCATENATE(P588,Q588,R588,S588,V588)</f>
        <v>O23011745992024020708016</v>
      </c>
      <c r="AA588" s="192" t="str">
        <f>IFERROR(VLOOKUP(Y588,TD!$K$47:$L$65,2,0)," ")</f>
        <v>PM/0131/0108/45990160207</v>
      </c>
      <c r="AB588" s="125" t="s">
        <v>138</v>
      </c>
      <c r="AC588" s="193" t="s">
        <v>204</v>
      </c>
    </row>
    <row r="589" spans="2:29" s="28" customFormat="1" ht="56" x14ac:dyDescent="0.35">
      <c r="B589" s="127">
        <v>20250603</v>
      </c>
      <c r="C589" s="129" t="s">
        <v>346</v>
      </c>
      <c r="D589" s="189" t="s">
        <v>166</v>
      </c>
      <c r="E589" s="190" t="s">
        <v>558</v>
      </c>
      <c r="F589" s="189" t="s">
        <v>718</v>
      </c>
      <c r="G589" s="189" t="s">
        <v>142</v>
      </c>
      <c r="H589" s="130">
        <v>84131515</v>
      </c>
      <c r="I589" s="191">
        <v>2</v>
      </c>
      <c r="J589" s="191">
        <v>12</v>
      </c>
      <c r="K589" s="126">
        <v>0</v>
      </c>
      <c r="L589" s="125">
        <v>500000000</v>
      </c>
      <c r="M589" s="189" t="s">
        <v>172</v>
      </c>
      <c r="N589" s="125" t="s">
        <v>90</v>
      </c>
      <c r="O589" s="190" t="s">
        <v>347</v>
      </c>
      <c r="P589" s="192" t="str">
        <f>IFERROR(VLOOKUP(C589,TD!$B$33:$F$37,2,0)," ")</f>
        <v>NA</v>
      </c>
      <c r="Q589" s="192" t="str">
        <f>IFERROR(VLOOKUP(C589,TD!$B$33:$F$37,3,0)," ")</f>
        <v>NA</v>
      </c>
      <c r="R589" s="192" t="str">
        <f>IFERROR(VLOOKUP(C589,TD!$B$33:$F$37,4,0)," ")</f>
        <v>NA</v>
      </c>
      <c r="S589" s="190" t="s">
        <v>406</v>
      </c>
      <c r="T589" s="192" t="str">
        <f>IFERROR(VLOOKUP(S589,TD!$J$34:$K$44,2,0)," ")</f>
        <v>N/A</v>
      </c>
      <c r="U589" s="187" t="str">
        <f>CONCATENATE(S589,"-",T589)</f>
        <v>N/A-N/A</v>
      </c>
      <c r="V589" s="190" t="s">
        <v>406</v>
      </c>
      <c r="W589" s="192" t="str">
        <f>IFERROR(VLOOKUP(V589,TD!$N$34:$O$46,2,0)," ")</f>
        <v>N/A</v>
      </c>
      <c r="X589" s="187" t="str">
        <f>CONCATENATE(V589,"_",W589)</f>
        <v>N/A_N/A</v>
      </c>
      <c r="Y589" s="187" t="str">
        <f>CONCATENATE(U589," ",X589)</f>
        <v>N/A-N/A N/A_N/A</v>
      </c>
      <c r="Z589" s="192" t="str">
        <f>CONCATENATE(P589,Q589,R589,S589,V589)</f>
        <v>NANANAN/AN/A</v>
      </c>
      <c r="AA589" s="192" t="str">
        <f>IFERROR(VLOOKUP(Y589,TD!$K$47:$L$65,2,0)," ")</f>
        <v>N/A</v>
      </c>
      <c r="AB589" s="125" t="s">
        <v>348</v>
      </c>
      <c r="AC589" s="193" t="s">
        <v>204</v>
      </c>
    </row>
    <row r="590" spans="2:29" s="28" customFormat="1" ht="56" x14ac:dyDescent="0.35">
      <c r="B590" s="77">
        <v>20250604</v>
      </c>
      <c r="C590" s="50" t="s">
        <v>209</v>
      </c>
      <c r="D590" s="184" t="s">
        <v>168</v>
      </c>
      <c r="E590" s="51" t="s">
        <v>603</v>
      </c>
      <c r="F590" s="184" t="s">
        <v>822</v>
      </c>
      <c r="G590" s="184" t="s">
        <v>96</v>
      </c>
      <c r="H590" s="93">
        <v>46161600</v>
      </c>
      <c r="I590" s="185">
        <v>2</v>
      </c>
      <c r="J590" s="185">
        <v>3</v>
      </c>
      <c r="K590" s="52">
        <v>0</v>
      </c>
      <c r="L590" s="53">
        <v>25366600</v>
      </c>
      <c r="M590" s="184" t="s">
        <v>464</v>
      </c>
      <c r="N590" s="53" t="s">
        <v>113</v>
      </c>
      <c r="O590" s="51" t="s">
        <v>224</v>
      </c>
      <c r="P590" s="186" t="str">
        <f>IFERROR(VLOOKUP(C590,TD!$B$33:$F$37,2,0)," ")</f>
        <v>O230117</v>
      </c>
      <c r="Q590" s="186" t="str">
        <f>IFERROR(VLOOKUP(C590,TD!$B$33:$F$37,3,0)," ")</f>
        <v>4503</v>
      </c>
      <c r="R590" s="186">
        <f>IFERROR(VLOOKUP(C590,TD!$B$33:$F$37,4,0)," ")</f>
        <v>20240255</v>
      </c>
      <c r="S590" s="51" t="s">
        <v>187</v>
      </c>
      <c r="T590" s="186" t="str">
        <f>IFERROR(VLOOKUP(S590,TD!$J$34:$K$44,2,0)," ")</f>
        <v>Servicio de mantenimiento, dotación (HEA´s y equipo menor) y adquisición de vehiculos   especializados para la atención de emergencias.</v>
      </c>
      <c r="U590" s="187" t="str">
        <f>CONCATENATE(S590,"-",T590)</f>
        <v>09-Servicio de mantenimiento, dotación (HEA´s y equipo menor) y adquisición de vehiculos   especializados para la atención de emergencias.</v>
      </c>
      <c r="V590" s="51" t="s">
        <v>232</v>
      </c>
      <c r="W590" s="186" t="str">
        <f>IFERROR(VLOOKUP(V590,TD!$N$34:$O$46,2,0)," ")</f>
        <v>Servicio de atención a emergencias y desastres</v>
      </c>
      <c r="X590" s="187" t="str">
        <f>CONCATENATE(V590,"_",W590)</f>
        <v>004_Servicio de atención a emergencias y desastres</v>
      </c>
      <c r="Y590" s="187" t="str">
        <f>CONCATENATE(U590," ",X590)</f>
        <v>09-Servicio de mantenimiento, dotación (HEA´s y equipo menor) y adquisición de vehiculos   especializados para la atención de emergencias. 004_Servicio de atención a emergencias y desastres</v>
      </c>
      <c r="Z590" s="186" t="str">
        <f>CONCATENATE(P590,Q590,R590,S590,V590)</f>
        <v>O23011745032024025509004</v>
      </c>
      <c r="AA590" s="186" t="str">
        <f>IFERROR(VLOOKUP(Y590,TD!$K$47:$L$65,2,0)," ")</f>
        <v>PM/0131/0109/45030040255</v>
      </c>
      <c r="AB590" s="53" t="s">
        <v>87</v>
      </c>
      <c r="AC590" s="188" t="s">
        <v>205</v>
      </c>
    </row>
    <row r="591" spans="2:29" s="28" customFormat="1" ht="98" x14ac:dyDescent="0.35">
      <c r="B591" s="77">
        <v>20250605</v>
      </c>
      <c r="C591" s="50" t="s">
        <v>209</v>
      </c>
      <c r="D591" s="184" t="s">
        <v>168</v>
      </c>
      <c r="E591" s="51" t="s">
        <v>603</v>
      </c>
      <c r="F591" s="184" t="s">
        <v>869</v>
      </c>
      <c r="G591" s="184" t="s">
        <v>156</v>
      </c>
      <c r="H591" s="93">
        <v>80111600</v>
      </c>
      <c r="I591" s="185">
        <v>3</v>
      </c>
      <c r="J591" s="185">
        <v>8</v>
      </c>
      <c r="K591" s="52">
        <v>0</v>
      </c>
      <c r="L591" s="53">
        <v>22995000</v>
      </c>
      <c r="M591" s="184" t="s">
        <v>464</v>
      </c>
      <c r="N591" s="53" t="s">
        <v>113</v>
      </c>
      <c r="O591" s="51" t="s">
        <v>224</v>
      </c>
      <c r="P591" s="186" t="str">
        <f>IFERROR(VLOOKUP(C591,TD!$B$33:$F$37,2,0)," ")</f>
        <v>O230117</v>
      </c>
      <c r="Q591" s="186" t="str">
        <f>IFERROR(VLOOKUP(C591,TD!$B$33:$F$37,3,0)," ")</f>
        <v>4503</v>
      </c>
      <c r="R591" s="186">
        <f>IFERROR(VLOOKUP(C591,TD!$B$33:$F$37,4,0)," ")</f>
        <v>20240255</v>
      </c>
      <c r="S591" s="51" t="s">
        <v>191</v>
      </c>
      <c r="T591" s="186" t="str">
        <f>IFERROR(VLOOKUP(S591,TD!$J$34:$K$44,2,0)," ")</f>
        <v>Servicio de apoyo   logístico  en eventos operativos y/o emergencias.</v>
      </c>
      <c r="U591" s="187" t="str">
        <f>CONCATENATE(S591,"-",T591)</f>
        <v>12-Servicio de apoyo   logístico  en eventos operativos y/o emergencias.</v>
      </c>
      <c r="V591" s="51" t="s">
        <v>232</v>
      </c>
      <c r="W591" s="186" t="str">
        <f>IFERROR(VLOOKUP(V591,TD!$N$34:$O$46,2,0)," ")</f>
        <v>Servicio de atención a emergencias y desastres</v>
      </c>
      <c r="X591" s="187" t="str">
        <f>CONCATENATE(V591,"_",W591)</f>
        <v>004_Servicio de atención a emergencias y desastres</v>
      </c>
      <c r="Y591" s="187" t="str">
        <f>CONCATENATE(U591," ",X591)</f>
        <v>12-Servicio de apoyo   logístico  en eventos operativos y/o emergencias. 004_Servicio de atención a emergencias y desastres</v>
      </c>
      <c r="Z591" s="186" t="str">
        <f>CONCATENATE(P591,Q591,R591,S591,V591)</f>
        <v>O23011745032024025512004</v>
      </c>
      <c r="AA591" s="186" t="str">
        <f>IFERROR(VLOOKUP(Y591,TD!$K$47:$L$65,2,0)," ")</f>
        <v>PM/0131/0112/45030040255</v>
      </c>
      <c r="AB591" s="53" t="s">
        <v>138</v>
      </c>
      <c r="AC591" s="188" t="s">
        <v>204</v>
      </c>
    </row>
    <row r="592" spans="2:29" s="28" customFormat="1" ht="56" x14ac:dyDescent="0.35">
      <c r="B592" s="77">
        <v>20250606</v>
      </c>
      <c r="C592" s="50" t="s">
        <v>209</v>
      </c>
      <c r="D592" s="184" t="s">
        <v>168</v>
      </c>
      <c r="E592" s="51" t="s">
        <v>603</v>
      </c>
      <c r="F592" s="184" t="s">
        <v>869</v>
      </c>
      <c r="G592" s="184" t="s">
        <v>156</v>
      </c>
      <c r="H592" s="93">
        <v>80111600</v>
      </c>
      <c r="I592" s="185">
        <v>3</v>
      </c>
      <c r="J592" s="185">
        <v>8</v>
      </c>
      <c r="K592" s="52">
        <v>0</v>
      </c>
      <c r="L592" s="53">
        <v>26240000</v>
      </c>
      <c r="M592" s="184" t="s">
        <v>464</v>
      </c>
      <c r="N592" s="53" t="s">
        <v>113</v>
      </c>
      <c r="O592" s="51" t="s">
        <v>224</v>
      </c>
      <c r="P592" s="186" t="str">
        <f>IFERROR(VLOOKUP(C592,TD!$B$33:$F$37,2,0)," ")</f>
        <v>O230117</v>
      </c>
      <c r="Q592" s="186" t="str">
        <f>IFERROR(VLOOKUP(C592,TD!$B$33:$F$37,3,0)," ")</f>
        <v>4503</v>
      </c>
      <c r="R592" s="186">
        <f>IFERROR(VLOOKUP(C592,TD!$B$33:$F$37,4,0)," ")</f>
        <v>20240255</v>
      </c>
      <c r="S592" s="51" t="s">
        <v>191</v>
      </c>
      <c r="T592" s="186" t="str">
        <f>IFERROR(VLOOKUP(S592,TD!$J$34:$K$44,2,0)," ")</f>
        <v>Servicio de apoyo   logístico  en eventos operativos y/o emergencias.</v>
      </c>
      <c r="U592" s="187" t="str">
        <f>CONCATENATE(S592,"-",T592)</f>
        <v>12-Servicio de apoyo   logístico  en eventos operativos y/o emergencias.</v>
      </c>
      <c r="V592" s="51" t="s">
        <v>232</v>
      </c>
      <c r="W592" s="186" t="str">
        <f>IFERROR(VLOOKUP(V592,TD!$N$34:$O$46,2,0)," ")</f>
        <v>Servicio de atención a emergencias y desastres</v>
      </c>
      <c r="X592" s="187" t="str">
        <f>CONCATENATE(V592,"_",W592)</f>
        <v>004_Servicio de atención a emergencias y desastres</v>
      </c>
      <c r="Y592" s="187" t="str">
        <f>CONCATENATE(U592," ",X592)</f>
        <v>12-Servicio de apoyo   logístico  en eventos operativos y/o emergencias. 004_Servicio de atención a emergencias y desastres</v>
      </c>
      <c r="Z592" s="186" t="str">
        <f>CONCATENATE(P592,Q592,R592,S592,V592)</f>
        <v>O23011745032024025512004</v>
      </c>
      <c r="AA592" s="186" t="str">
        <f>IFERROR(VLOOKUP(Y592,TD!$K$47:$L$65,2,0)," ")</f>
        <v>PM/0131/0112/45030040255</v>
      </c>
      <c r="AB592" s="53" t="s">
        <v>138</v>
      </c>
      <c r="AC592" s="188" t="s">
        <v>204</v>
      </c>
    </row>
    <row r="593" spans="2:29" s="28" customFormat="1" ht="56" x14ac:dyDescent="0.35">
      <c r="B593" s="77">
        <v>20250607</v>
      </c>
      <c r="C593" s="50" t="s">
        <v>209</v>
      </c>
      <c r="D593" s="184" t="s">
        <v>168</v>
      </c>
      <c r="E593" s="51" t="s">
        <v>603</v>
      </c>
      <c r="F593" s="184" t="s">
        <v>869</v>
      </c>
      <c r="G593" s="184" t="s">
        <v>156</v>
      </c>
      <c r="H593" s="93">
        <v>80111600</v>
      </c>
      <c r="I593" s="185">
        <v>3</v>
      </c>
      <c r="J593" s="185">
        <v>8</v>
      </c>
      <c r="K593" s="52">
        <v>0</v>
      </c>
      <c r="L593" s="53">
        <v>19710000</v>
      </c>
      <c r="M593" s="184" t="s">
        <v>464</v>
      </c>
      <c r="N593" s="53" t="s">
        <v>113</v>
      </c>
      <c r="O593" s="51" t="s">
        <v>224</v>
      </c>
      <c r="P593" s="186" t="str">
        <f>IFERROR(VLOOKUP(C593,TD!$B$33:$F$37,2,0)," ")</f>
        <v>O230117</v>
      </c>
      <c r="Q593" s="186" t="str">
        <f>IFERROR(VLOOKUP(C593,TD!$B$33:$F$37,3,0)," ")</f>
        <v>4503</v>
      </c>
      <c r="R593" s="186">
        <f>IFERROR(VLOOKUP(C593,TD!$B$33:$F$37,4,0)," ")</f>
        <v>20240255</v>
      </c>
      <c r="S593" s="51" t="s">
        <v>191</v>
      </c>
      <c r="T593" s="186" t="str">
        <f>IFERROR(VLOOKUP(S593,TD!$J$34:$K$44,2,0)," ")</f>
        <v>Servicio de apoyo   logístico  en eventos operativos y/o emergencias.</v>
      </c>
      <c r="U593" s="187" t="str">
        <f>CONCATENATE(S593,"-",T593)</f>
        <v>12-Servicio de apoyo   logístico  en eventos operativos y/o emergencias.</v>
      </c>
      <c r="V593" s="51" t="s">
        <v>232</v>
      </c>
      <c r="W593" s="186" t="str">
        <f>IFERROR(VLOOKUP(V593,TD!$N$34:$O$46,2,0)," ")</f>
        <v>Servicio de atención a emergencias y desastres</v>
      </c>
      <c r="X593" s="187" t="str">
        <f>CONCATENATE(V593,"_",W593)</f>
        <v>004_Servicio de atención a emergencias y desastres</v>
      </c>
      <c r="Y593" s="187" t="str">
        <f>CONCATENATE(U593," ",X593)</f>
        <v>12-Servicio de apoyo   logístico  en eventos operativos y/o emergencias. 004_Servicio de atención a emergencias y desastres</v>
      </c>
      <c r="Z593" s="186" t="str">
        <f>CONCATENATE(P593,Q593,R593,S593,V593)</f>
        <v>O23011745032024025512004</v>
      </c>
      <c r="AA593" s="186" t="str">
        <f>IFERROR(VLOOKUP(Y593,TD!$K$47:$L$65,2,0)," ")</f>
        <v>PM/0131/0112/45030040255</v>
      </c>
      <c r="AB593" s="53" t="s">
        <v>138</v>
      </c>
      <c r="AC593" s="188" t="s">
        <v>204</v>
      </c>
    </row>
    <row r="594" spans="2:29" s="28" customFormat="1" ht="70" x14ac:dyDescent="0.35">
      <c r="B594" s="77">
        <v>20250608</v>
      </c>
      <c r="C594" s="50" t="s">
        <v>209</v>
      </c>
      <c r="D594" s="184" t="s">
        <v>168</v>
      </c>
      <c r="E594" s="51" t="s">
        <v>603</v>
      </c>
      <c r="F594" s="184" t="s">
        <v>869</v>
      </c>
      <c r="G594" s="184" t="s">
        <v>156</v>
      </c>
      <c r="H594" s="93">
        <v>80111600</v>
      </c>
      <c r="I594" s="185">
        <v>3</v>
      </c>
      <c r="J594" s="185">
        <v>8</v>
      </c>
      <c r="K594" s="52">
        <v>0</v>
      </c>
      <c r="L594" s="53">
        <v>26240000</v>
      </c>
      <c r="M594" s="184" t="s">
        <v>464</v>
      </c>
      <c r="N594" s="53" t="s">
        <v>113</v>
      </c>
      <c r="O594" s="51" t="s">
        <v>224</v>
      </c>
      <c r="P594" s="186" t="str">
        <f>IFERROR(VLOOKUP(C594,TD!$B$33:$F$37,2,0)," ")</f>
        <v>O230117</v>
      </c>
      <c r="Q594" s="186" t="str">
        <f>IFERROR(VLOOKUP(C594,TD!$B$33:$F$37,3,0)," ")</f>
        <v>4503</v>
      </c>
      <c r="R594" s="186">
        <f>IFERROR(VLOOKUP(C594,TD!$B$33:$F$37,4,0)," ")</f>
        <v>20240255</v>
      </c>
      <c r="S594" s="51" t="s">
        <v>191</v>
      </c>
      <c r="T594" s="186" t="str">
        <f>IFERROR(VLOOKUP(S594,TD!$J$34:$K$44,2,0)," ")</f>
        <v>Servicio de apoyo   logístico  en eventos operativos y/o emergencias.</v>
      </c>
      <c r="U594" s="187" t="str">
        <f>CONCATENATE(S594,"-",T594)</f>
        <v>12-Servicio de apoyo   logístico  en eventos operativos y/o emergencias.</v>
      </c>
      <c r="V594" s="51" t="s">
        <v>232</v>
      </c>
      <c r="W594" s="186" t="str">
        <f>IFERROR(VLOOKUP(V594,TD!$N$34:$O$46,2,0)," ")</f>
        <v>Servicio de atención a emergencias y desastres</v>
      </c>
      <c r="X594" s="187" t="str">
        <f>CONCATENATE(V594,"_",W594)</f>
        <v>004_Servicio de atención a emergencias y desastres</v>
      </c>
      <c r="Y594" s="187" t="str">
        <f>CONCATENATE(U594," ",X594)</f>
        <v>12-Servicio de apoyo   logístico  en eventos operativos y/o emergencias. 004_Servicio de atención a emergencias y desastres</v>
      </c>
      <c r="Z594" s="186" t="str">
        <f>CONCATENATE(P594,Q594,R594,S594,V594)</f>
        <v>O23011745032024025512004</v>
      </c>
      <c r="AA594" s="186" t="str">
        <f>IFERROR(VLOOKUP(Y594,TD!$K$47:$L$65,2,0)," ")</f>
        <v>PM/0131/0112/45030040255</v>
      </c>
      <c r="AB594" s="53" t="s">
        <v>138</v>
      </c>
      <c r="AC594" s="188" t="s">
        <v>204</v>
      </c>
    </row>
    <row r="595" spans="2:29" s="28" customFormat="1" ht="112" x14ac:dyDescent="0.35">
      <c r="B595" s="77">
        <v>20250609</v>
      </c>
      <c r="C595" s="50" t="s">
        <v>209</v>
      </c>
      <c r="D595" s="184" t="s">
        <v>168</v>
      </c>
      <c r="E595" s="51" t="s">
        <v>603</v>
      </c>
      <c r="F595" s="184" t="s">
        <v>869</v>
      </c>
      <c r="G595" s="184" t="s">
        <v>156</v>
      </c>
      <c r="H595" s="93">
        <v>80111600</v>
      </c>
      <c r="I595" s="185">
        <v>3</v>
      </c>
      <c r="J595" s="185">
        <v>8</v>
      </c>
      <c r="K595" s="52">
        <v>0</v>
      </c>
      <c r="L595" s="53">
        <v>26240000</v>
      </c>
      <c r="M595" s="184" t="s">
        <v>464</v>
      </c>
      <c r="N595" s="53" t="s">
        <v>113</v>
      </c>
      <c r="O595" s="51" t="s">
        <v>224</v>
      </c>
      <c r="P595" s="186" t="str">
        <f>IFERROR(VLOOKUP(C595,TD!$B$33:$F$37,2,0)," ")</f>
        <v>O230117</v>
      </c>
      <c r="Q595" s="186" t="str">
        <f>IFERROR(VLOOKUP(C595,TD!$B$33:$F$37,3,0)," ")</f>
        <v>4503</v>
      </c>
      <c r="R595" s="186">
        <f>IFERROR(VLOOKUP(C595,TD!$B$33:$F$37,4,0)," ")</f>
        <v>20240255</v>
      </c>
      <c r="S595" s="51" t="s">
        <v>191</v>
      </c>
      <c r="T595" s="186" t="str">
        <f>IFERROR(VLOOKUP(S595,TD!$J$34:$K$44,2,0)," ")</f>
        <v>Servicio de apoyo   logístico  en eventos operativos y/o emergencias.</v>
      </c>
      <c r="U595" s="187" t="str">
        <f>CONCATENATE(S595,"-",T595)</f>
        <v>12-Servicio de apoyo   logístico  en eventos operativos y/o emergencias.</v>
      </c>
      <c r="V595" s="51" t="s">
        <v>232</v>
      </c>
      <c r="W595" s="186" t="str">
        <f>IFERROR(VLOOKUP(V595,TD!$N$34:$O$46,2,0)," ")</f>
        <v>Servicio de atención a emergencias y desastres</v>
      </c>
      <c r="X595" s="187" t="str">
        <f>CONCATENATE(V595,"_",W595)</f>
        <v>004_Servicio de atención a emergencias y desastres</v>
      </c>
      <c r="Y595" s="187" t="str">
        <f>CONCATENATE(U595," ",X595)</f>
        <v>12-Servicio de apoyo   logístico  en eventos operativos y/o emergencias. 004_Servicio de atención a emergencias y desastres</v>
      </c>
      <c r="Z595" s="186" t="str">
        <f>CONCATENATE(P595,Q595,R595,S595,V595)</f>
        <v>O23011745032024025512004</v>
      </c>
      <c r="AA595" s="186" t="str">
        <f>IFERROR(VLOOKUP(Y595,TD!$K$47:$L$65,2,0)," ")</f>
        <v>PM/0131/0112/45030040255</v>
      </c>
      <c r="AB595" s="53" t="s">
        <v>138</v>
      </c>
      <c r="AC595" s="188" t="s">
        <v>204</v>
      </c>
    </row>
    <row r="596" spans="2:29" s="28" customFormat="1" ht="56" x14ac:dyDescent="0.35">
      <c r="B596" s="77">
        <v>20250610</v>
      </c>
      <c r="C596" s="50" t="s">
        <v>209</v>
      </c>
      <c r="D596" s="184" t="s">
        <v>168</v>
      </c>
      <c r="E596" s="51" t="s">
        <v>603</v>
      </c>
      <c r="F596" s="184" t="s">
        <v>869</v>
      </c>
      <c r="G596" s="184" t="s">
        <v>156</v>
      </c>
      <c r="H596" s="93">
        <v>80111600</v>
      </c>
      <c r="I596" s="185">
        <v>3</v>
      </c>
      <c r="J596" s="185">
        <v>8</v>
      </c>
      <c r="K596" s="52">
        <v>0</v>
      </c>
      <c r="L596" s="53">
        <v>26240000</v>
      </c>
      <c r="M596" s="184" t="s">
        <v>464</v>
      </c>
      <c r="N596" s="53" t="s">
        <v>113</v>
      </c>
      <c r="O596" s="51" t="s">
        <v>224</v>
      </c>
      <c r="P596" s="186" t="str">
        <f>IFERROR(VLOOKUP(C596,TD!$B$33:$F$37,2,0)," ")</f>
        <v>O230117</v>
      </c>
      <c r="Q596" s="186" t="str">
        <f>IFERROR(VLOOKUP(C596,TD!$B$33:$F$37,3,0)," ")</f>
        <v>4503</v>
      </c>
      <c r="R596" s="186">
        <f>IFERROR(VLOOKUP(C596,TD!$B$33:$F$37,4,0)," ")</f>
        <v>20240255</v>
      </c>
      <c r="S596" s="51" t="s">
        <v>191</v>
      </c>
      <c r="T596" s="186" t="str">
        <f>IFERROR(VLOOKUP(S596,TD!$J$34:$K$44,2,0)," ")</f>
        <v>Servicio de apoyo   logístico  en eventos operativos y/o emergencias.</v>
      </c>
      <c r="U596" s="187" t="str">
        <f>CONCATENATE(S596,"-",T596)</f>
        <v>12-Servicio de apoyo   logístico  en eventos operativos y/o emergencias.</v>
      </c>
      <c r="V596" s="51" t="s">
        <v>232</v>
      </c>
      <c r="W596" s="186" t="str">
        <f>IFERROR(VLOOKUP(V596,TD!$N$34:$O$46,2,0)," ")</f>
        <v>Servicio de atención a emergencias y desastres</v>
      </c>
      <c r="X596" s="187" t="str">
        <f>CONCATENATE(V596,"_",W596)</f>
        <v>004_Servicio de atención a emergencias y desastres</v>
      </c>
      <c r="Y596" s="187" t="str">
        <f>CONCATENATE(U596," ",X596)</f>
        <v>12-Servicio de apoyo   logístico  en eventos operativos y/o emergencias. 004_Servicio de atención a emergencias y desastres</v>
      </c>
      <c r="Z596" s="186" t="str">
        <f>CONCATENATE(P596,Q596,R596,S596,V596)</f>
        <v>O23011745032024025512004</v>
      </c>
      <c r="AA596" s="186" t="str">
        <f>IFERROR(VLOOKUP(Y596,TD!$K$47:$L$65,2,0)," ")</f>
        <v>PM/0131/0112/45030040255</v>
      </c>
      <c r="AB596" s="53" t="s">
        <v>138</v>
      </c>
      <c r="AC596" s="188" t="s">
        <v>204</v>
      </c>
    </row>
    <row r="597" spans="2:29" s="28" customFormat="1" ht="84" x14ac:dyDescent="0.35">
      <c r="B597" s="127">
        <v>20250613</v>
      </c>
      <c r="C597" s="129" t="s">
        <v>208</v>
      </c>
      <c r="D597" s="189" t="s">
        <v>162</v>
      </c>
      <c r="E597" s="190" t="s">
        <v>355</v>
      </c>
      <c r="F597" s="189" t="s">
        <v>768</v>
      </c>
      <c r="G597" s="189" t="s">
        <v>154</v>
      </c>
      <c r="H597" s="130">
        <v>46171619</v>
      </c>
      <c r="I597" s="191">
        <v>10</v>
      </c>
      <c r="J597" s="191">
        <v>2</v>
      </c>
      <c r="K597" s="126">
        <v>0</v>
      </c>
      <c r="L597" s="125">
        <v>57910392</v>
      </c>
      <c r="M597" s="189" t="s">
        <v>464</v>
      </c>
      <c r="N597" s="125" t="s">
        <v>123</v>
      </c>
      <c r="O597" s="190" t="s">
        <v>215</v>
      </c>
      <c r="P597" s="192" t="str">
        <f>IFERROR(VLOOKUP(C597,TD!$B$33:$F$37,2,0)," ")</f>
        <v>O230117</v>
      </c>
      <c r="Q597" s="192" t="str">
        <f>IFERROR(VLOOKUP(C597,TD!$B$33:$F$37,3,0)," ")</f>
        <v>4599</v>
      </c>
      <c r="R597" s="192">
        <f>IFERROR(VLOOKUP(C597,TD!$B$33:$F$37,4,0)," ")</f>
        <v>20240207</v>
      </c>
      <c r="S597" s="190" t="s">
        <v>179</v>
      </c>
      <c r="T597" s="192" t="str">
        <f>IFERROR(VLOOKUP(S597,TD!$J$34:$K$44,2,0)," ")</f>
        <v>Infraestructura Tecnológica   (Sistemas de Información y Tecnologia)</v>
      </c>
      <c r="U597" s="187" t="str">
        <f>CONCATENATE(S597,"-",T597)</f>
        <v>11-Infraestructura Tecnológica   (Sistemas de Información y Tecnologia)</v>
      </c>
      <c r="V597" s="190" t="s">
        <v>239</v>
      </c>
      <c r="W597" s="192" t="str">
        <f>IFERROR(VLOOKUP(V597,TD!$N$34:$O$46,2,0)," ")</f>
        <v>Servicios tecnológicos</v>
      </c>
      <c r="X597" s="187" t="str">
        <f>CONCATENATE(V597,"_",W597)</f>
        <v>007_Servicios tecnológicos</v>
      </c>
      <c r="Y597" s="187" t="str">
        <f>CONCATENATE(U597," ",X597)</f>
        <v>11-Infraestructura Tecnológica   (Sistemas de Información y Tecnologia) 007_Servicios tecnológicos</v>
      </c>
      <c r="Z597" s="192" t="str">
        <f>CONCATENATE(P597,Q597,R597,S597,V597)</f>
        <v>O23011745992024020711007</v>
      </c>
      <c r="AA597" s="192" t="str">
        <f>IFERROR(VLOOKUP(Y597,TD!$K$47:$L$65,2,0)," ")</f>
        <v>PM/0131/0111/45990070207</v>
      </c>
      <c r="AB597" s="125" t="s">
        <v>130</v>
      </c>
      <c r="AC597" s="193" t="s">
        <v>204</v>
      </c>
    </row>
    <row r="598" spans="2:29" s="28" customFormat="1" ht="56" x14ac:dyDescent="0.35">
      <c r="B598" s="77">
        <v>20250614</v>
      </c>
      <c r="C598" s="50" t="s">
        <v>208</v>
      </c>
      <c r="D598" s="184" t="s">
        <v>162</v>
      </c>
      <c r="E598" s="51" t="s">
        <v>355</v>
      </c>
      <c r="F598" s="184" t="s">
        <v>769</v>
      </c>
      <c r="G598" s="184" t="s">
        <v>155</v>
      </c>
      <c r="H598" s="93">
        <v>80111600</v>
      </c>
      <c r="I598" s="185">
        <v>2</v>
      </c>
      <c r="J598" s="185">
        <v>11</v>
      </c>
      <c r="K598" s="52">
        <v>0</v>
      </c>
      <c r="L598" s="53">
        <v>49500000</v>
      </c>
      <c r="M598" s="184" t="s">
        <v>464</v>
      </c>
      <c r="N598" s="53" t="s">
        <v>113</v>
      </c>
      <c r="O598" s="51" t="s">
        <v>215</v>
      </c>
      <c r="P598" s="186" t="str">
        <f>IFERROR(VLOOKUP(C598,TD!$B$33:$F$37,2,0)," ")</f>
        <v>O230117</v>
      </c>
      <c r="Q598" s="186" t="str">
        <f>IFERROR(VLOOKUP(C598,TD!$B$33:$F$37,3,0)," ")</f>
        <v>4599</v>
      </c>
      <c r="R598" s="186">
        <f>IFERROR(VLOOKUP(C598,TD!$B$33:$F$37,4,0)," ")</f>
        <v>20240207</v>
      </c>
      <c r="S598" s="51" t="s">
        <v>179</v>
      </c>
      <c r="T598" s="186" t="str">
        <f>IFERROR(VLOOKUP(S598,TD!$J$34:$K$44,2,0)," ")</f>
        <v>Infraestructura Tecnológica   (Sistemas de Información y Tecnologia)</v>
      </c>
      <c r="U598" s="187" t="str">
        <f>CONCATENATE(S598,"-",T598)</f>
        <v>11-Infraestructura Tecnológica   (Sistemas de Información y Tecnologia)</v>
      </c>
      <c r="V598" s="51" t="s">
        <v>239</v>
      </c>
      <c r="W598" s="186" t="str">
        <f>IFERROR(VLOOKUP(V598,TD!$N$34:$O$46,2,0)," ")</f>
        <v>Servicios tecnológicos</v>
      </c>
      <c r="X598" s="187" t="str">
        <f>CONCATENATE(V598,"_",W598)</f>
        <v>007_Servicios tecnológicos</v>
      </c>
      <c r="Y598" s="187" t="str">
        <f>CONCATENATE(U598," ",X598)</f>
        <v>11-Infraestructura Tecnológica   (Sistemas de Información y Tecnologia) 007_Servicios tecnológicos</v>
      </c>
      <c r="Z598" s="186" t="str">
        <f>CONCATENATE(P598,Q598,R598,S598,V598)</f>
        <v>O23011745992024020711007</v>
      </c>
      <c r="AA598" s="186" t="str">
        <f>IFERROR(VLOOKUP(Y598,TD!$K$47:$L$65,2,0)," ")</f>
        <v>PM/0131/0111/45990070207</v>
      </c>
      <c r="AB598" s="53" t="s">
        <v>138</v>
      </c>
      <c r="AC598" s="188" t="s">
        <v>204</v>
      </c>
    </row>
    <row r="599" spans="2:29" s="28" customFormat="1" ht="98" x14ac:dyDescent="0.35">
      <c r="B599" s="77">
        <v>20250617</v>
      </c>
      <c r="C599" s="50" t="s">
        <v>208</v>
      </c>
      <c r="D599" s="184" t="s">
        <v>162</v>
      </c>
      <c r="E599" s="51" t="s">
        <v>355</v>
      </c>
      <c r="F599" s="184" t="s">
        <v>805</v>
      </c>
      <c r="G599" s="184" t="s">
        <v>155</v>
      </c>
      <c r="H599" s="93">
        <v>80111600</v>
      </c>
      <c r="I599" s="185">
        <v>2</v>
      </c>
      <c r="J599" s="185">
        <v>7</v>
      </c>
      <c r="K599" s="52">
        <v>0</v>
      </c>
      <c r="L599" s="53">
        <v>49000000</v>
      </c>
      <c r="M599" s="184" t="s">
        <v>464</v>
      </c>
      <c r="N599" s="53" t="s">
        <v>113</v>
      </c>
      <c r="O599" s="51" t="s">
        <v>215</v>
      </c>
      <c r="P599" s="186" t="str">
        <f>IFERROR(VLOOKUP(C599,TD!$B$33:$F$37,2,0)," ")</f>
        <v>O230117</v>
      </c>
      <c r="Q599" s="186" t="str">
        <f>IFERROR(VLOOKUP(C599,TD!$B$33:$F$37,3,0)," ")</f>
        <v>4599</v>
      </c>
      <c r="R599" s="186">
        <f>IFERROR(VLOOKUP(C599,TD!$B$33:$F$37,4,0)," ")</f>
        <v>20240207</v>
      </c>
      <c r="S599" s="51" t="s">
        <v>179</v>
      </c>
      <c r="T599" s="186" t="str">
        <f>IFERROR(VLOOKUP(S599,TD!$J$34:$K$44,2,0)," ")</f>
        <v>Infraestructura Tecnológica   (Sistemas de Información y Tecnologia)</v>
      </c>
      <c r="U599" s="187" t="str">
        <f>CONCATENATE(S599,"-",T599)</f>
        <v>11-Infraestructura Tecnológica   (Sistemas de Información y Tecnologia)</v>
      </c>
      <c r="V599" s="51" t="s">
        <v>239</v>
      </c>
      <c r="W599" s="186" t="str">
        <f>IFERROR(VLOOKUP(V599,TD!$N$34:$O$46,2,0)," ")</f>
        <v>Servicios tecnológicos</v>
      </c>
      <c r="X599" s="187" t="str">
        <f>CONCATENATE(V599,"_",W599)</f>
        <v>007_Servicios tecnológicos</v>
      </c>
      <c r="Y599" s="187" t="str">
        <f>CONCATENATE(U599," ",X599)</f>
        <v>11-Infraestructura Tecnológica   (Sistemas de Información y Tecnologia) 007_Servicios tecnológicos</v>
      </c>
      <c r="Z599" s="186" t="str">
        <f>CONCATENATE(P599,Q599,R599,S599,V599)</f>
        <v>O23011745992024020711007</v>
      </c>
      <c r="AA599" s="186" t="str">
        <f>IFERROR(VLOOKUP(Y599,TD!$K$47:$L$65,2,0)," ")</f>
        <v>PM/0131/0111/45990070207</v>
      </c>
      <c r="AB599" s="53" t="s">
        <v>120</v>
      </c>
      <c r="AC599" s="188" t="s">
        <v>204</v>
      </c>
    </row>
    <row r="600" spans="2:29" s="28" customFormat="1" ht="56" x14ac:dyDescent="0.35">
      <c r="B600" s="77">
        <v>20250618</v>
      </c>
      <c r="C600" s="50" t="s">
        <v>208</v>
      </c>
      <c r="D600" s="184" t="s">
        <v>162</v>
      </c>
      <c r="E600" s="51" t="s">
        <v>355</v>
      </c>
      <c r="F600" s="184" t="s">
        <v>806</v>
      </c>
      <c r="G600" s="184" t="s">
        <v>155</v>
      </c>
      <c r="H600" s="93">
        <v>80111600</v>
      </c>
      <c r="I600" s="185">
        <v>2</v>
      </c>
      <c r="J600" s="185">
        <v>5</v>
      </c>
      <c r="K600" s="52">
        <v>0</v>
      </c>
      <c r="L600" s="53">
        <v>35000000</v>
      </c>
      <c r="M600" s="184" t="s">
        <v>464</v>
      </c>
      <c r="N600" s="53" t="s">
        <v>113</v>
      </c>
      <c r="O600" s="51" t="s">
        <v>214</v>
      </c>
      <c r="P600" s="186" t="str">
        <f>IFERROR(VLOOKUP(C600,TD!$B$33:$F$37,2,0)," ")</f>
        <v>O230117</v>
      </c>
      <c r="Q600" s="186" t="str">
        <f>IFERROR(VLOOKUP(C600,TD!$B$33:$F$37,3,0)," ")</f>
        <v>4599</v>
      </c>
      <c r="R600" s="186">
        <f>IFERROR(VLOOKUP(C600,TD!$B$33:$F$37,4,0)," ")</f>
        <v>20240207</v>
      </c>
      <c r="S600" s="51" t="s">
        <v>179</v>
      </c>
      <c r="T600" s="186" t="str">
        <f>IFERROR(VLOOKUP(S600,TD!$J$34:$K$44,2,0)," ")</f>
        <v>Infraestructura Tecnológica   (Sistemas de Información y Tecnologia)</v>
      </c>
      <c r="U600" s="187" t="str">
        <f>CONCATENATE(S600,"-",T600)</f>
        <v>11-Infraestructura Tecnológica   (Sistemas de Información y Tecnologia)</v>
      </c>
      <c r="V600" s="51" t="s">
        <v>239</v>
      </c>
      <c r="W600" s="186" t="str">
        <f>IFERROR(VLOOKUP(V600,TD!$N$34:$O$46,2,0)," ")</f>
        <v>Servicios tecnológicos</v>
      </c>
      <c r="X600" s="187" t="str">
        <f>CONCATENATE(V600,"_",W600)</f>
        <v>007_Servicios tecnológicos</v>
      </c>
      <c r="Y600" s="187" t="str">
        <f>CONCATENATE(U600," ",X600)</f>
        <v>11-Infraestructura Tecnológica   (Sistemas de Información y Tecnologia) 007_Servicios tecnológicos</v>
      </c>
      <c r="Z600" s="186" t="str">
        <f>CONCATENATE(P600,Q600,R600,S600,V600)</f>
        <v>O23011745992024020711007</v>
      </c>
      <c r="AA600" s="186" t="str">
        <f>IFERROR(VLOOKUP(Y600,TD!$K$47:$L$65,2,0)," ")</f>
        <v>PM/0131/0111/45990070207</v>
      </c>
      <c r="AB600" s="53" t="s">
        <v>138</v>
      </c>
      <c r="AC600" s="188" t="s">
        <v>204</v>
      </c>
    </row>
    <row r="601" spans="2:29" s="28" customFormat="1" ht="84" x14ac:dyDescent="0.35">
      <c r="B601" s="77">
        <v>20250619</v>
      </c>
      <c r="C601" s="50" t="s">
        <v>208</v>
      </c>
      <c r="D601" s="184" t="s">
        <v>162</v>
      </c>
      <c r="E601" s="51" t="s">
        <v>355</v>
      </c>
      <c r="F601" s="184" t="s">
        <v>807</v>
      </c>
      <c r="G601" s="184" t="s">
        <v>96</v>
      </c>
      <c r="H601" s="93">
        <v>81112006</v>
      </c>
      <c r="I601" s="185">
        <v>2</v>
      </c>
      <c r="J601" s="185">
        <v>4</v>
      </c>
      <c r="K601" s="52">
        <v>0</v>
      </c>
      <c r="L601" s="53">
        <v>7000000</v>
      </c>
      <c r="M601" s="184" t="s">
        <v>464</v>
      </c>
      <c r="N601" s="53" t="s">
        <v>123</v>
      </c>
      <c r="O601" s="51" t="s">
        <v>214</v>
      </c>
      <c r="P601" s="186" t="str">
        <f>IFERROR(VLOOKUP(C601,TD!$B$33:$F$37,2,0)," ")</f>
        <v>O230117</v>
      </c>
      <c r="Q601" s="186" t="str">
        <f>IFERROR(VLOOKUP(C601,TD!$B$33:$F$37,3,0)," ")</f>
        <v>4599</v>
      </c>
      <c r="R601" s="186">
        <f>IFERROR(VLOOKUP(C601,TD!$B$33:$F$37,4,0)," ")</f>
        <v>20240207</v>
      </c>
      <c r="S601" s="51" t="s">
        <v>179</v>
      </c>
      <c r="T601" s="186" t="str">
        <f>IFERROR(VLOOKUP(S601,TD!$J$34:$K$44,2,0)," ")</f>
        <v>Infraestructura Tecnológica   (Sistemas de Información y Tecnologia)</v>
      </c>
      <c r="U601" s="187" t="str">
        <f>CONCATENATE(S601,"-",T601)</f>
        <v>11-Infraestructura Tecnológica   (Sistemas de Información y Tecnologia)</v>
      </c>
      <c r="V601" s="51" t="s">
        <v>239</v>
      </c>
      <c r="W601" s="186" t="str">
        <f>IFERROR(VLOOKUP(V601,TD!$N$34:$O$46,2,0)," ")</f>
        <v>Servicios tecnológicos</v>
      </c>
      <c r="X601" s="187" t="str">
        <f>CONCATENATE(V601,"_",W601)</f>
        <v>007_Servicios tecnológicos</v>
      </c>
      <c r="Y601" s="187" t="str">
        <f>CONCATENATE(U601," ",X601)</f>
        <v>11-Infraestructura Tecnológica   (Sistemas de Información y Tecnologia) 007_Servicios tecnológicos</v>
      </c>
      <c r="Z601" s="186" t="str">
        <f>CONCATENATE(P601,Q601,R601,S601,V601)</f>
        <v>O23011745992024020711007</v>
      </c>
      <c r="AA601" s="186" t="str">
        <f>IFERROR(VLOOKUP(Y601,TD!$K$47:$L$65,2,0)," ")</f>
        <v>PM/0131/0111/45990070207</v>
      </c>
      <c r="AB601" s="53" t="s">
        <v>125</v>
      </c>
      <c r="AC601" s="188" t="s">
        <v>205</v>
      </c>
    </row>
    <row r="602" spans="2:29" s="28" customFormat="1" ht="56" x14ac:dyDescent="0.35">
      <c r="B602" s="127">
        <v>20250620</v>
      </c>
      <c r="C602" s="129" t="s">
        <v>208</v>
      </c>
      <c r="D602" s="189" t="s">
        <v>162</v>
      </c>
      <c r="E602" s="190" t="s">
        <v>355</v>
      </c>
      <c r="F602" s="189" t="s">
        <v>808</v>
      </c>
      <c r="G602" s="189" t="s">
        <v>149</v>
      </c>
      <c r="H602" s="130" t="s">
        <v>809</v>
      </c>
      <c r="I602" s="191">
        <v>4</v>
      </c>
      <c r="J602" s="191">
        <v>12</v>
      </c>
      <c r="K602" s="126">
        <v>0</v>
      </c>
      <c r="L602" s="125">
        <v>54997754</v>
      </c>
      <c r="M602" s="189" t="s">
        <v>464</v>
      </c>
      <c r="N602" s="125" t="s">
        <v>113</v>
      </c>
      <c r="O602" s="190" t="s">
        <v>214</v>
      </c>
      <c r="P602" s="192" t="str">
        <f>IFERROR(VLOOKUP(C602,TD!$B$33:$F$37,2,0)," ")</f>
        <v>O230117</v>
      </c>
      <c r="Q602" s="192" t="str">
        <f>IFERROR(VLOOKUP(C602,TD!$B$33:$F$37,3,0)," ")</f>
        <v>4599</v>
      </c>
      <c r="R602" s="192">
        <f>IFERROR(VLOOKUP(C602,TD!$B$33:$F$37,4,0)," ")</f>
        <v>20240207</v>
      </c>
      <c r="S602" s="190" t="s">
        <v>179</v>
      </c>
      <c r="T602" s="192" t="str">
        <f>IFERROR(VLOOKUP(S602,TD!$J$34:$K$44,2,0)," ")</f>
        <v>Infraestructura Tecnológica   (Sistemas de Información y Tecnologia)</v>
      </c>
      <c r="U602" s="187" t="str">
        <f>CONCATENATE(S602,"-",T602)</f>
        <v>11-Infraestructura Tecnológica   (Sistemas de Información y Tecnologia)</v>
      </c>
      <c r="V602" s="190" t="s">
        <v>239</v>
      </c>
      <c r="W602" s="192" t="str">
        <f>IFERROR(VLOOKUP(V602,TD!$N$34:$O$46,2,0)," ")</f>
        <v>Servicios tecnológicos</v>
      </c>
      <c r="X602" s="187" t="str">
        <f>CONCATENATE(V602,"_",W602)</f>
        <v>007_Servicios tecnológicos</v>
      </c>
      <c r="Y602" s="187" t="str">
        <f>CONCATENATE(U602," ",X602)</f>
        <v>11-Infraestructura Tecnológica   (Sistemas de Información y Tecnologia) 007_Servicios tecnológicos</v>
      </c>
      <c r="Z602" s="192" t="str">
        <f>CONCATENATE(P602,Q602,R602,S602,V602)</f>
        <v>O23011745992024020711007</v>
      </c>
      <c r="AA602" s="192" t="str">
        <f>IFERROR(VLOOKUP(Y602,TD!$K$47:$L$65,2,0)," ")</f>
        <v>PM/0131/0111/45990070207</v>
      </c>
      <c r="AB602" s="125" t="s">
        <v>130</v>
      </c>
      <c r="AC602" s="193" t="s">
        <v>204</v>
      </c>
    </row>
    <row r="603" spans="2:29" s="28" customFormat="1" ht="56" x14ac:dyDescent="0.35">
      <c r="B603" s="127">
        <v>20250621</v>
      </c>
      <c r="C603" s="129" t="s">
        <v>208</v>
      </c>
      <c r="D603" s="189" t="s">
        <v>166</v>
      </c>
      <c r="E603" s="190" t="s">
        <v>558</v>
      </c>
      <c r="F603" s="189" t="s">
        <v>810</v>
      </c>
      <c r="G603" s="189" t="s">
        <v>155</v>
      </c>
      <c r="H603" s="130">
        <v>80111600</v>
      </c>
      <c r="I603" s="191">
        <v>0</v>
      </c>
      <c r="J603" s="191">
        <v>0</v>
      </c>
      <c r="K603" s="126">
        <v>0</v>
      </c>
      <c r="L603" s="125">
        <f>363652525+60000025+35500000+15500000+125000000+395000000+100000000</f>
        <v>1094652550</v>
      </c>
      <c r="M603" s="189" t="s">
        <v>464</v>
      </c>
      <c r="N603" s="125" t="s">
        <v>113</v>
      </c>
      <c r="O603" s="190" t="s">
        <v>219</v>
      </c>
      <c r="P603" s="192" t="str">
        <f>IFERROR(VLOOKUP(C603,TD!$B$33:$F$37,2,0)," ")</f>
        <v>O230117</v>
      </c>
      <c r="Q603" s="192" t="str">
        <f>IFERROR(VLOOKUP(C603,TD!$B$33:$F$37,3,0)," ")</f>
        <v>4599</v>
      </c>
      <c r="R603" s="192">
        <f>IFERROR(VLOOKUP(C603,TD!$B$33:$F$37,4,0)," ")</f>
        <v>20240207</v>
      </c>
      <c r="S603" s="190" t="s">
        <v>185</v>
      </c>
      <c r="T603" s="192" t="str">
        <f>IFERROR(VLOOKUP(S603,TD!$J$34:$K$44,2,0)," ")</f>
        <v>Infraestructura física, mantenimiento y dotación (Sedes construidas, mantenidas reforzadas)</v>
      </c>
      <c r="U603" s="187" t="str">
        <f>CONCATENATE(S603,"-",T603)</f>
        <v>08-Infraestructura física, mantenimiento y dotación (Sedes construidas, mantenidas reforzadas)</v>
      </c>
      <c r="V603" s="190" t="s">
        <v>238</v>
      </c>
      <c r="W603" s="192" t="str">
        <f>IFERROR(VLOOKUP(V603,TD!$N$34:$O$46,2,0)," ")</f>
        <v>Sedes mantenidas</v>
      </c>
      <c r="X603" s="187" t="str">
        <f>CONCATENATE(V603,"_",W603)</f>
        <v>016_Sedes mantenidas</v>
      </c>
      <c r="Y603" s="187" t="str">
        <f>CONCATENATE(U603," ",X603)</f>
        <v>08-Infraestructura física, mantenimiento y dotación (Sedes construidas, mantenidas reforzadas) 016_Sedes mantenidas</v>
      </c>
      <c r="Z603" s="192" t="str">
        <f>CONCATENATE(P603,Q603,R603,S603,V603)</f>
        <v>O23011745992024020708016</v>
      </c>
      <c r="AA603" s="192" t="str">
        <f>IFERROR(VLOOKUP(Y603,TD!$K$47:$L$65,2,0)," ")</f>
        <v>PM/0131/0108/45990160207</v>
      </c>
      <c r="AB603" s="125" t="s">
        <v>138</v>
      </c>
      <c r="AC603" s="193" t="s">
        <v>205</v>
      </c>
    </row>
    <row r="604" spans="2:29" s="28" customFormat="1" ht="84" x14ac:dyDescent="0.35">
      <c r="B604" s="77">
        <v>20250623</v>
      </c>
      <c r="C604" s="50" t="s">
        <v>208</v>
      </c>
      <c r="D604" s="184" t="s">
        <v>36</v>
      </c>
      <c r="E604" s="51" t="s">
        <v>378</v>
      </c>
      <c r="F604" s="184" t="s">
        <v>812</v>
      </c>
      <c r="G604" s="184" t="s">
        <v>156</v>
      </c>
      <c r="H604" s="93">
        <v>80111600</v>
      </c>
      <c r="I604" s="185">
        <v>3</v>
      </c>
      <c r="J604" s="185">
        <v>10</v>
      </c>
      <c r="K604" s="52">
        <v>0</v>
      </c>
      <c r="L604" s="53">
        <v>100000000</v>
      </c>
      <c r="M604" s="184" t="s">
        <v>464</v>
      </c>
      <c r="N604" s="53" t="s">
        <v>113</v>
      </c>
      <c r="O604" s="51" t="s">
        <v>212</v>
      </c>
      <c r="P604" s="186" t="str">
        <f>IFERROR(VLOOKUP(C604,TD!$B$33:$F$37,2,0)," ")</f>
        <v>O230117</v>
      </c>
      <c r="Q604" s="186" t="str">
        <f>IFERROR(VLOOKUP(C604,TD!$B$33:$F$37,3,0)," ")</f>
        <v>4599</v>
      </c>
      <c r="R604" s="186">
        <f>IFERROR(VLOOKUP(C604,TD!$B$33:$F$37,4,0)," ")</f>
        <v>20240207</v>
      </c>
      <c r="S604" s="51" t="s">
        <v>193</v>
      </c>
      <c r="T604" s="186" t="str">
        <f>IFERROR(VLOOKUP(S604,TD!$J$34:$K$44,2,0)," ")</f>
        <v>Servicios para la planeación y sistemas de gestión y comunicación estratégica</v>
      </c>
      <c r="U604" s="187" t="str">
        <f>CONCATENATE(S604,"-",T604)</f>
        <v>13-Servicios para la planeación y sistemas de gestión y comunicación estratégica</v>
      </c>
      <c r="V604" s="51" t="s">
        <v>241</v>
      </c>
      <c r="W604" s="186" t="str">
        <f>IFERROR(VLOOKUP(V604,TD!$N$34:$O$46,2,0)," ")</f>
        <v>Servicio de Implementación Sistemas de Gestión</v>
      </c>
      <c r="X604" s="187" t="str">
        <f>CONCATENATE(V604,"_",W604)</f>
        <v>023_Servicio de Implementación Sistemas de Gestión</v>
      </c>
      <c r="Y604" s="187" t="str">
        <f>CONCATENATE(U604," ",X604)</f>
        <v>13-Servicios para la planeación y sistemas de gestión y comunicación estratégica 023_Servicio de Implementación Sistemas de Gestión</v>
      </c>
      <c r="Z604" s="186" t="str">
        <f>CONCATENATE(P604,Q604,R604,S604,V604)</f>
        <v>O23011745992024020713023</v>
      </c>
      <c r="AA604" s="186" t="str">
        <f>IFERROR(VLOOKUP(Y604,TD!$K$47:$L$65,2,0)," ")</f>
        <v>PM/0131/0113/45990230207</v>
      </c>
      <c r="AB604" s="53" t="s">
        <v>138</v>
      </c>
      <c r="AC604" s="188" t="s">
        <v>204</v>
      </c>
    </row>
    <row r="605" spans="2:29" s="28" customFormat="1" ht="56" x14ac:dyDescent="0.35">
      <c r="B605" s="77">
        <v>20250624</v>
      </c>
      <c r="C605" s="50" t="s">
        <v>209</v>
      </c>
      <c r="D605" s="184" t="s">
        <v>165</v>
      </c>
      <c r="E605" s="51" t="s">
        <v>484</v>
      </c>
      <c r="F605" s="184" t="s">
        <v>813</v>
      </c>
      <c r="G605" s="184" t="s">
        <v>156</v>
      </c>
      <c r="H605" s="93">
        <v>80111600</v>
      </c>
      <c r="I605" s="185">
        <v>2</v>
      </c>
      <c r="J605" s="185">
        <v>8</v>
      </c>
      <c r="K605" s="52">
        <v>0</v>
      </c>
      <c r="L605" s="53">
        <v>0</v>
      </c>
      <c r="M605" s="184" t="s">
        <v>464</v>
      </c>
      <c r="N605" s="53" t="s">
        <v>113</v>
      </c>
      <c r="O605" s="51" t="s">
        <v>229</v>
      </c>
      <c r="P605" s="186" t="str">
        <f>IFERROR(VLOOKUP(C605,TD!$B$33:$F$37,2,0)," ")</f>
        <v>O230117</v>
      </c>
      <c r="Q605" s="186" t="str">
        <f>IFERROR(VLOOKUP(C605,TD!$B$33:$F$37,3,0)," ")</f>
        <v>4503</v>
      </c>
      <c r="R605" s="186">
        <f>IFERROR(VLOOKUP(C605,TD!$B$33:$F$37,4,0)," ")</f>
        <v>20240255</v>
      </c>
      <c r="S605" s="51" t="s">
        <v>183</v>
      </c>
      <c r="T605" s="186" t="str">
        <f>IFERROR(VLOOKUP(S605,TD!$J$34:$K$44,2,0)," ")</f>
        <v>Servicio de formación en gestión del riesgo de incendios para el personal UAECOB</v>
      </c>
      <c r="U605" s="187" t="str">
        <f>CONCATENATE(S605,"-",T605)</f>
        <v>07-Servicio de formación en gestión del riesgo de incendios para el personal UAECOB</v>
      </c>
      <c r="V605" s="51" t="s">
        <v>233</v>
      </c>
      <c r="W605" s="186" t="str">
        <f>IFERROR(VLOOKUP(V605,TD!$N$34:$O$46,2,0)," ")</f>
        <v>Servicio de educación informal</v>
      </c>
      <c r="X605" s="187" t="str">
        <f>CONCATENATE(V605,"_",W605)</f>
        <v>002_Servicio de educación informal</v>
      </c>
      <c r="Y605" s="187" t="str">
        <f>CONCATENATE(U605," ",X605)</f>
        <v>07-Servicio de formación en gestión del riesgo de incendios para el personal UAECOB 002_Servicio de educación informal</v>
      </c>
      <c r="Z605" s="186" t="str">
        <f>CONCATENATE(P605,Q605,R605,S605,V605)</f>
        <v>O23011745032024025507002</v>
      </c>
      <c r="AA605" s="186" t="str">
        <f>IFERROR(VLOOKUP(Y605,TD!$K$47:$L$65,2,0)," ")</f>
        <v>PM/0131/0107/45030020255</v>
      </c>
      <c r="AB605" s="53" t="s">
        <v>138</v>
      </c>
      <c r="AC605" s="188" t="s">
        <v>204</v>
      </c>
    </row>
    <row r="606" spans="2:29" s="28" customFormat="1" ht="56" x14ac:dyDescent="0.35">
      <c r="B606" s="77">
        <v>20250625</v>
      </c>
      <c r="C606" s="50" t="s">
        <v>209</v>
      </c>
      <c r="D606" s="184" t="s">
        <v>165</v>
      </c>
      <c r="E606" s="51" t="s">
        <v>484</v>
      </c>
      <c r="F606" s="184" t="s">
        <v>814</v>
      </c>
      <c r="G606" s="184" t="s">
        <v>156</v>
      </c>
      <c r="H606" s="93">
        <v>80111600</v>
      </c>
      <c r="I606" s="185">
        <v>2</v>
      </c>
      <c r="J606" s="185">
        <v>8</v>
      </c>
      <c r="K606" s="52">
        <v>0</v>
      </c>
      <c r="L606" s="53">
        <v>29600000</v>
      </c>
      <c r="M606" s="184" t="s">
        <v>464</v>
      </c>
      <c r="N606" s="53" t="s">
        <v>113</v>
      </c>
      <c r="O606" s="51" t="s">
        <v>229</v>
      </c>
      <c r="P606" s="186" t="str">
        <f>IFERROR(VLOOKUP(C606,TD!$B$33:$F$37,2,0)," ")</f>
        <v>O230117</v>
      </c>
      <c r="Q606" s="186" t="str">
        <f>IFERROR(VLOOKUP(C606,TD!$B$33:$F$37,3,0)," ")</f>
        <v>4503</v>
      </c>
      <c r="R606" s="186">
        <f>IFERROR(VLOOKUP(C606,TD!$B$33:$F$37,4,0)," ")</f>
        <v>20240255</v>
      </c>
      <c r="S606" s="51" t="s">
        <v>183</v>
      </c>
      <c r="T606" s="186" t="str">
        <f>IFERROR(VLOOKUP(S606,TD!$J$34:$K$44,2,0)," ")</f>
        <v>Servicio de formación en gestión del riesgo de incendios para el personal UAECOB</v>
      </c>
      <c r="U606" s="187" t="str">
        <f>CONCATENATE(S606,"-",T606)</f>
        <v>07-Servicio de formación en gestión del riesgo de incendios para el personal UAECOB</v>
      </c>
      <c r="V606" s="51" t="s">
        <v>233</v>
      </c>
      <c r="W606" s="186" t="str">
        <f>IFERROR(VLOOKUP(V606,TD!$N$34:$O$46,2,0)," ")</f>
        <v>Servicio de educación informal</v>
      </c>
      <c r="X606" s="187" t="str">
        <f>CONCATENATE(V606,"_",W606)</f>
        <v>002_Servicio de educación informal</v>
      </c>
      <c r="Y606" s="187" t="str">
        <f>CONCATENATE(U606," ",X606)</f>
        <v>07-Servicio de formación en gestión del riesgo de incendios para el personal UAECOB 002_Servicio de educación informal</v>
      </c>
      <c r="Z606" s="186" t="str">
        <f>CONCATENATE(P606,Q606,R606,S606,V606)</f>
        <v>O23011745032024025507002</v>
      </c>
      <c r="AA606" s="186" t="str">
        <f>IFERROR(VLOOKUP(Y606,TD!$K$47:$L$65,2,0)," ")</f>
        <v>PM/0131/0107/45030020255</v>
      </c>
      <c r="AB606" s="53" t="s">
        <v>138</v>
      </c>
      <c r="AC606" s="188" t="s">
        <v>204</v>
      </c>
    </row>
    <row r="607" spans="2:29" s="28" customFormat="1" ht="112" x14ac:dyDescent="0.35">
      <c r="B607" s="77">
        <v>20250626</v>
      </c>
      <c r="C607" s="50" t="s">
        <v>209</v>
      </c>
      <c r="D607" s="184" t="s">
        <v>168</v>
      </c>
      <c r="E607" s="51" t="s">
        <v>603</v>
      </c>
      <c r="F607" s="184" t="s">
        <v>819</v>
      </c>
      <c r="G607" s="184" t="s">
        <v>156</v>
      </c>
      <c r="H607" s="93">
        <v>80111600</v>
      </c>
      <c r="I607" s="185">
        <v>2</v>
      </c>
      <c r="J607" s="185">
        <v>6</v>
      </c>
      <c r="K607" s="52">
        <v>0</v>
      </c>
      <c r="L607" s="53">
        <v>18000000</v>
      </c>
      <c r="M607" s="184" t="s">
        <v>464</v>
      </c>
      <c r="N607" s="53" t="s">
        <v>113</v>
      </c>
      <c r="O607" s="51" t="s">
        <v>224</v>
      </c>
      <c r="P607" s="186" t="str">
        <f>IFERROR(VLOOKUP(C607,TD!$B$33:$F$37,2,0)," ")</f>
        <v>O230117</v>
      </c>
      <c r="Q607" s="186" t="str">
        <f>IFERROR(VLOOKUP(C607,TD!$B$33:$F$37,3,0)," ")</f>
        <v>4503</v>
      </c>
      <c r="R607" s="186">
        <f>IFERROR(VLOOKUP(C607,TD!$B$33:$F$37,4,0)," ")</f>
        <v>20240255</v>
      </c>
      <c r="S607" s="51" t="s">
        <v>191</v>
      </c>
      <c r="T607" s="186" t="str">
        <f>IFERROR(VLOOKUP(S607,TD!$J$34:$K$44,2,0)," ")</f>
        <v>Servicio de apoyo   logístico  en eventos operativos y/o emergencias.</v>
      </c>
      <c r="U607" s="187" t="str">
        <f>CONCATENATE(S607,"-",T607)</f>
        <v>12-Servicio de apoyo   logístico  en eventos operativos y/o emergencias.</v>
      </c>
      <c r="V607" s="51" t="s">
        <v>232</v>
      </c>
      <c r="W607" s="186" t="str">
        <f>IFERROR(VLOOKUP(V607,TD!$N$34:$O$46,2,0)," ")</f>
        <v>Servicio de atención a emergencias y desastres</v>
      </c>
      <c r="X607" s="187" t="str">
        <f>CONCATENATE(V607,"_",W607)</f>
        <v>004_Servicio de atención a emergencias y desastres</v>
      </c>
      <c r="Y607" s="187" t="str">
        <f>CONCATENATE(U607," ",X607)</f>
        <v>12-Servicio de apoyo   logístico  en eventos operativos y/o emergencias. 004_Servicio de atención a emergencias y desastres</v>
      </c>
      <c r="Z607" s="186" t="str">
        <f>CONCATENATE(P607,Q607,R607,S607,V607)</f>
        <v>O23011745032024025512004</v>
      </c>
      <c r="AA607" s="186" t="str">
        <f>IFERROR(VLOOKUP(Y607,TD!$K$47:$L$65,2,0)," ")</f>
        <v>PM/0131/0112/45030040255</v>
      </c>
      <c r="AB607" s="53" t="s">
        <v>138</v>
      </c>
      <c r="AC607" s="188" t="s">
        <v>204</v>
      </c>
    </row>
    <row r="608" spans="2:29" s="28" customFormat="1" ht="84" x14ac:dyDescent="0.35">
      <c r="B608" s="77">
        <v>20250628</v>
      </c>
      <c r="C608" s="50" t="s">
        <v>209</v>
      </c>
      <c r="D608" s="184" t="s">
        <v>167</v>
      </c>
      <c r="E608" s="51" t="s">
        <v>505</v>
      </c>
      <c r="F608" s="184" t="s">
        <v>823</v>
      </c>
      <c r="G608" s="184" t="s">
        <v>96</v>
      </c>
      <c r="H608" s="93" t="s">
        <v>521</v>
      </c>
      <c r="I608" s="185">
        <v>2</v>
      </c>
      <c r="J608" s="185">
        <v>12</v>
      </c>
      <c r="K608" s="52">
        <v>0</v>
      </c>
      <c r="L608" s="53">
        <v>190000000</v>
      </c>
      <c r="M608" s="184" t="s">
        <v>464</v>
      </c>
      <c r="N608" s="53" t="s">
        <v>90</v>
      </c>
      <c r="O608" s="51" t="s">
        <v>221</v>
      </c>
      <c r="P608" s="186" t="str">
        <f>IFERROR(VLOOKUP(C608,TD!$B$33:$F$37,2,0)," ")</f>
        <v>O230117</v>
      </c>
      <c r="Q608" s="186" t="str">
        <f>IFERROR(VLOOKUP(C608,TD!$B$33:$F$37,3,0)," ")</f>
        <v>4503</v>
      </c>
      <c r="R608" s="186">
        <f>IFERROR(VLOOKUP(C608,TD!$B$33:$F$37,4,0)," ")</f>
        <v>20240255</v>
      </c>
      <c r="S608" s="51" t="s">
        <v>179</v>
      </c>
      <c r="T608" s="186" t="str">
        <f>IFERROR(VLOOKUP(S608,TD!$J$34:$K$44,2,0)," ")</f>
        <v>Infraestructura Tecnológica   (Sistemas de Información y Tecnologia)</v>
      </c>
      <c r="U608" s="187" t="str">
        <f>CONCATENATE(S608,"-",T608)</f>
        <v>11-Infraestructura Tecnológica   (Sistemas de Información y Tecnologia)</v>
      </c>
      <c r="V608" s="51" t="s">
        <v>235</v>
      </c>
      <c r="W608" s="186" t="str">
        <f>IFERROR(VLOOKUP(V608,TD!$N$34:$O$46,2,0)," ")</f>
        <v>"Servicio de monitoreo y seguimiento para la gestión del riesgo"</v>
      </c>
      <c r="X608" s="187" t="str">
        <f>CONCATENATE(V608,"_",W608)</f>
        <v>018_"Servicio de monitoreo y seguimiento para la gestión del riesgo"</v>
      </c>
      <c r="Y608" s="187" t="str">
        <f>CONCATENATE(U608," ",X608)</f>
        <v>11-Infraestructura Tecnológica   (Sistemas de Información y Tecnologia) 018_"Servicio de monitoreo y seguimiento para la gestión del riesgo"</v>
      </c>
      <c r="Z608" s="186" t="str">
        <f>CONCATENATE(P608,Q608,R608,S608,V608)</f>
        <v>O23011745032024025511018</v>
      </c>
      <c r="AA608" s="186" t="str">
        <f>IFERROR(VLOOKUP(Y608,TD!$K$47:$L$65,2,0)," ")</f>
        <v>PM/0131/0111/45030180255</v>
      </c>
      <c r="AB608" s="53" t="s">
        <v>138</v>
      </c>
      <c r="AC608" s="188" t="s">
        <v>205</v>
      </c>
    </row>
    <row r="609" spans="2:29" s="28" customFormat="1" ht="70" x14ac:dyDescent="0.35">
      <c r="B609" s="77">
        <v>20250629</v>
      </c>
      <c r="C609" s="50" t="s">
        <v>209</v>
      </c>
      <c r="D609" s="184" t="s">
        <v>167</v>
      </c>
      <c r="E609" s="51" t="s">
        <v>505</v>
      </c>
      <c r="F609" s="184" t="s">
        <v>824</v>
      </c>
      <c r="G609" s="184" t="s">
        <v>96</v>
      </c>
      <c r="H609" s="93" t="s">
        <v>375</v>
      </c>
      <c r="I609" s="185">
        <v>2</v>
      </c>
      <c r="J609" s="185">
        <v>3</v>
      </c>
      <c r="K609" s="52">
        <v>0</v>
      </c>
      <c r="L609" s="53">
        <f>215000000-1410000-15812910</f>
        <v>197777090</v>
      </c>
      <c r="M609" s="184" t="s">
        <v>464</v>
      </c>
      <c r="N609" s="53" t="s">
        <v>85</v>
      </c>
      <c r="O609" s="51" t="s">
        <v>221</v>
      </c>
      <c r="P609" s="186" t="str">
        <f>IFERROR(VLOOKUP(C609,TD!$B$33:$F$37,2,0)," ")</f>
        <v>O230117</v>
      </c>
      <c r="Q609" s="186" t="str">
        <f>IFERROR(VLOOKUP(C609,TD!$B$33:$F$37,3,0)," ")</f>
        <v>4503</v>
      </c>
      <c r="R609" s="186">
        <f>IFERROR(VLOOKUP(C609,TD!$B$33:$F$37,4,0)," ")</f>
        <v>20240255</v>
      </c>
      <c r="S609" s="51" t="s">
        <v>177</v>
      </c>
      <c r="T609" s="186" t="str">
        <f>IFERROR(VLOOKUP(S609,TD!$J$34:$K$44,2,0)," ")</f>
        <v>Servicio de capacitaciones en gestión del riesgo de incendios  a la ciudadania.</v>
      </c>
      <c r="U609" s="187" t="str">
        <f>CONCATENATE(S609,"-",T609)</f>
        <v>05-Servicio de capacitaciones en gestión del riesgo de incendios  a la ciudadania.</v>
      </c>
      <c r="V609" s="51" t="s">
        <v>233</v>
      </c>
      <c r="W609" s="186" t="str">
        <f>IFERROR(VLOOKUP(V609,TD!$N$34:$O$46,2,0)," ")</f>
        <v>Servicio de educación informal</v>
      </c>
      <c r="X609" s="187" t="str">
        <f>CONCATENATE(V609,"_",W609)</f>
        <v>002_Servicio de educación informal</v>
      </c>
      <c r="Y609" s="187" t="str">
        <f>CONCATENATE(U609," ",X609)</f>
        <v>05-Servicio de capacitaciones en gestión del riesgo de incendios  a la ciudadania. 002_Servicio de educación informal</v>
      </c>
      <c r="Z609" s="186" t="str">
        <f>CONCATENATE(P609,Q609,R609,S609,V609)</f>
        <v>O23011745032024025505002</v>
      </c>
      <c r="AA609" s="186" t="str">
        <f>IFERROR(VLOOKUP(Y609,TD!$K$47:$L$65,2,0)," ")</f>
        <v>PM/0131/0105/45030020255</v>
      </c>
      <c r="AB609" s="53" t="s">
        <v>138</v>
      </c>
      <c r="AC609" s="188" t="s">
        <v>205</v>
      </c>
    </row>
    <row r="610" spans="2:29" s="28" customFormat="1" ht="84" x14ac:dyDescent="0.35">
      <c r="B610" s="77">
        <v>20250631</v>
      </c>
      <c r="C610" s="50" t="s">
        <v>209</v>
      </c>
      <c r="D610" s="184" t="s">
        <v>169</v>
      </c>
      <c r="E610" s="51" t="s">
        <v>465</v>
      </c>
      <c r="F610" s="184" t="s">
        <v>828</v>
      </c>
      <c r="G610" s="184" t="s">
        <v>155</v>
      </c>
      <c r="H610" s="93">
        <v>80111600</v>
      </c>
      <c r="I610" s="185">
        <v>2</v>
      </c>
      <c r="J610" s="185">
        <v>10</v>
      </c>
      <c r="K610" s="52">
        <v>0</v>
      </c>
      <c r="L610" s="53">
        <v>70000000</v>
      </c>
      <c r="M610" s="184" t="s">
        <v>464</v>
      </c>
      <c r="N610" s="53" t="s">
        <v>113</v>
      </c>
      <c r="O610" s="51" t="s">
        <v>222</v>
      </c>
      <c r="P610" s="186" t="str">
        <f>IFERROR(VLOOKUP(C610,TD!$B$33:$F$37,2,0)," ")</f>
        <v>O230117</v>
      </c>
      <c r="Q610" s="186" t="str">
        <f>IFERROR(VLOOKUP(C610,TD!$B$33:$F$37,3,0)," ")</f>
        <v>4503</v>
      </c>
      <c r="R610" s="186">
        <f>IFERROR(VLOOKUP(C610,TD!$B$33:$F$37,4,0)," ")</f>
        <v>20240255</v>
      </c>
      <c r="S610" s="51" t="s">
        <v>175</v>
      </c>
      <c r="T610" s="186" t="str">
        <f>IFERROR(VLOOKUP(S610,TD!$J$34:$K$44,2,0)," ")</f>
        <v>Servicio de atención a incidentes y emergencias.</v>
      </c>
      <c r="U610" s="187" t="str">
        <f>CONCATENATE(S610,"-",T610)</f>
        <v>04-Servicio de atención a incidentes y emergencias.</v>
      </c>
      <c r="V610" s="51" t="s">
        <v>232</v>
      </c>
      <c r="W610" s="186" t="str">
        <f>IFERROR(VLOOKUP(V610,TD!$N$34:$O$46,2,0)," ")</f>
        <v>Servicio de atención a emergencias y desastres</v>
      </c>
      <c r="X610" s="187" t="str">
        <f>CONCATENATE(V610,"_",W610)</f>
        <v>004_Servicio de atención a emergencias y desastres</v>
      </c>
      <c r="Y610" s="187" t="str">
        <f>CONCATENATE(U610," ",X610)</f>
        <v>04-Servicio de atención a incidentes y emergencias. 004_Servicio de atención a emergencias y desastres</v>
      </c>
      <c r="Z610" s="186" t="str">
        <f>CONCATENATE(P610,Q610,R610,S610,V610)</f>
        <v>O23011745032024025504004</v>
      </c>
      <c r="AA610" s="186" t="str">
        <f>IFERROR(VLOOKUP(Y610,TD!$K$47:$L$65,2,0)," ")</f>
        <v>PM/0131/0104/45030040255</v>
      </c>
      <c r="AB610" s="53" t="s">
        <v>138</v>
      </c>
      <c r="AC610" s="188" t="s">
        <v>204</v>
      </c>
    </row>
    <row r="611" spans="2:29" s="28" customFormat="1" ht="112" x14ac:dyDescent="0.35">
      <c r="B611" s="77">
        <v>20250632</v>
      </c>
      <c r="C611" s="50" t="s">
        <v>209</v>
      </c>
      <c r="D611" s="184" t="s">
        <v>169</v>
      </c>
      <c r="E611" s="51" t="s">
        <v>465</v>
      </c>
      <c r="F611" s="184" t="s">
        <v>829</v>
      </c>
      <c r="G611" s="184" t="s">
        <v>155</v>
      </c>
      <c r="H611" s="93">
        <v>80111600</v>
      </c>
      <c r="I611" s="185">
        <v>2</v>
      </c>
      <c r="J611" s="185">
        <v>10</v>
      </c>
      <c r="K611" s="52">
        <v>0</v>
      </c>
      <c r="L611" s="53">
        <v>70000000</v>
      </c>
      <c r="M611" s="184" t="s">
        <v>464</v>
      </c>
      <c r="N611" s="53" t="s">
        <v>113</v>
      </c>
      <c r="O611" s="51" t="s">
        <v>222</v>
      </c>
      <c r="P611" s="186" t="str">
        <f>IFERROR(VLOOKUP(C611,TD!$B$33:$F$37,2,0)," ")</f>
        <v>O230117</v>
      </c>
      <c r="Q611" s="186" t="str">
        <f>IFERROR(VLOOKUP(C611,TD!$B$33:$F$37,3,0)," ")</f>
        <v>4503</v>
      </c>
      <c r="R611" s="186">
        <f>IFERROR(VLOOKUP(C611,TD!$B$33:$F$37,4,0)," ")</f>
        <v>20240255</v>
      </c>
      <c r="S611" s="51" t="s">
        <v>175</v>
      </c>
      <c r="T611" s="186" t="str">
        <f>IFERROR(VLOOKUP(S611,TD!$J$34:$K$44,2,0)," ")</f>
        <v>Servicio de atención a incidentes y emergencias.</v>
      </c>
      <c r="U611" s="187" t="str">
        <f>CONCATENATE(S611,"-",T611)</f>
        <v>04-Servicio de atención a incidentes y emergencias.</v>
      </c>
      <c r="V611" s="51" t="s">
        <v>232</v>
      </c>
      <c r="W611" s="186" t="str">
        <f>IFERROR(VLOOKUP(V611,TD!$N$34:$O$46,2,0)," ")</f>
        <v>Servicio de atención a emergencias y desastres</v>
      </c>
      <c r="X611" s="187" t="str">
        <f>CONCATENATE(V611,"_",W611)</f>
        <v>004_Servicio de atención a emergencias y desastres</v>
      </c>
      <c r="Y611" s="187" t="str">
        <f>CONCATENATE(U611," ",X611)</f>
        <v>04-Servicio de atención a incidentes y emergencias. 004_Servicio de atención a emergencias y desastres</v>
      </c>
      <c r="Z611" s="186" t="str">
        <f>CONCATENATE(P611,Q611,R611,S611,V611)</f>
        <v>O23011745032024025504004</v>
      </c>
      <c r="AA611" s="186" t="str">
        <f>IFERROR(VLOOKUP(Y611,TD!$K$47:$L$65,2,0)," ")</f>
        <v>PM/0131/0104/45030040255</v>
      </c>
      <c r="AB611" s="53" t="s">
        <v>138</v>
      </c>
      <c r="AC611" s="188" t="s">
        <v>204</v>
      </c>
    </row>
    <row r="612" spans="2:29" s="28" customFormat="1" ht="70" x14ac:dyDescent="0.35">
      <c r="B612" s="77">
        <v>20250633</v>
      </c>
      <c r="C612" s="50" t="s">
        <v>209</v>
      </c>
      <c r="D612" s="184" t="s">
        <v>169</v>
      </c>
      <c r="E612" s="51" t="s">
        <v>465</v>
      </c>
      <c r="F612" s="184" t="s">
        <v>830</v>
      </c>
      <c r="G612" s="184" t="s">
        <v>155</v>
      </c>
      <c r="H612" s="93">
        <v>80111600</v>
      </c>
      <c r="I612" s="185">
        <v>2</v>
      </c>
      <c r="J612" s="185">
        <v>10</v>
      </c>
      <c r="K612" s="52">
        <v>0</v>
      </c>
      <c r="L612" s="53">
        <v>65000000</v>
      </c>
      <c r="M612" s="184" t="s">
        <v>464</v>
      </c>
      <c r="N612" s="53" t="s">
        <v>113</v>
      </c>
      <c r="O612" s="51" t="s">
        <v>222</v>
      </c>
      <c r="P612" s="186" t="str">
        <f>IFERROR(VLOOKUP(C612,TD!$B$33:$F$37,2,0)," ")</f>
        <v>O230117</v>
      </c>
      <c r="Q612" s="186" t="str">
        <f>IFERROR(VLOOKUP(C612,TD!$B$33:$F$37,3,0)," ")</f>
        <v>4503</v>
      </c>
      <c r="R612" s="186">
        <f>IFERROR(VLOOKUP(C612,TD!$B$33:$F$37,4,0)," ")</f>
        <v>20240255</v>
      </c>
      <c r="S612" s="51" t="s">
        <v>175</v>
      </c>
      <c r="T612" s="186" t="str">
        <f>IFERROR(VLOOKUP(S612,TD!$J$34:$K$44,2,0)," ")</f>
        <v>Servicio de atención a incidentes y emergencias.</v>
      </c>
      <c r="U612" s="187" t="str">
        <f>CONCATENATE(S612,"-",T612)</f>
        <v>04-Servicio de atención a incidentes y emergencias.</v>
      </c>
      <c r="V612" s="51" t="s">
        <v>232</v>
      </c>
      <c r="W612" s="186" t="str">
        <f>IFERROR(VLOOKUP(V612,TD!$N$34:$O$46,2,0)," ")</f>
        <v>Servicio de atención a emergencias y desastres</v>
      </c>
      <c r="X612" s="187" t="str">
        <f>CONCATENATE(V612,"_",W612)</f>
        <v>004_Servicio de atención a emergencias y desastres</v>
      </c>
      <c r="Y612" s="187" t="str">
        <f>CONCATENATE(U612," ",X612)</f>
        <v>04-Servicio de atención a incidentes y emergencias. 004_Servicio de atención a emergencias y desastres</v>
      </c>
      <c r="Z612" s="186" t="str">
        <f>CONCATENATE(P612,Q612,R612,S612,V612)</f>
        <v>O23011745032024025504004</v>
      </c>
      <c r="AA612" s="186" t="str">
        <f>IFERROR(VLOOKUP(Y612,TD!$K$47:$L$65,2,0)," ")</f>
        <v>PM/0131/0104/45030040255</v>
      </c>
      <c r="AB612" s="53" t="s">
        <v>138</v>
      </c>
      <c r="AC612" s="188" t="s">
        <v>204</v>
      </c>
    </row>
    <row r="613" spans="2:29" s="28" customFormat="1" ht="73.5" customHeight="1" x14ac:dyDescent="0.35">
      <c r="B613" s="77">
        <v>20250635</v>
      </c>
      <c r="C613" s="50" t="s">
        <v>209</v>
      </c>
      <c r="D613" s="184" t="s">
        <v>169</v>
      </c>
      <c r="E613" s="51" t="s">
        <v>465</v>
      </c>
      <c r="F613" s="184" t="s">
        <v>831</v>
      </c>
      <c r="G613" s="184" t="s">
        <v>155</v>
      </c>
      <c r="H613" s="93">
        <v>80111600</v>
      </c>
      <c r="I613" s="185">
        <v>2</v>
      </c>
      <c r="J613" s="185">
        <v>9</v>
      </c>
      <c r="K613" s="52">
        <v>15</v>
      </c>
      <c r="L613" s="53">
        <v>66500000</v>
      </c>
      <c r="M613" s="184" t="s">
        <v>464</v>
      </c>
      <c r="N613" s="53" t="s">
        <v>113</v>
      </c>
      <c r="O613" s="51" t="s">
        <v>222</v>
      </c>
      <c r="P613" s="186" t="str">
        <f>IFERROR(VLOOKUP(C613,TD!$B$33:$F$37,2,0)," ")</f>
        <v>O230117</v>
      </c>
      <c r="Q613" s="186" t="str">
        <f>IFERROR(VLOOKUP(C613,TD!$B$33:$F$37,3,0)," ")</f>
        <v>4503</v>
      </c>
      <c r="R613" s="186">
        <f>IFERROR(VLOOKUP(C613,TD!$B$33:$F$37,4,0)," ")</f>
        <v>20240255</v>
      </c>
      <c r="S613" s="51" t="s">
        <v>175</v>
      </c>
      <c r="T613" s="186" t="str">
        <f>IFERROR(VLOOKUP(S613,TD!$J$34:$K$44,2,0)," ")</f>
        <v>Servicio de atención a incidentes y emergencias.</v>
      </c>
      <c r="U613" s="187" t="str">
        <f>CONCATENATE(S613,"-",T613)</f>
        <v>04-Servicio de atención a incidentes y emergencias.</v>
      </c>
      <c r="V613" s="51" t="s">
        <v>232</v>
      </c>
      <c r="W613" s="186" t="str">
        <f>IFERROR(VLOOKUP(V613,TD!$N$34:$O$46,2,0)," ")</f>
        <v>Servicio de atención a emergencias y desastres</v>
      </c>
      <c r="X613" s="187" t="str">
        <f>CONCATENATE(V613,"_",W613)</f>
        <v>004_Servicio de atención a emergencias y desastres</v>
      </c>
      <c r="Y613" s="187" t="str">
        <f>CONCATENATE(U613," ",X613)</f>
        <v>04-Servicio de atención a incidentes y emergencias. 004_Servicio de atención a emergencias y desastres</v>
      </c>
      <c r="Z613" s="186" t="str">
        <f>CONCATENATE(P613,Q613,R613,S613,V613)</f>
        <v>O23011745032024025504004</v>
      </c>
      <c r="AA613" s="186" t="str">
        <f>IFERROR(VLOOKUP(Y613,TD!$K$47:$L$65,2,0)," ")</f>
        <v>PM/0131/0104/45030040255</v>
      </c>
      <c r="AB613" s="53" t="s">
        <v>138</v>
      </c>
      <c r="AC613" s="188" t="s">
        <v>204</v>
      </c>
    </row>
    <row r="614" spans="2:29" s="28" customFormat="1" ht="70" x14ac:dyDescent="0.35">
      <c r="B614" s="77">
        <v>20250636</v>
      </c>
      <c r="C614" s="50" t="s">
        <v>209</v>
      </c>
      <c r="D614" s="184" t="s">
        <v>169</v>
      </c>
      <c r="E614" s="51" t="s">
        <v>465</v>
      </c>
      <c r="F614" s="184" t="s">
        <v>832</v>
      </c>
      <c r="G614" s="184" t="s">
        <v>155</v>
      </c>
      <c r="H614" s="93">
        <v>80111600</v>
      </c>
      <c r="I614" s="185">
        <v>2</v>
      </c>
      <c r="J614" s="185">
        <v>10</v>
      </c>
      <c r="K614" s="52">
        <v>0</v>
      </c>
      <c r="L614" s="53">
        <v>66500000</v>
      </c>
      <c r="M614" s="184" t="s">
        <v>464</v>
      </c>
      <c r="N614" s="53" t="s">
        <v>113</v>
      </c>
      <c r="O614" s="51" t="s">
        <v>222</v>
      </c>
      <c r="P614" s="186" t="str">
        <f>IFERROR(VLOOKUP(C614,TD!$B$33:$F$37,2,0)," ")</f>
        <v>O230117</v>
      </c>
      <c r="Q614" s="186" t="str">
        <f>IFERROR(VLOOKUP(C614,TD!$B$33:$F$37,3,0)," ")</f>
        <v>4503</v>
      </c>
      <c r="R614" s="186">
        <f>IFERROR(VLOOKUP(C614,TD!$B$33:$F$37,4,0)," ")</f>
        <v>20240255</v>
      </c>
      <c r="S614" s="51" t="s">
        <v>175</v>
      </c>
      <c r="T614" s="186" t="str">
        <f>IFERROR(VLOOKUP(S614,TD!$J$34:$K$44,2,0)," ")</f>
        <v>Servicio de atención a incidentes y emergencias.</v>
      </c>
      <c r="U614" s="187" t="str">
        <f>CONCATENATE(S614,"-",T614)</f>
        <v>04-Servicio de atención a incidentes y emergencias.</v>
      </c>
      <c r="V614" s="51" t="s">
        <v>232</v>
      </c>
      <c r="W614" s="186" t="str">
        <f>IFERROR(VLOOKUP(V614,TD!$N$34:$O$46,2,0)," ")</f>
        <v>Servicio de atención a emergencias y desastres</v>
      </c>
      <c r="X614" s="187" t="str">
        <f>CONCATENATE(V614,"_",W614)</f>
        <v>004_Servicio de atención a emergencias y desastres</v>
      </c>
      <c r="Y614" s="187" t="str">
        <f>CONCATENATE(U614," ",X614)</f>
        <v>04-Servicio de atención a incidentes y emergencias. 004_Servicio de atención a emergencias y desastres</v>
      </c>
      <c r="Z614" s="186" t="str">
        <f>CONCATENATE(P614,Q614,R614,S614,V614)</f>
        <v>O23011745032024025504004</v>
      </c>
      <c r="AA614" s="186" t="str">
        <f>IFERROR(VLOOKUP(Y614,TD!$K$47:$L$65,2,0)," ")</f>
        <v>PM/0131/0104/45030040255</v>
      </c>
      <c r="AB614" s="53" t="s">
        <v>138</v>
      </c>
      <c r="AC614" s="188" t="s">
        <v>204</v>
      </c>
    </row>
    <row r="615" spans="2:29" s="28" customFormat="1" ht="42" x14ac:dyDescent="0.35">
      <c r="B615" s="77">
        <v>20250637</v>
      </c>
      <c r="C615" s="50" t="s">
        <v>209</v>
      </c>
      <c r="D615" s="184" t="s">
        <v>169</v>
      </c>
      <c r="E615" s="51" t="s">
        <v>465</v>
      </c>
      <c r="F615" s="184" t="s">
        <v>833</v>
      </c>
      <c r="G615" s="184" t="s">
        <v>156</v>
      </c>
      <c r="H615" s="93">
        <v>80111600</v>
      </c>
      <c r="I615" s="185">
        <v>2</v>
      </c>
      <c r="J615" s="185">
        <v>10</v>
      </c>
      <c r="K615" s="52">
        <v>0</v>
      </c>
      <c r="L615" s="53">
        <v>28500000</v>
      </c>
      <c r="M615" s="184" t="s">
        <v>464</v>
      </c>
      <c r="N615" s="53" t="s">
        <v>113</v>
      </c>
      <c r="O615" s="51" t="s">
        <v>222</v>
      </c>
      <c r="P615" s="186" t="str">
        <f>IFERROR(VLOOKUP(C615,TD!$B$33:$F$37,2,0)," ")</f>
        <v>O230117</v>
      </c>
      <c r="Q615" s="186" t="str">
        <f>IFERROR(VLOOKUP(C615,TD!$B$33:$F$37,3,0)," ")</f>
        <v>4503</v>
      </c>
      <c r="R615" s="186">
        <f>IFERROR(VLOOKUP(C615,TD!$B$33:$F$37,4,0)," ")</f>
        <v>20240255</v>
      </c>
      <c r="S615" s="51" t="s">
        <v>175</v>
      </c>
      <c r="T615" s="186" t="str">
        <f>IFERROR(VLOOKUP(S615,TD!$J$34:$K$44,2,0)," ")</f>
        <v>Servicio de atención a incidentes y emergencias.</v>
      </c>
      <c r="U615" s="187" t="str">
        <f>CONCATENATE(S615,"-",T615)</f>
        <v>04-Servicio de atención a incidentes y emergencias.</v>
      </c>
      <c r="V615" s="51" t="s">
        <v>232</v>
      </c>
      <c r="W615" s="186" t="str">
        <f>IFERROR(VLOOKUP(V615,TD!$N$34:$O$46,2,0)," ")</f>
        <v>Servicio de atención a emergencias y desastres</v>
      </c>
      <c r="X615" s="187" t="str">
        <f>CONCATENATE(V615,"_",W615)</f>
        <v>004_Servicio de atención a emergencias y desastres</v>
      </c>
      <c r="Y615" s="187" t="str">
        <f>CONCATENATE(U615," ",X615)</f>
        <v>04-Servicio de atención a incidentes y emergencias. 004_Servicio de atención a emergencias y desastres</v>
      </c>
      <c r="Z615" s="186" t="str">
        <f>CONCATENATE(P615,Q615,R615,S615,V615)</f>
        <v>O23011745032024025504004</v>
      </c>
      <c r="AA615" s="186" t="str">
        <f>IFERROR(VLOOKUP(Y615,TD!$K$47:$L$65,2,0)," ")</f>
        <v>PM/0131/0104/45030040255</v>
      </c>
      <c r="AB615" s="53" t="s">
        <v>138</v>
      </c>
      <c r="AC615" s="188" t="s">
        <v>204</v>
      </c>
    </row>
    <row r="616" spans="2:29" s="28" customFormat="1" ht="112" x14ac:dyDescent="0.35">
      <c r="B616" s="77">
        <v>20250638</v>
      </c>
      <c r="C616" s="50" t="s">
        <v>209</v>
      </c>
      <c r="D616" s="184" t="s">
        <v>169</v>
      </c>
      <c r="E616" s="51" t="s">
        <v>465</v>
      </c>
      <c r="F616" s="184" t="s">
        <v>834</v>
      </c>
      <c r="G616" s="184" t="s">
        <v>109</v>
      </c>
      <c r="H616" s="93" t="s">
        <v>836</v>
      </c>
      <c r="I616" s="185">
        <v>5</v>
      </c>
      <c r="J616" s="185">
        <v>3</v>
      </c>
      <c r="K616" s="52">
        <v>0</v>
      </c>
      <c r="L616" s="53">
        <v>64057500</v>
      </c>
      <c r="M616" s="184" t="s">
        <v>464</v>
      </c>
      <c r="N616" s="53" t="s">
        <v>100</v>
      </c>
      <c r="O616" s="51" t="s">
        <v>222</v>
      </c>
      <c r="P616" s="186" t="str">
        <f>IFERROR(VLOOKUP(C616,TD!$B$33:$F$37,2,0)," ")</f>
        <v>O230117</v>
      </c>
      <c r="Q616" s="186" t="str">
        <f>IFERROR(VLOOKUP(C616,TD!$B$33:$F$37,3,0)," ")</f>
        <v>4503</v>
      </c>
      <c r="R616" s="186">
        <f>IFERROR(VLOOKUP(C616,TD!$B$33:$F$37,4,0)," ")</f>
        <v>20240255</v>
      </c>
      <c r="S616" s="51" t="s">
        <v>189</v>
      </c>
      <c r="T616" s="186" t="str">
        <f>IFERROR(VLOOKUP(S616,TD!$J$34:$K$44,2,0)," ")</f>
        <v>Servicio de dotación y equipamento para el personal operativo</v>
      </c>
      <c r="U616" s="187" t="str">
        <f>CONCATENATE(S616,"-",T616)</f>
        <v>10-Servicio de dotación y equipamento para el personal operativo</v>
      </c>
      <c r="V616" s="51" t="s">
        <v>232</v>
      </c>
      <c r="W616" s="186" t="str">
        <f>IFERROR(VLOOKUP(V616,TD!$N$34:$O$46,2,0)," ")</f>
        <v>Servicio de atención a emergencias y desastres</v>
      </c>
      <c r="X616" s="187" t="str">
        <f>CONCATENATE(V616,"_",W616)</f>
        <v>004_Servicio de atención a emergencias y desastres</v>
      </c>
      <c r="Y616" s="187" t="str">
        <f>CONCATENATE(U616," ",X616)</f>
        <v>10-Servicio de dotación y equipamento para el personal operativo 004_Servicio de atención a emergencias y desastres</v>
      </c>
      <c r="Z616" s="186" t="str">
        <f>CONCATENATE(P616,Q616,R616,S616,V616)</f>
        <v>O23011745032024025510004</v>
      </c>
      <c r="AA616" s="186" t="str">
        <f>IFERROR(VLOOKUP(Y616,TD!$K$47:$L$65,2,0)," ")</f>
        <v>PM/0131/0110/45030040255</v>
      </c>
      <c r="AB616" s="53" t="s">
        <v>87</v>
      </c>
      <c r="AC616" s="188" t="s">
        <v>204</v>
      </c>
    </row>
    <row r="617" spans="2:29" s="28" customFormat="1" ht="56" x14ac:dyDescent="0.35">
      <c r="B617" s="77">
        <v>20250639</v>
      </c>
      <c r="C617" s="50" t="s">
        <v>209</v>
      </c>
      <c r="D617" s="184" t="s">
        <v>169</v>
      </c>
      <c r="E617" s="51" t="s">
        <v>465</v>
      </c>
      <c r="F617" s="184" t="s">
        <v>835</v>
      </c>
      <c r="G617" s="184" t="s">
        <v>109</v>
      </c>
      <c r="H617" s="93" t="s">
        <v>1327</v>
      </c>
      <c r="I617" s="185">
        <v>5</v>
      </c>
      <c r="J617" s="185">
        <v>3</v>
      </c>
      <c r="K617" s="52">
        <v>0</v>
      </c>
      <c r="L617" s="53">
        <v>64057500</v>
      </c>
      <c r="M617" s="184" t="s">
        <v>464</v>
      </c>
      <c r="N617" s="53" t="s">
        <v>100</v>
      </c>
      <c r="O617" s="51" t="s">
        <v>222</v>
      </c>
      <c r="P617" s="186" t="str">
        <f>IFERROR(VLOOKUP(C617,TD!$B$33:$F$37,2,0)," ")</f>
        <v>O230117</v>
      </c>
      <c r="Q617" s="186" t="str">
        <f>IFERROR(VLOOKUP(C617,TD!$B$33:$F$37,3,0)," ")</f>
        <v>4503</v>
      </c>
      <c r="R617" s="186">
        <f>IFERROR(VLOOKUP(C617,TD!$B$33:$F$37,4,0)," ")</f>
        <v>20240255</v>
      </c>
      <c r="S617" s="51" t="s">
        <v>189</v>
      </c>
      <c r="T617" s="186" t="str">
        <f>IFERROR(VLOOKUP(S617,TD!$J$34:$K$44,2,0)," ")</f>
        <v>Servicio de dotación y equipamento para el personal operativo</v>
      </c>
      <c r="U617" s="187" t="str">
        <f>CONCATENATE(S617,"-",T617)</f>
        <v>10-Servicio de dotación y equipamento para el personal operativo</v>
      </c>
      <c r="V617" s="51" t="s">
        <v>232</v>
      </c>
      <c r="W617" s="186" t="str">
        <f>IFERROR(VLOOKUP(V617,TD!$N$34:$O$46,2,0)," ")</f>
        <v>Servicio de atención a emergencias y desastres</v>
      </c>
      <c r="X617" s="187" t="str">
        <f>CONCATENATE(V617,"_",W617)</f>
        <v>004_Servicio de atención a emergencias y desastres</v>
      </c>
      <c r="Y617" s="187" t="str">
        <f>CONCATENATE(U617," ",X617)</f>
        <v>10-Servicio de dotación y equipamento para el personal operativo 004_Servicio de atención a emergencias y desastres</v>
      </c>
      <c r="Z617" s="186" t="str">
        <f>CONCATENATE(P617,Q617,R617,S617,V617)</f>
        <v>O23011745032024025510004</v>
      </c>
      <c r="AA617" s="186" t="str">
        <f>IFERROR(VLOOKUP(Y617,TD!$K$47:$L$65,2,0)," ")</f>
        <v>PM/0131/0110/45030040255</v>
      </c>
      <c r="AB617" s="53" t="s">
        <v>87</v>
      </c>
      <c r="AC617" s="188" t="s">
        <v>204</v>
      </c>
    </row>
    <row r="618" spans="2:29" s="28" customFormat="1" ht="70" x14ac:dyDescent="0.35">
      <c r="B618" s="77">
        <v>20250640</v>
      </c>
      <c r="C618" s="50" t="s">
        <v>209</v>
      </c>
      <c r="D618" s="184" t="s">
        <v>169</v>
      </c>
      <c r="E618" s="51" t="s">
        <v>465</v>
      </c>
      <c r="F618" s="184" t="s">
        <v>839</v>
      </c>
      <c r="G618" s="184" t="s">
        <v>155</v>
      </c>
      <c r="H618" s="93">
        <v>80111600</v>
      </c>
      <c r="I618" s="185">
        <v>3</v>
      </c>
      <c r="J618" s="185">
        <v>10</v>
      </c>
      <c r="K618" s="52">
        <v>0</v>
      </c>
      <c r="L618" s="53">
        <v>65000000</v>
      </c>
      <c r="M618" s="184" t="s">
        <v>464</v>
      </c>
      <c r="N618" s="53" t="s">
        <v>113</v>
      </c>
      <c r="O618" s="51" t="s">
        <v>222</v>
      </c>
      <c r="P618" s="186" t="str">
        <f>IFERROR(VLOOKUP(C618,TD!$B$33:$F$37,2,0)," ")</f>
        <v>O230117</v>
      </c>
      <c r="Q618" s="186" t="str">
        <f>IFERROR(VLOOKUP(C618,TD!$B$33:$F$37,3,0)," ")</f>
        <v>4503</v>
      </c>
      <c r="R618" s="186">
        <f>IFERROR(VLOOKUP(C618,TD!$B$33:$F$37,4,0)," ")</f>
        <v>20240255</v>
      </c>
      <c r="S618" s="51" t="s">
        <v>175</v>
      </c>
      <c r="T618" s="186" t="str">
        <f>IFERROR(VLOOKUP(S618,TD!$J$34:$K$44,2,0)," ")</f>
        <v>Servicio de atención a incidentes y emergencias.</v>
      </c>
      <c r="U618" s="187" t="str">
        <f>CONCATENATE(S618,"-",T618)</f>
        <v>04-Servicio de atención a incidentes y emergencias.</v>
      </c>
      <c r="V618" s="51" t="s">
        <v>232</v>
      </c>
      <c r="W618" s="186" t="str">
        <f>IFERROR(VLOOKUP(V618,TD!$N$34:$O$46,2,0)," ")</f>
        <v>Servicio de atención a emergencias y desastres</v>
      </c>
      <c r="X618" s="187" t="str">
        <f>CONCATENATE(V618,"_",W618)</f>
        <v>004_Servicio de atención a emergencias y desastres</v>
      </c>
      <c r="Y618" s="187" t="str">
        <f>CONCATENATE(U618," ",X618)</f>
        <v>04-Servicio de atención a incidentes y emergencias. 004_Servicio de atención a emergencias y desastres</v>
      </c>
      <c r="Z618" s="186" t="str">
        <f>CONCATENATE(P618,Q618,R618,S618,V618)</f>
        <v>O23011745032024025504004</v>
      </c>
      <c r="AA618" s="186" t="str">
        <f>IFERROR(VLOOKUP(Y618,TD!$K$47:$L$65,2,0)," ")</f>
        <v>PM/0131/0104/45030040255</v>
      </c>
      <c r="AB618" s="53" t="s">
        <v>138</v>
      </c>
      <c r="AC618" s="188" t="s">
        <v>204</v>
      </c>
    </row>
    <row r="619" spans="2:29" s="28" customFormat="1" ht="70" x14ac:dyDescent="0.35">
      <c r="B619" s="127">
        <v>20250641</v>
      </c>
      <c r="C619" s="129" t="s">
        <v>209</v>
      </c>
      <c r="D619" s="189" t="s">
        <v>166</v>
      </c>
      <c r="E619" s="190" t="s">
        <v>558</v>
      </c>
      <c r="F619" s="189" t="s">
        <v>840</v>
      </c>
      <c r="G619" s="189" t="s">
        <v>155</v>
      </c>
      <c r="H619" s="130" t="s">
        <v>609</v>
      </c>
      <c r="I619" s="191">
        <v>2</v>
      </c>
      <c r="J619" s="191">
        <v>10</v>
      </c>
      <c r="K619" s="126">
        <v>0</v>
      </c>
      <c r="L619" s="125">
        <v>40000000</v>
      </c>
      <c r="M619" s="189" t="s">
        <v>464</v>
      </c>
      <c r="N619" s="125" t="s">
        <v>113</v>
      </c>
      <c r="O619" s="190" t="s">
        <v>227</v>
      </c>
      <c r="P619" s="192" t="str">
        <f>IFERROR(VLOOKUP(C619,TD!$B$33:$F$37,2,0)," ")</f>
        <v>O230117</v>
      </c>
      <c r="Q619" s="192" t="str">
        <f>IFERROR(VLOOKUP(C619,TD!$B$33:$F$37,3,0)," ")</f>
        <v>4503</v>
      </c>
      <c r="R619" s="192">
        <f>IFERROR(VLOOKUP(C619,TD!$B$33:$F$37,4,0)," ")</f>
        <v>20240255</v>
      </c>
      <c r="S619" s="190" t="s">
        <v>185</v>
      </c>
      <c r="T619" s="192" t="str">
        <f>IFERROR(VLOOKUP(S619,TD!$J$34:$K$44,2,0)," ")</f>
        <v>Infraestructura física, mantenimiento y dotación (Sedes construidas, mantenidas reforzadas)</v>
      </c>
      <c r="U619" s="187" t="str">
        <f>CONCATENATE(S619,"-",T619)</f>
        <v>08-Infraestructura física, mantenimiento y dotación (Sedes construidas, mantenidas reforzadas)</v>
      </c>
      <c r="V619" s="190" t="s">
        <v>236</v>
      </c>
      <c r="W619" s="192" t="str">
        <f>IFERROR(VLOOKUP(V619,TD!$N$34:$O$46,2,0)," ")</f>
        <v>Estaciones de bomberos adecuadas</v>
      </c>
      <c r="X619" s="187" t="str">
        <f>CONCATENATE(V619,"_",W619)</f>
        <v>014_Estaciones de bomberos adecuadas</v>
      </c>
      <c r="Y619" s="187" t="str">
        <f>CONCATENATE(U619," ",X619)</f>
        <v>08-Infraestructura física, mantenimiento y dotación (Sedes construidas, mantenidas reforzadas) 014_Estaciones de bomberos adecuadas</v>
      </c>
      <c r="Z619" s="192" t="str">
        <f>CONCATENATE(P619,Q619,R619,S619,V619)</f>
        <v>O23011745032024025508014</v>
      </c>
      <c r="AA619" s="192" t="str">
        <f>IFERROR(VLOOKUP(Y619,TD!$K$47:$L$65,2,0)," ")</f>
        <v>PM/0131/0108/45030140255</v>
      </c>
      <c r="AB619" s="53" t="s">
        <v>665</v>
      </c>
      <c r="AC619" s="193" t="s">
        <v>204</v>
      </c>
    </row>
    <row r="620" spans="2:29" s="28" customFormat="1" ht="112" x14ac:dyDescent="0.35">
      <c r="B620" s="127">
        <v>20250642</v>
      </c>
      <c r="C620" s="129" t="s">
        <v>208</v>
      </c>
      <c r="D620" s="189" t="s">
        <v>166</v>
      </c>
      <c r="E620" s="190" t="s">
        <v>558</v>
      </c>
      <c r="F620" s="189" t="s">
        <v>841</v>
      </c>
      <c r="G620" s="189" t="s">
        <v>156</v>
      </c>
      <c r="H620" s="130" t="s">
        <v>609</v>
      </c>
      <c r="I620" s="191">
        <v>2</v>
      </c>
      <c r="J620" s="191">
        <v>9</v>
      </c>
      <c r="K620" s="126">
        <v>0</v>
      </c>
      <c r="L620" s="125">
        <v>34384905</v>
      </c>
      <c r="M620" s="189" t="s">
        <v>464</v>
      </c>
      <c r="N620" s="125" t="s">
        <v>113</v>
      </c>
      <c r="O620" s="190" t="s">
        <v>219</v>
      </c>
      <c r="P620" s="192" t="str">
        <f>IFERROR(VLOOKUP(C620,TD!$B$33:$F$37,2,0)," ")</f>
        <v>O230117</v>
      </c>
      <c r="Q620" s="192" t="str">
        <f>IFERROR(VLOOKUP(C620,TD!$B$33:$F$37,3,0)," ")</f>
        <v>4599</v>
      </c>
      <c r="R620" s="192">
        <f>IFERROR(VLOOKUP(C620,TD!$B$33:$F$37,4,0)," ")</f>
        <v>20240207</v>
      </c>
      <c r="S620" s="190" t="s">
        <v>185</v>
      </c>
      <c r="T620" s="192" t="str">
        <f>IFERROR(VLOOKUP(S620,TD!$J$34:$K$44,2,0)," ")</f>
        <v>Infraestructura física, mantenimiento y dotación (Sedes construidas, mantenidas reforzadas)</v>
      </c>
      <c r="U620" s="187" t="str">
        <f>CONCATENATE(S620,"-",T620)</f>
        <v>08-Infraestructura física, mantenimiento y dotación (Sedes construidas, mantenidas reforzadas)</v>
      </c>
      <c r="V620" s="190" t="s">
        <v>238</v>
      </c>
      <c r="W620" s="192" t="str">
        <f>IFERROR(VLOOKUP(V620,TD!$N$34:$O$46,2,0)," ")</f>
        <v>Sedes mantenidas</v>
      </c>
      <c r="X620" s="187" t="str">
        <f>CONCATENATE(V620,"_",W620)</f>
        <v>016_Sedes mantenidas</v>
      </c>
      <c r="Y620" s="187" t="str">
        <f>CONCATENATE(U620," ",X620)</f>
        <v>08-Infraestructura física, mantenimiento y dotación (Sedes construidas, mantenidas reforzadas) 016_Sedes mantenidas</v>
      </c>
      <c r="Z620" s="192" t="str">
        <f>CONCATENATE(P620,Q620,R620,S620,V620)</f>
        <v>O23011745992024020708016</v>
      </c>
      <c r="AA620" s="192" t="str">
        <f>IFERROR(VLOOKUP(Y620,TD!$K$47:$L$65,2,0)," ")</f>
        <v>PM/0131/0108/45990160207</v>
      </c>
      <c r="AB620" s="125" t="s">
        <v>138</v>
      </c>
      <c r="AC620" s="193" t="s">
        <v>204</v>
      </c>
    </row>
    <row r="621" spans="2:29" s="28" customFormat="1" ht="56" x14ac:dyDescent="0.35">
      <c r="B621" s="127">
        <v>20250643</v>
      </c>
      <c r="C621" s="129" t="s">
        <v>208</v>
      </c>
      <c r="D621" s="189" t="s">
        <v>166</v>
      </c>
      <c r="E621" s="190" t="s">
        <v>558</v>
      </c>
      <c r="F621" s="189" t="s">
        <v>842</v>
      </c>
      <c r="G621" s="189" t="s">
        <v>155</v>
      </c>
      <c r="H621" s="130" t="s">
        <v>609</v>
      </c>
      <c r="I621" s="191">
        <v>2</v>
      </c>
      <c r="J621" s="191">
        <v>9</v>
      </c>
      <c r="K621" s="126">
        <v>0</v>
      </c>
      <c r="L621" s="125">
        <v>58500000</v>
      </c>
      <c r="M621" s="189" t="s">
        <v>464</v>
      </c>
      <c r="N621" s="125" t="s">
        <v>113</v>
      </c>
      <c r="O621" s="190" t="s">
        <v>219</v>
      </c>
      <c r="P621" s="192" t="str">
        <f>IFERROR(VLOOKUP(C621,TD!$B$33:$F$37,2,0)," ")</f>
        <v>O230117</v>
      </c>
      <c r="Q621" s="192" t="str">
        <f>IFERROR(VLOOKUP(C621,TD!$B$33:$F$37,3,0)," ")</f>
        <v>4599</v>
      </c>
      <c r="R621" s="192">
        <f>IFERROR(VLOOKUP(C621,TD!$B$33:$F$37,4,0)," ")</f>
        <v>20240207</v>
      </c>
      <c r="S621" s="190" t="s">
        <v>185</v>
      </c>
      <c r="T621" s="192" t="str">
        <f>IFERROR(VLOOKUP(S621,TD!$J$34:$K$44,2,0)," ")</f>
        <v>Infraestructura física, mantenimiento y dotación (Sedes construidas, mantenidas reforzadas)</v>
      </c>
      <c r="U621" s="187" t="str">
        <f>CONCATENATE(S621,"-",T621)</f>
        <v>08-Infraestructura física, mantenimiento y dotación (Sedes construidas, mantenidas reforzadas)</v>
      </c>
      <c r="V621" s="190" t="s">
        <v>238</v>
      </c>
      <c r="W621" s="192" t="str">
        <f>IFERROR(VLOOKUP(V621,TD!$N$34:$O$46,2,0)," ")</f>
        <v>Sedes mantenidas</v>
      </c>
      <c r="X621" s="187" t="str">
        <f>CONCATENATE(V621,"_",W621)</f>
        <v>016_Sedes mantenidas</v>
      </c>
      <c r="Y621" s="187" t="str">
        <f>CONCATENATE(U621," ",X621)</f>
        <v>08-Infraestructura física, mantenimiento y dotación (Sedes construidas, mantenidas reforzadas) 016_Sedes mantenidas</v>
      </c>
      <c r="Z621" s="192" t="str">
        <f>CONCATENATE(P621,Q621,R621,S621,V621)</f>
        <v>O23011745992024020708016</v>
      </c>
      <c r="AA621" s="192" t="str">
        <f>IFERROR(VLOOKUP(Y621,TD!$K$47:$L$65,2,0)," ")</f>
        <v>PM/0131/0108/45990160207</v>
      </c>
      <c r="AB621" s="125" t="s">
        <v>138</v>
      </c>
      <c r="AC621" s="193" t="s">
        <v>204</v>
      </c>
    </row>
    <row r="622" spans="2:29" s="28" customFormat="1" ht="56" x14ac:dyDescent="0.35">
      <c r="B622" s="127">
        <v>20250644</v>
      </c>
      <c r="C622" s="129" t="s">
        <v>208</v>
      </c>
      <c r="D622" s="189" t="s">
        <v>166</v>
      </c>
      <c r="E622" s="190" t="s">
        <v>558</v>
      </c>
      <c r="F622" s="189" t="s">
        <v>661</v>
      </c>
      <c r="G622" s="189" t="s">
        <v>155</v>
      </c>
      <c r="H622" s="130" t="s">
        <v>609</v>
      </c>
      <c r="I622" s="191">
        <v>2</v>
      </c>
      <c r="J622" s="191">
        <v>9</v>
      </c>
      <c r="K622" s="126">
        <v>0</v>
      </c>
      <c r="L622" s="125">
        <v>54291951</v>
      </c>
      <c r="M622" s="189" t="s">
        <v>464</v>
      </c>
      <c r="N622" s="125" t="s">
        <v>113</v>
      </c>
      <c r="O622" s="190" t="s">
        <v>218</v>
      </c>
      <c r="P622" s="192" t="str">
        <f>IFERROR(VLOOKUP(C622,TD!$B$33:$F$37,2,0)," ")</f>
        <v>O230117</v>
      </c>
      <c r="Q622" s="192" t="str">
        <f>IFERROR(VLOOKUP(C622,TD!$B$33:$F$37,3,0)," ")</f>
        <v>4599</v>
      </c>
      <c r="R622" s="192">
        <f>IFERROR(VLOOKUP(C622,TD!$B$33:$F$37,4,0)," ")</f>
        <v>20240207</v>
      </c>
      <c r="S622" s="190" t="s">
        <v>185</v>
      </c>
      <c r="T622" s="192" t="str">
        <f>IFERROR(VLOOKUP(S622,TD!$J$34:$K$44,2,0)," ")</f>
        <v>Infraestructura física, mantenimiento y dotación (Sedes construidas, mantenidas reforzadas)</v>
      </c>
      <c r="U622" s="187" t="str">
        <f>CONCATENATE(S622,"-",T622)</f>
        <v>08-Infraestructura física, mantenimiento y dotación (Sedes construidas, mantenidas reforzadas)</v>
      </c>
      <c r="V622" s="190" t="s">
        <v>238</v>
      </c>
      <c r="W622" s="192" t="str">
        <f>IFERROR(VLOOKUP(V622,TD!$N$34:$O$46,2,0)," ")</f>
        <v>Sedes mantenidas</v>
      </c>
      <c r="X622" s="187" t="str">
        <f>CONCATENATE(V622,"_",W622)</f>
        <v>016_Sedes mantenidas</v>
      </c>
      <c r="Y622" s="187" t="str">
        <f>CONCATENATE(U622," ",X622)</f>
        <v>08-Infraestructura física, mantenimiento y dotación (Sedes construidas, mantenidas reforzadas) 016_Sedes mantenidas</v>
      </c>
      <c r="Z622" s="192" t="str">
        <f>CONCATENATE(P622,Q622,R622,S622,V622)</f>
        <v>O23011745992024020708016</v>
      </c>
      <c r="AA622" s="192" t="str">
        <f>IFERROR(VLOOKUP(Y622,TD!$K$47:$L$65,2,0)," ")</f>
        <v>PM/0131/0108/45990160207</v>
      </c>
      <c r="AB622" s="125" t="s">
        <v>138</v>
      </c>
      <c r="AC622" s="193" t="s">
        <v>204</v>
      </c>
    </row>
    <row r="623" spans="2:29" s="28" customFormat="1" ht="98" x14ac:dyDescent="0.35">
      <c r="B623" s="127">
        <v>20250645</v>
      </c>
      <c r="C623" s="129" t="s">
        <v>208</v>
      </c>
      <c r="D623" s="189" t="s">
        <v>166</v>
      </c>
      <c r="E623" s="190" t="s">
        <v>558</v>
      </c>
      <c r="F623" s="189" t="s">
        <v>843</v>
      </c>
      <c r="G623" s="189" t="s">
        <v>109</v>
      </c>
      <c r="H623" s="130" t="s">
        <v>845</v>
      </c>
      <c r="I623" s="191">
        <v>4</v>
      </c>
      <c r="J623" s="191">
        <v>3</v>
      </c>
      <c r="K623" s="126">
        <v>0</v>
      </c>
      <c r="L623" s="125">
        <v>3906735</v>
      </c>
      <c r="M623" s="189" t="s">
        <v>464</v>
      </c>
      <c r="N623" s="125" t="s">
        <v>100</v>
      </c>
      <c r="O623" s="190" t="s">
        <v>218</v>
      </c>
      <c r="P623" s="192" t="str">
        <f>IFERROR(VLOOKUP(C623,TD!$B$33:$F$37,2,0)," ")</f>
        <v>O230117</v>
      </c>
      <c r="Q623" s="192" t="str">
        <f>IFERROR(VLOOKUP(C623,TD!$B$33:$F$37,3,0)," ")</f>
        <v>4599</v>
      </c>
      <c r="R623" s="192">
        <f>IFERROR(VLOOKUP(C623,TD!$B$33:$F$37,4,0)," ")</f>
        <v>20240207</v>
      </c>
      <c r="S623" s="190" t="s">
        <v>185</v>
      </c>
      <c r="T623" s="192" t="str">
        <f>IFERROR(VLOOKUP(S623,TD!$J$34:$K$44,2,0)," ")</f>
        <v>Infraestructura física, mantenimiento y dotación (Sedes construidas, mantenidas reforzadas)</v>
      </c>
      <c r="U623" s="187" t="str">
        <f>CONCATENATE(S623,"-",T623)</f>
        <v>08-Infraestructura física, mantenimiento y dotación (Sedes construidas, mantenidas reforzadas)</v>
      </c>
      <c r="V623" s="190" t="s">
        <v>238</v>
      </c>
      <c r="W623" s="192" t="str">
        <f>IFERROR(VLOOKUP(V623,TD!$N$34:$O$46,2,0)," ")</f>
        <v>Sedes mantenidas</v>
      </c>
      <c r="X623" s="187" t="str">
        <f>CONCATENATE(V623,"_",W623)</f>
        <v>016_Sedes mantenidas</v>
      </c>
      <c r="Y623" s="187" t="str">
        <f>CONCATENATE(U623," ",X623)</f>
        <v>08-Infraestructura física, mantenimiento y dotación (Sedes construidas, mantenidas reforzadas) 016_Sedes mantenidas</v>
      </c>
      <c r="Z623" s="192" t="str">
        <f>CONCATENATE(P623,Q623,R623,S623,V623)</f>
        <v>O23011745992024020708016</v>
      </c>
      <c r="AA623" s="192" t="str">
        <f>IFERROR(VLOOKUP(Y623,TD!$K$47:$L$65,2,0)," ")</f>
        <v>PM/0131/0108/45990160207</v>
      </c>
      <c r="AB623" s="125" t="s">
        <v>138</v>
      </c>
      <c r="AC623" s="193" t="s">
        <v>204</v>
      </c>
    </row>
    <row r="624" spans="2:29" s="28" customFormat="1" ht="70" x14ac:dyDescent="0.35">
      <c r="B624" s="127">
        <v>20250649</v>
      </c>
      <c r="C624" s="129" t="s">
        <v>208</v>
      </c>
      <c r="D624" s="189" t="s">
        <v>166</v>
      </c>
      <c r="E624" s="190" t="s">
        <v>558</v>
      </c>
      <c r="F624" s="189" t="s">
        <v>844</v>
      </c>
      <c r="G624" s="189" t="s">
        <v>109</v>
      </c>
      <c r="H624" s="130" t="s">
        <v>848</v>
      </c>
      <c r="I624" s="191">
        <v>4</v>
      </c>
      <c r="J624" s="191">
        <v>3</v>
      </c>
      <c r="K624" s="126">
        <v>0</v>
      </c>
      <c r="L624" s="125">
        <f>10000000-4222701-5666299</f>
        <v>111000</v>
      </c>
      <c r="M624" s="189" t="s">
        <v>464</v>
      </c>
      <c r="N624" s="125" t="s">
        <v>100</v>
      </c>
      <c r="O624" s="190" t="s">
        <v>218</v>
      </c>
      <c r="P624" s="192" t="str">
        <f>IFERROR(VLOOKUP(C624,TD!$B$33:$F$37,2,0)," ")</f>
        <v>O230117</v>
      </c>
      <c r="Q624" s="192" t="str">
        <f>IFERROR(VLOOKUP(C624,TD!$B$33:$F$37,3,0)," ")</f>
        <v>4599</v>
      </c>
      <c r="R624" s="192">
        <f>IFERROR(VLOOKUP(C624,TD!$B$33:$F$37,4,0)," ")</f>
        <v>20240207</v>
      </c>
      <c r="S624" s="190" t="s">
        <v>185</v>
      </c>
      <c r="T624" s="192" t="str">
        <f>IFERROR(VLOOKUP(S624,TD!$J$34:$K$44,2,0)," ")</f>
        <v>Infraestructura física, mantenimiento y dotación (Sedes construidas, mantenidas reforzadas)</v>
      </c>
      <c r="U624" s="187" t="str">
        <f>CONCATENATE(S624,"-",T624)</f>
        <v>08-Infraestructura física, mantenimiento y dotación (Sedes construidas, mantenidas reforzadas)</v>
      </c>
      <c r="V624" s="190" t="s">
        <v>238</v>
      </c>
      <c r="W624" s="192" t="str">
        <f>IFERROR(VLOOKUP(V624,TD!$N$34:$O$46,2,0)," ")</f>
        <v>Sedes mantenidas</v>
      </c>
      <c r="X624" s="187" t="str">
        <f>CONCATENATE(V624,"_",W624)</f>
        <v>016_Sedes mantenidas</v>
      </c>
      <c r="Y624" s="187" t="str">
        <f>CONCATENATE(U624," ",X624)</f>
        <v>08-Infraestructura física, mantenimiento y dotación (Sedes construidas, mantenidas reforzadas) 016_Sedes mantenidas</v>
      </c>
      <c r="Z624" s="192" t="str">
        <f>CONCATENATE(P624,Q624,R624,S624,V624)</f>
        <v>O23011745992024020708016</v>
      </c>
      <c r="AA624" s="192" t="str">
        <f>IFERROR(VLOOKUP(Y624,TD!$K$47:$L$65,2,0)," ")</f>
        <v>PM/0131/0108/45990160207</v>
      </c>
      <c r="AB624" s="125" t="s">
        <v>138</v>
      </c>
      <c r="AC624" s="193" t="s">
        <v>204</v>
      </c>
    </row>
    <row r="625" spans="2:29" s="28" customFormat="1" ht="56" x14ac:dyDescent="0.35">
      <c r="B625" s="77">
        <v>20250651</v>
      </c>
      <c r="C625" s="50" t="s">
        <v>209</v>
      </c>
      <c r="D625" s="184" t="s">
        <v>169</v>
      </c>
      <c r="E625" s="51" t="s">
        <v>465</v>
      </c>
      <c r="F625" s="184" t="s">
        <v>855</v>
      </c>
      <c r="G625" s="184" t="s">
        <v>156</v>
      </c>
      <c r="H625" s="93">
        <v>80111600</v>
      </c>
      <c r="I625" s="185">
        <v>3</v>
      </c>
      <c r="J625" s="185">
        <v>10</v>
      </c>
      <c r="K625" s="52">
        <v>0</v>
      </c>
      <c r="L625" s="53">
        <v>31198000</v>
      </c>
      <c r="M625" s="184" t="s">
        <v>464</v>
      </c>
      <c r="N625" s="53" t="s">
        <v>113</v>
      </c>
      <c r="O625" s="51" t="s">
        <v>222</v>
      </c>
      <c r="P625" s="186" t="str">
        <f>IFERROR(VLOOKUP(C625,TD!$B$33:$F$37,2,0)," ")</f>
        <v>O230117</v>
      </c>
      <c r="Q625" s="186" t="str">
        <f>IFERROR(VLOOKUP(C625,TD!$B$33:$F$37,3,0)," ")</f>
        <v>4503</v>
      </c>
      <c r="R625" s="186">
        <f>IFERROR(VLOOKUP(C625,TD!$B$33:$F$37,4,0)," ")</f>
        <v>20240255</v>
      </c>
      <c r="S625" s="51" t="s">
        <v>175</v>
      </c>
      <c r="T625" s="186" t="str">
        <f>IFERROR(VLOOKUP(S625,TD!$J$34:$K$44,2,0)," ")</f>
        <v>Servicio de atención a incidentes y emergencias.</v>
      </c>
      <c r="U625" s="187" t="str">
        <f>CONCATENATE(S625,"-",T625)</f>
        <v>04-Servicio de atención a incidentes y emergencias.</v>
      </c>
      <c r="V625" s="51" t="s">
        <v>232</v>
      </c>
      <c r="W625" s="186" t="str">
        <f>IFERROR(VLOOKUP(V625,TD!$N$34:$O$46,2,0)," ")</f>
        <v>Servicio de atención a emergencias y desastres</v>
      </c>
      <c r="X625" s="187" t="str">
        <f>CONCATENATE(V625,"_",W625)</f>
        <v>004_Servicio de atención a emergencias y desastres</v>
      </c>
      <c r="Y625" s="187" t="str">
        <f>CONCATENATE(U625," ",X625)</f>
        <v>04-Servicio de atención a incidentes y emergencias. 004_Servicio de atención a emergencias y desastres</v>
      </c>
      <c r="Z625" s="186" t="str">
        <f>CONCATENATE(P625,Q625,R625,S625,V625)</f>
        <v>O23011745032024025504004</v>
      </c>
      <c r="AA625" s="186" t="str">
        <f>IFERROR(VLOOKUP(Y625,TD!$K$47:$L$65,2,0)," ")</f>
        <v>PM/0131/0104/45030040255</v>
      </c>
      <c r="AB625" s="125" t="s">
        <v>138</v>
      </c>
      <c r="AC625" s="193" t="s">
        <v>204</v>
      </c>
    </row>
    <row r="626" spans="2:29" s="28" customFormat="1" ht="98" x14ac:dyDescent="0.35">
      <c r="B626" s="77">
        <v>20250652</v>
      </c>
      <c r="C626" s="50" t="s">
        <v>209</v>
      </c>
      <c r="D626" s="184" t="s">
        <v>169</v>
      </c>
      <c r="E626" s="51" t="s">
        <v>465</v>
      </c>
      <c r="F626" s="184" t="s">
        <v>855</v>
      </c>
      <c r="G626" s="184" t="s">
        <v>156</v>
      </c>
      <c r="H626" s="93">
        <v>80111600</v>
      </c>
      <c r="I626" s="185">
        <v>3</v>
      </c>
      <c r="J626" s="185">
        <v>10</v>
      </c>
      <c r="K626" s="52">
        <v>0</v>
      </c>
      <c r="L626" s="53">
        <v>31198000</v>
      </c>
      <c r="M626" s="184" t="s">
        <v>464</v>
      </c>
      <c r="N626" s="53" t="s">
        <v>113</v>
      </c>
      <c r="O626" s="51" t="s">
        <v>222</v>
      </c>
      <c r="P626" s="186" t="str">
        <f>IFERROR(VLOOKUP(C626,TD!$B$33:$F$37,2,0)," ")</f>
        <v>O230117</v>
      </c>
      <c r="Q626" s="186" t="str">
        <f>IFERROR(VLOOKUP(C626,TD!$B$33:$F$37,3,0)," ")</f>
        <v>4503</v>
      </c>
      <c r="R626" s="186">
        <f>IFERROR(VLOOKUP(C626,TD!$B$33:$F$37,4,0)," ")</f>
        <v>20240255</v>
      </c>
      <c r="S626" s="51" t="s">
        <v>175</v>
      </c>
      <c r="T626" s="186" t="str">
        <f>IFERROR(VLOOKUP(S626,TD!$J$34:$K$44,2,0)," ")</f>
        <v>Servicio de atención a incidentes y emergencias.</v>
      </c>
      <c r="U626" s="187" t="str">
        <f>CONCATENATE(S626,"-",T626)</f>
        <v>04-Servicio de atención a incidentes y emergencias.</v>
      </c>
      <c r="V626" s="51" t="s">
        <v>232</v>
      </c>
      <c r="W626" s="186" t="str">
        <f>IFERROR(VLOOKUP(V626,TD!$N$34:$O$46,2,0)," ")</f>
        <v>Servicio de atención a emergencias y desastres</v>
      </c>
      <c r="X626" s="187" t="str">
        <f>CONCATENATE(V626,"_",W626)</f>
        <v>004_Servicio de atención a emergencias y desastres</v>
      </c>
      <c r="Y626" s="187" t="str">
        <f>CONCATENATE(U626," ",X626)</f>
        <v>04-Servicio de atención a incidentes y emergencias. 004_Servicio de atención a emergencias y desastres</v>
      </c>
      <c r="Z626" s="186" t="str">
        <f>CONCATENATE(P626,Q626,R626,S626,V626)</f>
        <v>O23011745032024025504004</v>
      </c>
      <c r="AA626" s="186" t="str">
        <f>IFERROR(VLOOKUP(Y626,TD!$K$47:$L$65,2,0)," ")</f>
        <v>PM/0131/0104/45030040255</v>
      </c>
      <c r="AB626" s="125" t="s">
        <v>138</v>
      </c>
      <c r="AC626" s="193" t="s">
        <v>204</v>
      </c>
    </row>
    <row r="627" spans="2:29" s="28" customFormat="1" ht="70" x14ac:dyDescent="0.35">
      <c r="B627" s="77">
        <v>20250653</v>
      </c>
      <c r="C627" s="50" t="s">
        <v>208</v>
      </c>
      <c r="D627" s="184" t="s">
        <v>161</v>
      </c>
      <c r="E627" s="51" t="s">
        <v>355</v>
      </c>
      <c r="F627" s="184" t="s">
        <v>856</v>
      </c>
      <c r="G627" s="184" t="s">
        <v>155</v>
      </c>
      <c r="H627" s="93">
        <v>80111600</v>
      </c>
      <c r="I627" s="185">
        <v>3</v>
      </c>
      <c r="J627" s="185">
        <v>6</v>
      </c>
      <c r="K627" s="52">
        <v>0</v>
      </c>
      <c r="L627" s="53">
        <v>42000000</v>
      </c>
      <c r="M627" s="184" t="s">
        <v>464</v>
      </c>
      <c r="N627" s="53" t="s">
        <v>113</v>
      </c>
      <c r="O627" s="51" t="s">
        <v>220</v>
      </c>
      <c r="P627" s="186" t="str">
        <f>IFERROR(VLOOKUP(C627,TD!$B$33:$F$37,2,0)," ")</f>
        <v>O230117</v>
      </c>
      <c r="Q627" s="186" t="str">
        <f>IFERROR(VLOOKUP(C627,TD!$B$33:$F$37,3,0)," ")</f>
        <v>4599</v>
      </c>
      <c r="R627" s="186">
        <f>IFERROR(VLOOKUP(C627,TD!$B$33:$F$37,4,0)," ")</f>
        <v>20240207</v>
      </c>
      <c r="S627" s="51" t="s">
        <v>193</v>
      </c>
      <c r="T627" s="186" t="str">
        <f>IFERROR(VLOOKUP(S627,TD!$J$34:$K$44,2,0)," ")</f>
        <v>Servicios para la planeación y sistemas de gestión y comunicación estratégica</v>
      </c>
      <c r="U627" s="187" t="str">
        <f>CONCATENATE(S627,"-",T627)</f>
        <v>13-Servicios para la planeación y sistemas de gestión y comunicación estratégica</v>
      </c>
      <c r="V627" s="51" t="s">
        <v>242</v>
      </c>
      <c r="W627" s="186" t="str">
        <f>IFERROR(VLOOKUP(V627,TD!$N$34:$O$46,2,0)," ")</f>
        <v>Documentos de planeación</v>
      </c>
      <c r="X627" s="187" t="str">
        <f>CONCATENATE(V627,"_",W627)</f>
        <v>019_Documentos de planeación</v>
      </c>
      <c r="Y627" s="187" t="str">
        <f>CONCATENATE(U627," ",X627)</f>
        <v>13-Servicios para la planeación y sistemas de gestión y comunicación estratégica 019_Documentos de planeación</v>
      </c>
      <c r="Z627" s="186" t="str">
        <f>CONCATENATE(P627,Q627,R627,S627,V627)</f>
        <v>O23011745992024020713019</v>
      </c>
      <c r="AA627" s="186" t="str">
        <f>IFERROR(VLOOKUP(Y627,TD!$K$47:$L$65,2,0)," ")</f>
        <v>PM/0131/0113/45990190207</v>
      </c>
      <c r="AB627" s="53" t="s">
        <v>138</v>
      </c>
      <c r="AC627" s="188" t="s">
        <v>204</v>
      </c>
    </row>
    <row r="628" spans="2:29" s="28" customFormat="1" ht="56" x14ac:dyDescent="0.35">
      <c r="B628" s="77">
        <v>20250654</v>
      </c>
      <c r="C628" s="50" t="s">
        <v>209</v>
      </c>
      <c r="D628" s="184" t="s">
        <v>165</v>
      </c>
      <c r="E628" s="51" t="s">
        <v>484</v>
      </c>
      <c r="F628" s="184" t="s">
        <v>858</v>
      </c>
      <c r="G628" s="184" t="s">
        <v>155</v>
      </c>
      <c r="H628" s="93">
        <v>80111600</v>
      </c>
      <c r="I628" s="185">
        <v>3</v>
      </c>
      <c r="J628" s="185">
        <v>8</v>
      </c>
      <c r="K628" s="52">
        <v>0</v>
      </c>
      <c r="L628" s="53">
        <f>65000000-6500000</f>
        <v>58500000</v>
      </c>
      <c r="M628" s="184" t="s">
        <v>464</v>
      </c>
      <c r="N628" s="53" t="s">
        <v>113</v>
      </c>
      <c r="O628" s="51" t="s">
        <v>229</v>
      </c>
      <c r="P628" s="186" t="str">
        <f>IFERROR(VLOOKUP(C628,TD!$B$33:$F$37,2,0)," ")</f>
        <v>O230117</v>
      </c>
      <c r="Q628" s="186" t="str">
        <f>IFERROR(VLOOKUP(C628,TD!$B$33:$F$37,3,0)," ")</f>
        <v>4503</v>
      </c>
      <c r="R628" s="186">
        <f>IFERROR(VLOOKUP(C628,TD!$B$33:$F$37,4,0)," ")</f>
        <v>20240255</v>
      </c>
      <c r="S628" s="51" t="s">
        <v>183</v>
      </c>
      <c r="T628" s="186" t="str">
        <f>IFERROR(VLOOKUP(S628,TD!$J$34:$K$44,2,0)," ")</f>
        <v>Servicio de formación en gestión del riesgo de incendios para el personal UAECOB</v>
      </c>
      <c r="U628" s="187" t="str">
        <f>CONCATENATE(S628,"-",T628)</f>
        <v>07-Servicio de formación en gestión del riesgo de incendios para el personal UAECOB</v>
      </c>
      <c r="V628" s="51" t="s">
        <v>233</v>
      </c>
      <c r="W628" s="186" t="str">
        <f>IFERROR(VLOOKUP(V628,TD!$N$34:$O$46,2,0)," ")</f>
        <v>Servicio de educación informal</v>
      </c>
      <c r="X628" s="187" t="str">
        <f>CONCATENATE(V628,"_",W628)</f>
        <v>002_Servicio de educación informal</v>
      </c>
      <c r="Y628" s="187" t="str">
        <f>CONCATENATE(U628," ",X628)</f>
        <v>07-Servicio de formación en gestión del riesgo de incendios para el personal UAECOB 002_Servicio de educación informal</v>
      </c>
      <c r="Z628" s="186" t="str">
        <f>CONCATENATE(P628,Q628,R628,S628,V628)</f>
        <v>O23011745032024025507002</v>
      </c>
      <c r="AA628" s="186" t="str">
        <f>IFERROR(VLOOKUP(Y628,TD!$K$47:$L$65,2,0)," ")</f>
        <v>PM/0131/0107/45030020255</v>
      </c>
      <c r="AB628" s="53" t="s">
        <v>138</v>
      </c>
      <c r="AC628" s="188" t="s">
        <v>204</v>
      </c>
    </row>
    <row r="629" spans="2:29" s="28" customFormat="1" ht="98" x14ac:dyDescent="0.35">
      <c r="B629" s="77">
        <v>20250656</v>
      </c>
      <c r="C629" s="50" t="s">
        <v>208</v>
      </c>
      <c r="D629" s="184" t="s">
        <v>36</v>
      </c>
      <c r="E629" s="51" t="s">
        <v>378</v>
      </c>
      <c r="F629" s="184" t="s">
        <v>867</v>
      </c>
      <c r="G629" s="184" t="s">
        <v>156</v>
      </c>
      <c r="H629" s="93">
        <v>80111601</v>
      </c>
      <c r="I629" s="185">
        <v>3</v>
      </c>
      <c r="J629" s="185">
        <v>8</v>
      </c>
      <c r="K629" s="52">
        <v>0</v>
      </c>
      <c r="L629" s="53">
        <v>45000000</v>
      </c>
      <c r="M629" s="184" t="s">
        <v>464</v>
      </c>
      <c r="N629" s="53" t="s">
        <v>113</v>
      </c>
      <c r="O629" s="51" t="s">
        <v>211</v>
      </c>
      <c r="P629" s="186" t="str">
        <f>IFERROR(VLOOKUP(C629,TD!$B$33:$F$37,2,0)," ")</f>
        <v>O230117</v>
      </c>
      <c r="Q629" s="186" t="str">
        <f>IFERROR(VLOOKUP(C629,TD!$B$33:$F$37,3,0)," ")</f>
        <v>4599</v>
      </c>
      <c r="R629" s="186">
        <f>IFERROR(VLOOKUP(C629,TD!$B$33:$F$37,4,0)," ")</f>
        <v>20240207</v>
      </c>
      <c r="S629" s="51" t="s">
        <v>193</v>
      </c>
      <c r="T629" s="186" t="str">
        <f>IFERROR(VLOOKUP(S629,TD!$J$34:$K$44,2,0)," ")</f>
        <v>Servicios para la planeación y sistemas de gestión y comunicación estratégica</v>
      </c>
      <c r="U629" s="187" t="str">
        <f>CONCATENATE(S629,"-",T629)</f>
        <v>13-Servicios para la planeación y sistemas de gestión y comunicación estratégica</v>
      </c>
      <c r="V629" s="51" t="s">
        <v>241</v>
      </c>
      <c r="W629" s="186" t="str">
        <f>IFERROR(VLOOKUP(V629,TD!$N$34:$O$46,2,0)," ")</f>
        <v>Servicio de Implementación Sistemas de Gestión</v>
      </c>
      <c r="X629" s="187" t="str">
        <f>CONCATENATE(V629,"_",W629)</f>
        <v>023_Servicio de Implementación Sistemas de Gestión</v>
      </c>
      <c r="Y629" s="187" t="str">
        <f>CONCATENATE(U629," ",X629)</f>
        <v>13-Servicios para la planeación y sistemas de gestión y comunicación estratégica 023_Servicio de Implementación Sistemas de Gestión</v>
      </c>
      <c r="Z629" s="186" t="str">
        <f>CONCATENATE(P629,Q629,R629,S629,V629)</f>
        <v>O23011745992024020713023</v>
      </c>
      <c r="AA629" s="186" t="str">
        <f>IFERROR(VLOOKUP(Y629,TD!$K$47:$L$65,2,0)," ")</f>
        <v>PM/0131/0113/45990230207</v>
      </c>
      <c r="AB629" s="53" t="s">
        <v>138</v>
      </c>
      <c r="AC629" s="188" t="s">
        <v>204</v>
      </c>
    </row>
    <row r="630" spans="2:29" s="28" customFormat="1" ht="98" x14ac:dyDescent="0.35">
      <c r="B630" s="77">
        <v>20250657</v>
      </c>
      <c r="C630" s="50" t="s">
        <v>209</v>
      </c>
      <c r="D630" s="184" t="s">
        <v>168</v>
      </c>
      <c r="E630" s="51" t="s">
        <v>603</v>
      </c>
      <c r="F630" s="184" t="s">
        <v>869</v>
      </c>
      <c r="G630" s="184" t="s">
        <v>156</v>
      </c>
      <c r="H630" s="93">
        <v>80111600</v>
      </c>
      <c r="I630" s="185">
        <v>3</v>
      </c>
      <c r="J630" s="185">
        <v>8</v>
      </c>
      <c r="K630" s="52">
        <v>0</v>
      </c>
      <c r="L630" s="53">
        <v>8470053</v>
      </c>
      <c r="M630" s="184" t="s">
        <v>464</v>
      </c>
      <c r="N630" s="53" t="s">
        <v>113</v>
      </c>
      <c r="O630" s="51" t="s">
        <v>224</v>
      </c>
      <c r="P630" s="186" t="str">
        <f>IFERROR(VLOOKUP(C630,TD!$B$33:$F$37,2,0)," ")</f>
        <v>O230117</v>
      </c>
      <c r="Q630" s="186" t="str">
        <f>IFERROR(VLOOKUP(C630,TD!$B$33:$F$37,3,0)," ")</f>
        <v>4503</v>
      </c>
      <c r="R630" s="186">
        <f>IFERROR(VLOOKUP(C630,TD!$B$33:$F$37,4,0)," ")</f>
        <v>20240255</v>
      </c>
      <c r="S630" s="51" t="s">
        <v>191</v>
      </c>
      <c r="T630" s="186" t="str">
        <f>IFERROR(VLOOKUP(S630,TD!$J$34:$K$44,2,0)," ")</f>
        <v>Servicio de apoyo   logístico  en eventos operativos y/o emergencias.</v>
      </c>
      <c r="U630" s="187" t="str">
        <f>CONCATENATE(S630,"-",T630)</f>
        <v>12-Servicio de apoyo   logístico  en eventos operativos y/o emergencias.</v>
      </c>
      <c r="V630" s="51" t="s">
        <v>232</v>
      </c>
      <c r="W630" s="186" t="str">
        <f>IFERROR(VLOOKUP(V630,TD!$N$34:$O$46,2,0)," ")</f>
        <v>Servicio de atención a emergencias y desastres</v>
      </c>
      <c r="X630" s="187" t="str">
        <f>CONCATENATE(V630,"_",W630)</f>
        <v>004_Servicio de atención a emergencias y desastres</v>
      </c>
      <c r="Y630" s="187" t="str">
        <f>CONCATENATE(U630," ",X630)</f>
        <v>12-Servicio de apoyo   logístico  en eventos operativos y/o emergencias. 004_Servicio de atención a emergencias y desastres</v>
      </c>
      <c r="Z630" s="186" t="str">
        <f>CONCATENATE(P630,Q630,R630,S630,V630)</f>
        <v>O23011745032024025512004</v>
      </c>
      <c r="AA630" s="186" t="str">
        <f>IFERROR(VLOOKUP(Y630,TD!$K$47:$L$65,2,0)," ")</f>
        <v>PM/0131/0112/45030040255</v>
      </c>
      <c r="AB630" s="53" t="s">
        <v>138</v>
      </c>
      <c r="AC630" s="188" t="s">
        <v>204</v>
      </c>
    </row>
    <row r="631" spans="2:29" s="28" customFormat="1" ht="98" x14ac:dyDescent="0.35">
      <c r="B631" s="77">
        <v>20250658</v>
      </c>
      <c r="C631" s="50" t="s">
        <v>209</v>
      </c>
      <c r="D631" s="184" t="s">
        <v>168</v>
      </c>
      <c r="E631" s="51" t="s">
        <v>603</v>
      </c>
      <c r="F631" s="184" t="s">
        <v>873</v>
      </c>
      <c r="G631" s="184" t="s">
        <v>146</v>
      </c>
      <c r="H631" s="93">
        <v>78181500</v>
      </c>
      <c r="I631" s="185">
        <v>3</v>
      </c>
      <c r="J631" s="185">
        <v>3</v>
      </c>
      <c r="K631" s="52">
        <v>0</v>
      </c>
      <c r="L631" s="53">
        <f>1600000000</f>
        <v>1600000000</v>
      </c>
      <c r="M631" s="184" t="s">
        <v>464</v>
      </c>
      <c r="N631" s="53" t="s">
        <v>85</v>
      </c>
      <c r="O631" s="51" t="s">
        <v>224</v>
      </c>
      <c r="P631" s="186" t="str">
        <f>IFERROR(VLOOKUP(C631,TD!$B$33:$F$37,2,0)," ")</f>
        <v>O230117</v>
      </c>
      <c r="Q631" s="186" t="str">
        <f>IFERROR(VLOOKUP(C631,TD!$B$33:$F$37,3,0)," ")</f>
        <v>4503</v>
      </c>
      <c r="R631" s="186">
        <f>IFERROR(VLOOKUP(C631,TD!$B$33:$F$37,4,0)," ")</f>
        <v>20240255</v>
      </c>
      <c r="S631" s="51" t="s">
        <v>187</v>
      </c>
      <c r="T631" s="186" t="str">
        <f>IFERROR(VLOOKUP(S631,TD!$J$34:$K$44,2,0)," ")</f>
        <v>Servicio de mantenimiento, dotación (HEA´s y equipo menor) y adquisición de vehiculos   especializados para la atención de emergencias.</v>
      </c>
      <c r="U631" s="187" t="str">
        <f>CONCATENATE(S631,"-",T631)</f>
        <v>09-Servicio de mantenimiento, dotación (HEA´s y equipo menor) y adquisición de vehiculos   especializados para la atención de emergencias.</v>
      </c>
      <c r="V631" s="51" t="s">
        <v>232</v>
      </c>
      <c r="W631" s="186" t="str">
        <f>IFERROR(VLOOKUP(V631,TD!$N$34:$O$46,2,0)," ")</f>
        <v>Servicio de atención a emergencias y desastres</v>
      </c>
      <c r="X631" s="187" t="str">
        <f>CONCATENATE(V631,"_",W631)</f>
        <v>004_Servicio de atención a emergencias y desastres</v>
      </c>
      <c r="Y631" s="187" t="str">
        <f>CONCATENATE(U631," ",X631)</f>
        <v>09-Servicio de mantenimiento, dotación (HEA´s y equipo menor) y adquisición de vehiculos   especializados para la atención de emergencias. 004_Servicio de atención a emergencias y desastres</v>
      </c>
      <c r="Z631" s="186" t="str">
        <f>CONCATENATE(P631,Q631,R631,S631,V631)</f>
        <v>O23011745032024025509004</v>
      </c>
      <c r="AA631" s="186" t="str">
        <f>IFERROR(VLOOKUP(Y631,TD!$K$47:$L$65,2,0)," ")</f>
        <v>PM/0131/0109/45030040255</v>
      </c>
      <c r="AB631" s="53" t="s">
        <v>145</v>
      </c>
      <c r="AC631" s="188" t="s">
        <v>205</v>
      </c>
    </row>
    <row r="632" spans="2:29" s="28" customFormat="1" ht="70" x14ac:dyDescent="0.35">
      <c r="B632" s="77">
        <v>20250659</v>
      </c>
      <c r="C632" s="50" t="s">
        <v>209</v>
      </c>
      <c r="D632" s="184" t="s">
        <v>168</v>
      </c>
      <c r="E632" s="51" t="s">
        <v>603</v>
      </c>
      <c r="F632" s="184" t="s">
        <v>868</v>
      </c>
      <c r="G632" s="184" t="s">
        <v>137</v>
      </c>
      <c r="H632" s="93" t="s">
        <v>406</v>
      </c>
      <c r="I632" s="185">
        <v>0</v>
      </c>
      <c r="J632" s="185">
        <v>0</v>
      </c>
      <c r="K632" s="52">
        <v>0</v>
      </c>
      <c r="L632" s="53">
        <f>5635667</f>
        <v>5635667</v>
      </c>
      <c r="M632" s="184" t="s">
        <v>173</v>
      </c>
      <c r="N632" s="53" t="s">
        <v>128</v>
      </c>
      <c r="O632" s="51" t="s">
        <v>224</v>
      </c>
      <c r="P632" s="186" t="str">
        <f>IFERROR(VLOOKUP(C632,TD!$B$33:$F$37,2,0)," ")</f>
        <v>O230117</v>
      </c>
      <c r="Q632" s="186" t="str">
        <f>IFERROR(VLOOKUP(C632,TD!$B$33:$F$37,3,0)," ")</f>
        <v>4503</v>
      </c>
      <c r="R632" s="186">
        <f>IFERROR(VLOOKUP(C632,TD!$B$33:$F$37,4,0)," ")</f>
        <v>20240255</v>
      </c>
      <c r="S632" s="51" t="s">
        <v>191</v>
      </c>
      <c r="T632" s="186" t="str">
        <f>IFERROR(VLOOKUP(S632,TD!$J$34:$K$44,2,0)," ")</f>
        <v>Servicio de apoyo   logístico  en eventos operativos y/o emergencias.</v>
      </c>
      <c r="U632" s="187" t="str">
        <f>CONCATENATE(S632,"-",T632)</f>
        <v>12-Servicio de apoyo   logístico  en eventos operativos y/o emergencias.</v>
      </c>
      <c r="V632" s="51" t="s">
        <v>232</v>
      </c>
      <c r="W632" s="186" t="str">
        <f>IFERROR(VLOOKUP(V632,TD!$N$34:$O$46,2,0)," ")</f>
        <v>Servicio de atención a emergencias y desastres</v>
      </c>
      <c r="X632" s="187" t="str">
        <f>CONCATENATE(V632,"_",W632)</f>
        <v>004_Servicio de atención a emergencias y desastres</v>
      </c>
      <c r="Y632" s="187" t="str">
        <f>CONCATENATE(U632," ",X632)</f>
        <v>12-Servicio de apoyo   logístico  en eventos operativos y/o emergencias. 004_Servicio de atención a emergencias y desastres</v>
      </c>
      <c r="Z632" s="186" t="str">
        <f>CONCATENATE(P632,Q632,R632,S632,V632)</f>
        <v>O23011745032024025512004</v>
      </c>
      <c r="AA632" s="186" t="str">
        <f>IFERROR(VLOOKUP(Y632,TD!$K$47:$L$65,2,0)," ")</f>
        <v>PM/0131/0112/45030040255</v>
      </c>
      <c r="AB632" s="53" t="s">
        <v>138</v>
      </c>
      <c r="AC632" s="188" t="s">
        <v>205</v>
      </c>
    </row>
    <row r="633" spans="2:29" s="28" customFormat="1" ht="98" x14ac:dyDescent="0.35">
      <c r="B633" s="77">
        <v>20250660</v>
      </c>
      <c r="C633" s="50" t="s">
        <v>208</v>
      </c>
      <c r="D633" s="184" t="s">
        <v>162</v>
      </c>
      <c r="E633" s="51" t="s">
        <v>355</v>
      </c>
      <c r="F633" s="184" t="s">
        <v>785</v>
      </c>
      <c r="G633" s="184" t="s">
        <v>155</v>
      </c>
      <c r="H633" s="93">
        <v>80111600</v>
      </c>
      <c r="I633" s="185">
        <v>3</v>
      </c>
      <c r="J633" s="185">
        <v>10</v>
      </c>
      <c r="K633" s="52">
        <v>0</v>
      </c>
      <c r="L633" s="53">
        <v>35000000</v>
      </c>
      <c r="M633" s="184" t="s">
        <v>464</v>
      </c>
      <c r="N633" s="53" t="s">
        <v>113</v>
      </c>
      <c r="O633" s="51" t="s">
        <v>214</v>
      </c>
      <c r="P633" s="186" t="str">
        <f>IFERROR(VLOOKUP(C633,TD!$B$33:$F$37,2,0)," ")</f>
        <v>O230117</v>
      </c>
      <c r="Q633" s="186" t="str">
        <f>IFERROR(VLOOKUP(C633,TD!$B$33:$F$37,3,0)," ")</f>
        <v>4599</v>
      </c>
      <c r="R633" s="186">
        <f>IFERROR(VLOOKUP(C633,TD!$B$33:$F$37,4,0)," ")</f>
        <v>20240207</v>
      </c>
      <c r="S633" s="51" t="s">
        <v>179</v>
      </c>
      <c r="T633" s="186" t="str">
        <f>IFERROR(VLOOKUP(S633,TD!$J$34:$K$44,2,0)," ")</f>
        <v>Infraestructura Tecnológica   (Sistemas de Información y Tecnologia)</v>
      </c>
      <c r="U633" s="187" t="str">
        <f>CONCATENATE(S633,"-",T633)</f>
        <v>11-Infraestructura Tecnológica   (Sistemas de Información y Tecnologia)</v>
      </c>
      <c r="V633" s="51" t="s">
        <v>239</v>
      </c>
      <c r="W633" s="186" t="str">
        <f>IFERROR(VLOOKUP(V633,TD!$N$34:$O$46,2,0)," ")</f>
        <v>Servicios tecnológicos</v>
      </c>
      <c r="X633" s="187" t="str">
        <f>CONCATENATE(V633,"_",W633)</f>
        <v>007_Servicios tecnológicos</v>
      </c>
      <c r="Y633" s="187" t="str">
        <f>CONCATENATE(U633," ",X633)</f>
        <v>11-Infraestructura Tecnológica   (Sistemas de Información y Tecnologia) 007_Servicios tecnológicos</v>
      </c>
      <c r="Z633" s="186" t="str">
        <f>CONCATENATE(P633,Q633,R633,S633,V633)</f>
        <v>O23011745992024020711007</v>
      </c>
      <c r="AA633" s="186" t="str">
        <f>IFERROR(VLOOKUP(Y633,TD!$K$47:$L$65,2,0)," ")</f>
        <v>PM/0131/0111/45990070207</v>
      </c>
      <c r="AB633" s="53" t="s">
        <v>138</v>
      </c>
      <c r="AC633" s="188" t="s">
        <v>204</v>
      </c>
    </row>
    <row r="634" spans="2:29" s="28" customFormat="1" ht="70" x14ac:dyDescent="0.35">
      <c r="B634" s="127">
        <v>20250661</v>
      </c>
      <c r="C634" s="129" t="s">
        <v>209</v>
      </c>
      <c r="D634" s="189" t="s">
        <v>167</v>
      </c>
      <c r="E634" s="190" t="s">
        <v>505</v>
      </c>
      <c r="F634" s="189" t="s">
        <v>1117</v>
      </c>
      <c r="G634" s="189" t="s">
        <v>155</v>
      </c>
      <c r="H634" s="130">
        <v>80111600</v>
      </c>
      <c r="I634" s="191">
        <v>9</v>
      </c>
      <c r="J634" s="191">
        <v>4</v>
      </c>
      <c r="K634" s="126">
        <v>0</v>
      </c>
      <c r="L634" s="125">
        <v>21000000</v>
      </c>
      <c r="M634" s="189" t="s">
        <v>464</v>
      </c>
      <c r="N634" s="125" t="s">
        <v>113</v>
      </c>
      <c r="O634" s="190" t="s">
        <v>221</v>
      </c>
      <c r="P634" s="192" t="str">
        <f>IFERROR(VLOOKUP(C634,TD!$B$33:$F$37,2,0)," ")</f>
        <v>O230117</v>
      </c>
      <c r="Q634" s="192" t="str">
        <f>IFERROR(VLOOKUP(C634,TD!$B$33:$F$37,3,0)," ")</f>
        <v>4503</v>
      </c>
      <c r="R634" s="192">
        <f>IFERROR(VLOOKUP(C634,TD!$B$33:$F$37,4,0)," ")</f>
        <v>20240255</v>
      </c>
      <c r="S634" s="190" t="s">
        <v>177</v>
      </c>
      <c r="T634" s="192" t="str">
        <f>IFERROR(VLOOKUP(S634,TD!$J$34:$K$44,2,0)," ")</f>
        <v>Servicio de capacitaciones en gestión del riesgo de incendios  a la ciudadania.</v>
      </c>
      <c r="U634" s="187" t="str">
        <f>CONCATENATE(S634,"-",T634)</f>
        <v>05-Servicio de capacitaciones en gestión del riesgo de incendios  a la ciudadania.</v>
      </c>
      <c r="V634" s="190" t="s">
        <v>234</v>
      </c>
      <c r="W634" s="192" t="str">
        <f>IFERROR(VLOOKUP(V634,TD!$N$34:$O$46,2,0)," ")</f>
        <v>Servicio prevención y control de incendios</v>
      </c>
      <c r="X634" s="187" t="str">
        <f>CONCATENATE(V634,"_",W634)</f>
        <v>035_Servicio prevención y control de incendios</v>
      </c>
      <c r="Y634" s="187" t="str">
        <f>CONCATENATE(U634," ",X634)</f>
        <v>05-Servicio de capacitaciones en gestión del riesgo de incendios  a la ciudadania. 035_Servicio prevención y control de incendios</v>
      </c>
      <c r="Z634" s="192" t="str">
        <f>CONCATENATE(P634,Q634,R634,S634,V634)</f>
        <v>O23011745032024025505035</v>
      </c>
      <c r="AA634" s="192" t="str">
        <f>IFERROR(VLOOKUP(Y634,TD!$K$47:$L$65,2,0)," ")</f>
        <v>PM/0131/0105/45030350255</v>
      </c>
      <c r="AB634" s="125" t="s">
        <v>138</v>
      </c>
      <c r="AC634" s="193" t="s">
        <v>204</v>
      </c>
    </row>
    <row r="635" spans="2:29" s="28" customFormat="1" ht="98" x14ac:dyDescent="0.35">
      <c r="B635" s="77">
        <v>20250662</v>
      </c>
      <c r="C635" s="50" t="s">
        <v>209</v>
      </c>
      <c r="D635" s="184" t="s">
        <v>167</v>
      </c>
      <c r="E635" s="51" t="s">
        <v>505</v>
      </c>
      <c r="F635" s="184" t="s">
        <v>870</v>
      </c>
      <c r="G635" s="184" t="s">
        <v>155</v>
      </c>
      <c r="H635" s="93">
        <v>80111600</v>
      </c>
      <c r="I635" s="185">
        <v>0</v>
      </c>
      <c r="J635" s="185">
        <v>0</v>
      </c>
      <c r="K635" s="52">
        <v>0</v>
      </c>
      <c r="L635" s="53">
        <v>1410000</v>
      </c>
      <c r="M635" s="184" t="s">
        <v>173</v>
      </c>
      <c r="N635" s="53" t="s">
        <v>128</v>
      </c>
      <c r="O635" s="51" t="s">
        <v>225</v>
      </c>
      <c r="P635" s="186" t="str">
        <f>IFERROR(VLOOKUP(C635,TD!$B$33:$F$37,2,0)," ")</f>
        <v>O230117</v>
      </c>
      <c r="Q635" s="186" t="str">
        <f>IFERROR(VLOOKUP(C635,TD!$B$33:$F$37,3,0)," ")</f>
        <v>4503</v>
      </c>
      <c r="R635" s="186">
        <f>IFERROR(VLOOKUP(C635,TD!$B$33:$F$37,4,0)," ")</f>
        <v>20240255</v>
      </c>
      <c r="S635" s="51" t="s">
        <v>179</v>
      </c>
      <c r="T635" s="186" t="str">
        <f>IFERROR(VLOOKUP(S635,TD!$J$34:$K$44,2,0)," ")</f>
        <v>Infraestructura Tecnológica   (Sistemas de Información y Tecnologia)</v>
      </c>
      <c r="U635" s="187" t="str">
        <f>CONCATENATE(S635,"-",T635)</f>
        <v>11-Infraestructura Tecnológica   (Sistemas de Información y Tecnologia)</v>
      </c>
      <c r="V635" s="51" t="s">
        <v>235</v>
      </c>
      <c r="W635" s="186" t="str">
        <f>IFERROR(VLOOKUP(V635,TD!$N$34:$O$46,2,0)," ")</f>
        <v>"Servicio de monitoreo y seguimiento para la gestión del riesgo"</v>
      </c>
      <c r="X635" s="187" t="str">
        <f>CONCATENATE(V635,"_",W635)</f>
        <v>018_"Servicio de monitoreo y seguimiento para la gestión del riesgo"</v>
      </c>
      <c r="Y635" s="187" t="str">
        <f>CONCATENATE(U635," ",X635)</f>
        <v>11-Infraestructura Tecnológica   (Sistemas de Información y Tecnologia) 018_"Servicio de monitoreo y seguimiento para la gestión del riesgo"</v>
      </c>
      <c r="Z635" s="186" t="str">
        <f>CONCATENATE(P635,Q635,R635,S635,V635)</f>
        <v>O23011745032024025511018</v>
      </c>
      <c r="AA635" s="186" t="str">
        <f>IFERROR(VLOOKUP(Y635,TD!$K$47:$L$65,2,0)," ")</f>
        <v>PM/0131/0111/45030180255</v>
      </c>
      <c r="AB635" s="53" t="s">
        <v>138</v>
      </c>
      <c r="AC635" s="188" t="s">
        <v>205</v>
      </c>
    </row>
    <row r="636" spans="2:29" s="28" customFormat="1" ht="70" x14ac:dyDescent="0.35">
      <c r="B636" s="77">
        <v>20250663</v>
      </c>
      <c r="C636" s="50" t="s">
        <v>346</v>
      </c>
      <c r="D636" s="184" t="s">
        <v>168</v>
      </c>
      <c r="E636" s="51" t="s">
        <v>603</v>
      </c>
      <c r="F636" s="184" t="s">
        <v>871</v>
      </c>
      <c r="G636" s="184" t="s">
        <v>96</v>
      </c>
      <c r="H636" s="93">
        <v>78181505</v>
      </c>
      <c r="I636" s="185">
        <v>3</v>
      </c>
      <c r="J636" s="185">
        <v>2</v>
      </c>
      <c r="K636" s="52">
        <v>0</v>
      </c>
      <c r="L636" s="53">
        <v>2000000</v>
      </c>
      <c r="M636" s="184" t="s">
        <v>172</v>
      </c>
      <c r="N636" s="53" t="s">
        <v>100</v>
      </c>
      <c r="O636" s="51" t="s">
        <v>347</v>
      </c>
      <c r="P636" s="186" t="str">
        <f>IFERROR(VLOOKUP(C636,TD!$B$33:$F$37,2,0)," ")</f>
        <v>NA</v>
      </c>
      <c r="Q636" s="186" t="str">
        <f>IFERROR(VLOOKUP(C636,TD!$B$33:$F$37,3,0)," ")</f>
        <v>NA</v>
      </c>
      <c r="R636" s="186" t="str">
        <f>IFERROR(VLOOKUP(C636,TD!$B$33:$F$37,4,0)," ")</f>
        <v>NA</v>
      </c>
      <c r="S636" s="51" t="s">
        <v>406</v>
      </c>
      <c r="T636" s="186" t="str">
        <f>IFERROR(VLOOKUP(S636,TD!$J$34:$K$44,2,0)," ")</f>
        <v>N/A</v>
      </c>
      <c r="U636" s="187" t="str">
        <f>CONCATENATE(S636,"-",T636)</f>
        <v>N/A-N/A</v>
      </c>
      <c r="V636" s="51" t="s">
        <v>406</v>
      </c>
      <c r="W636" s="186" t="str">
        <f>IFERROR(VLOOKUP(V636,TD!$N$34:$O$46,2,0)," ")</f>
        <v>N/A</v>
      </c>
      <c r="X636" s="187" t="str">
        <f>CONCATENATE(V636,"_",W636)</f>
        <v>N/A_N/A</v>
      </c>
      <c r="Y636" s="187" t="str">
        <f>CONCATENATE(U636," ",X636)</f>
        <v>N/A-N/A N/A_N/A</v>
      </c>
      <c r="Z636" s="186" t="str">
        <f>CONCATENATE(P636,Q636,R636,S636,V636)</f>
        <v>NANANAN/AN/A</v>
      </c>
      <c r="AA636" s="186" t="str">
        <f>IFERROR(VLOOKUP(Y636,TD!$K$47:$L$65,2,0)," ")</f>
        <v>N/A</v>
      </c>
      <c r="AB636" s="53" t="s">
        <v>452</v>
      </c>
      <c r="AC636" s="188" t="s">
        <v>205</v>
      </c>
    </row>
    <row r="637" spans="2:29" s="28" customFormat="1" ht="56" x14ac:dyDescent="0.35">
      <c r="B637" s="77">
        <v>20250664</v>
      </c>
      <c r="C637" s="50" t="s">
        <v>209</v>
      </c>
      <c r="D637" s="184" t="s">
        <v>168</v>
      </c>
      <c r="E637" s="51" t="s">
        <v>603</v>
      </c>
      <c r="F637" s="184" t="s">
        <v>872</v>
      </c>
      <c r="G637" s="184" t="s">
        <v>156</v>
      </c>
      <c r="H637" s="93">
        <v>80111600</v>
      </c>
      <c r="I637" s="185">
        <v>3</v>
      </c>
      <c r="J637" s="185">
        <v>6</v>
      </c>
      <c r="K637" s="52">
        <v>0</v>
      </c>
      <c r="L637" s="53">
        <v>19680000</v>
      </c>
      <c r="M637" s="184" t="s">
        <v>464</v>
      </c>
      <c r="N637" s="53" t="s">
        <v>113</v>
      </c>
      <c r="O637" s="51" t="s">
        <v>224</v>
      </c>
      <c r="P637" s="186" t="str">
        <f>IFERROR(VLOOKUP(C637,TD!$B$33:$F$37,2,0)," ")</f>
        <v>O230117</v>
      </c>
      <c r="Q637" s="186" t="str">
        <f>IFERROR(VLOOKUP(C637,TD!$B$33:$F$37,3,0)," ")</f>
        <v>4503</v>
      </c>
      <c r="R637" s="186">
        <f>IFERROR(VLOOKUP(C637,TD!$B$33:$F$37,4,0)," ")</f>
        <v>20240255</v>
      </c>
      <c r="S637" s="51" t="s">
        <v>191</v>
      </c>
      <c r="T637" s="186" t="str">
        <f>IFERROR(VLOOKUP(S637,TD!$J$34:$K$44,2,0)," ")</f>
        <v>Servicio de apoyo   logístico  en eventos operativos y/o emergencias.</v>
      </c>
      <c r="U637" s="187" t="str">
        <f>CONCATENATE(S637,"-",T637)</f>
        <v>12-Servicio de apoyo   logístico  en eventos operativos y/o emergencias.</v>
      </c>
      <c r="V637" s="51" t="s">
        <v>232</v>
      </c>
      <c r="W637" s="186" t="str">
        <f>IFERROR(VLOOKUP(V637,TD!$N$34:$O$46,2,0)," ")</f>
        <v>Servicio de atención a emergencias y desastres</v>
      </c>
      <c r="X637" s="187" t="str">
        <f>CONCATENATE(V637,"_",W637)</f>
        <v>004_Servicio de atención a emergencias y desastres</v>
      </c>
      <c r="Y637" s="187" t="str">
        <f>CONCATENATE(U637," ",X637)</f>
        <v>12-Servicio de apoyo   logístico  en eventos operativos y/o emergencias. 004_Servicio de atención a emergencias y desastres</v>
      </c>
      <c r="Z637" s="186" t="str">
        <f>CONCATENATE(P637,Q637,R637,S637,V637)</f>
        <v>O23011745032024025512004</v>
      </c>
      <c r="AA637" s="186" t="str">
        <f>IFERROR(VLOOKUP(Y637,TD!$K$47:$L$65,2,0)," ")</f>
        <v>PM/0131/0112/45030040255</v>
      </c>
      <c r="AB637" s="53" t="s">
        <v>138</v>
      </c>
      <c r="AC637" s="188" t="s">
        <v>204</v>
      </c>
    </row>
    <row r="638" spans="2:29" s="28" customFormat="1" ht="84" x14ac:dyDescent="0.35">
      <c r="B638" s="77">
        <v>20250665</v>
      </c>
      <c r="C638" s="50" t="s">
        <v>208</v>
      </c>
      <c r="D638" s="184" t="s">
        <v>166</v>
      </c>
      <c r="E638" s="51" t="s">
        <v>558</v>
      </c>
      <c r="F638" s="184" t="s">
        <v>878</v>
      </c>
      <c r="G638" s="184" t="s">
        <v>152</v>
      </c>
      <c r="H638" s="93" t="s">
        <v>880</v>
      </c>
      <c r="I638" s="185">
        <v>3</v>
      </c>
      <c r="J638" s="185">
        <v>3</v>
      </c>
      <c r="K638" s="52">
        <v>0</v>
      </c>
      <c r="L638" s="53">
        <v>50000000</v>
      </c>
      <c r="M638" s="184" t="s">
        <v>464</v>
      </c>
      <c r="N638" s="53" t="s">
        <v>95</v>
      </c>
      <c r="O638" s="51" t="s">
        <v>218</v>
      </c>
      <c r="P638" s="186" t="str">
        <f>IFERROR(VLOOKUP(C638,TD!$B$33:$F$37,2,0)," ")</f>
        <v>O230117</v>
      </c>
      <c r="Q638" s="186" t="str">
        <f>IFERROR(VLOOKUP(C638,TD!$B$33:$F$37,3,0)," ")</f>
        <v>4599</v>
      </c>
      <c r="R638" s="186">
        <f>IFERROR(VLOOKUP(C638,TD!$B$33:$F$37,4,0)," ")</f>
        <v>20240207</v>
      </c>
      <c r="S638" s="51" t="s">
        <v>185</v>
      </c>
      <c r="T638" s="186" t="str">
        <f>IFERROR(VLOOKUP(S638,TD!$J$34:$K$44,2,0)," ")</f>
        <v>Infraestructura física, mantenimiento y dotación (Sedes construidas, mantenidas reforzadas)</v>
      </c>
      <c r="U638" s="187" t="str">
        <f>CONCATENATE(S638,"-",T638)</f>
        <v>08-Infraestructura física, mantenimiento y dotación (Sedes construidas, mantenidas reforzadas)</v>
      </c>
      <c r="V638" s="51" t="s">
        <v>238</v>
      </c>
      <c r="W638" s="186" t="str">
        <f>IFERROR(VLOOKUP(V638,TD!$N$34:$O$46,2,0)," ")</f>
        <v>Sedes mantenidas</v>
      </c>
      <c r="X638" s="187" t="str">
        <f>CONCATENATE(V638,"_",W638)</f>
        <v>016_Sedes mantenidas</v>
      </c>
      <c r="Y638" s="187" t="str">
        <f>CONCATENATE(U638," ",X638)</f>
        <v>08-Infraestructura física, mantenimiento y dotación (Sedes construidas, mantenidas reforzadas) 016_Sedes mantenidas</v>
      </c>
      <c r="Z638" s="186" t="str">
        <f>CONCATENATE(P638,Q638,R638,S638,V638)</f>
        <v>O23011745992024020708016</v>
      </c>
      <c r="AA638" s="186" t="str">
        <f>IFERROR(VLOOKUP(Y638,TD!$K$47:$L$65,2,0)," ")</f>
        <v>PM/0131/0108/45990160207</v>
      </c>
      <c r="AB638" s="53" t="s">
        <v>138</v>
      </c>
      <c r="AC638" s="188" t="s">
        <v>205</v>
      </c>
    </row>
    <row r="639" spans="2:29" s="28" customFormat="1" ht="98" x14ac:dyDescent="0.35">
      <c r="B639" s="77">
        <v>20250666</v>
      </c>
      <c r="C639" s="50" t="s">
        <v>208</v>
      </c>
      <c r="D639" s="184" t="s">
        <v>166</v>
      </c>
      <c r="E639" s="51" t="s">
        <v>558</v>
      </c>
      <c r="F639" s="184" t="s">
        <v>879</v>
      </c>
      <c r="G639" s="184" t="s">
        <v>146</v>
      </c>
      <c r="H639" s="93" t="s">
        <v>881</v>
      </c>
      <c r="I639" s="185">
        <v>4</v>
      </c>
      <c r="J639" s="185">
        <v>1</v>
      </c>
      <c r="K639" s="52">
        <v>0</v>
      </c>
      <c r="L639" s="53">
        <v>10000000</v>
      </c>
      <c r="M639" s="184" t="s">
        <v>464</v>
      </c>
      <c r="N639" s="53" t="s">
        <v>90</v>
      </c>
      <c r="O639" s="51" t="s">
        <v>218</v>
      </c>
      <c r="P639" s="186" t="str">
        <f>IFERROR(VLOOKUP(C639,TD!$B$33:$F$37,2,0)," ")</f>
        <v>O230117</v>
      </c>
      <c r="Q639" s="186" t="str">
        <f>IFERROR(VLOOKUP(C639,TD!$B$33:$F$37,3,0)," ")</f>
        <v>4599</v>
      </c>
      <c r="R639" s="186">
        <f>IFERROR(VLOOKUP(C639,TD!$B$33:$F$37,4,0)," ")</f>
        <v>20240207</v>
      </c>
      <c r="S639" s="51" t="s">
        <v>185</v>
      </c>
      <c r="T639" s="186" t="str">
        <f>IFERROR(VLOOKUP(S639,TD!$J$34:$K$44,2,0)," ")</f>
        <v>Infraestructura física, mantenimiento y dotación (Sedes construidas, mantenidas reforzadas)</v>
      </c>
      <c r="U639" s="187" t="str">
        <f>CONCATENATE(S639,"-",T639)</f>
        <v>08-Infraestructura física, mantenimiento y dotación (Sedes construidas, mantenidas reforzadas)</v>
      </c>
      <c r="V639" s="51" t="s">
        <v>238</v>
      </c>
      <c r="W639" s="186" t="str">
        <f>IFERROR(VLOOKUP(V639,TD!$N$34:$O$46,2,0)," ")</f>
        <v>Sedes mantenidas</v>
      </c>
      <c r="X639" s="187" t="str">
        <f>CONCATENATE(V639,"_",W639)</f>
        <v>016_Sedes mantenidas</v>
      </c>
      <c r="Y639" s="187" t="str">
        <f>CONCATENATE(U639," ",X639)</f>
        <v>08-Infraestructura física, mantenimiento y dotación (Sedes construidas, mantenidas reforzadas) 016_Sedes mantenidas</v>
      </c>
      <c r="Z639" s="186" t="str">
        <f>CONCATENATE(P639,Q639,R639,S639,V639)</f>
        <v>O23011745992024020708016</v>
      </c>
      <c r="AA639" s="186" t="str">
        <f>IFERROR(VLOOKUP(Y639,TD!$K$47:$L$65,2,0)," ")</f>
        <v>PM/0131/0108/45990160207</v>
      </c>
      <c r="AB639" s="53" t="s">
        <v>147</v>
      </c>
      <c r="AC639" s="188" t="s">
        <v>205</v>
      </c>
    </row>
    <row r="640" spans="2:29" s="28" customFormat="1" ht="84" x14ac:dyDescent="0.35">
      <c r="B640" s="127">
        <v>20250667</v>
      </c>
      <c r="C640" s="129" t="s">
        <v>208</v>
      </c>
      <c r="D640" s="189" t="s">
        <v>162</v>
      </c>
      <c r="E640" s="190" t="s">
        <v>355</v>
      </c>
      <c r="F640" s="189" t="s">
        <v>769</v>
      </c>
      <c r="G640" s="189" t="s">
        <v>155</v>
      </c>
      <c r="H640" s="130">
        <v>80111600</v>
      </c>
      <c r="I640" s="191">
        <v>4</v>
      </c>
      <c r="J640" s="191">
        <v>8</v>
      </c>
      <c r="K640" s="126">
        <v>0</v>
      </c>
      <c r="L640" s="125">
        <v>44000000</v>
      </c>
      <c r="M640" s="189" t="s">
        <v>464</v>
      </c>
      <c r="N640" s="125" t="s">
        <v>113</v>
      </c>
      <c r="O640" s="190" t="s">
        <v>215</v>
      </c>
      <c r="P640" s="192" t="str">
        <f>IFERROR(VLOOKUP(C640,TD!$B$33:$F$37,2,0)," ")</f>
        <v>O230117</v>
      </c>
      <c r="Q640" s="192" t="str">
        <f>IFERROR(VLOOKUP(C640,TD!$B$33:$F$37,3,0)," ")</f>
        <v>4599</v>
      </c>
      <c r="R640" s="192">
        <f>IFERROR(VLOOKUP(C640,TD!$B$33:$F$37,4,0)," ")</f>
        <v>20240207</v>
      </c>
      <c r="S640" s="190" t="s">
        <v>179</v>
      </c>
      <c r="T640" s="192" t="str">
        <f>IFERROR(VLOOKUP(S640,TD!$J$34:$K$44,2,0)," ")</f>
        <v>Infraestructura Tecnológica   (Sistemas de Información y Tecnologia)</v>
      </c>
      <c r="U640" s="187" t="str">
        <f>CONCATENATE(S640,"-",T640)</f>
        <v>11-Infraestructura Tecnológica   (Sistemas de Información y Tecnologia)</v>
      </c>
      <c r="V640" s="190" t="s">
        <v>239</v>
      </c>
      <c r="W640" s="192" t="str">
        <f>IFERROR(VLOOKUP(V640,TD!$N$34:$O$46,2,0)," ")</f>
        <v>Servicios tecnológicos</v>
      </c>
      <c r="X640" s="187" t="str">
        <f>CONCATENATE(V640,"_",W640)</f>
        <v>007_Servicios tecnológicos</v>
      </c>
      <c r="Y640" s="187" t="str">
        <f>CONCATENATE(U640," ",X640)</f>
        <v>11-Infraestructura Tecnológica   (Sistemas de Información y Tecnologia) 007_Servicios tecnológicos</v>
      </c>
      <c r="Z640" s="192" t="str">
        <f>CONCATENATE(P640,Q640,R640,S640,V640)</f>
        <v>O23011745992024020711007</v>
      </c>
      <c r="AA640" s="192" t="str">
        <f>IFERROR(VLOOKUP(Y640,TD!$K$47:$L$65,2,0)," ")</f>
        <v>PM/0131/0111/45990070207</v>
      </c>
      <c r="AB640" s="125" t="s">
        <v>138</v>
      </c>
      <c r="AC640" s="193" t="s">
        <v>204</v>
      </c>
    </row>
    <row r="641" spans="2:29" s="28" customFormat="1" ht="98" x14ac:dyDescent="0.35">
      <c r="B641" s="77">
        <v>20250669</v>
      </c>
      <c r="C641" s="50" t="s">
        <v>209</v>
      </c>
      <c r="D641" s="184" t="s">
        <v>169</v>
      </c>
      <c r="E641" s="51" t="s">
        <v>465</v>
      </c>
      <c r="F641" s="184" t="s">
        <v>883</v>
      </c>
      <c r="G641" s="184" t="s">
        <v>155</v>
      </c>
      <c r="H641" s="93">
        <v>80111600</v>
      </c>
      <c r="I641" s="185">
        <v>4</v>
      </c>
      <c r="J641" s="185">
        <v>9</v>
      </c>
      <c r="K641" s="52">
        <v>0</v>
      </c>
      <c r="L641" s="53">
        <v>85500000</v>
      </c>
      <c r="M641" s="184" t="s">
        <v>464</v>
      </c>
      <c r="N641" s="53" t="s">
        <v>113</v>
      </c>
      <c r="O641" s="51" t="s">
        <v>222</v>
      </c>
      <c r="P641" s="186" t="str">
        <f>IFERROR(VLOOKUP(C641,TD!$B$33:$F$37,2,0)," ")</f>
        <v>O230117</v>
      </c>
      <c r="Q641" s="186" t="str">
        <f>IFERROR(VLOOKUP(C641,TD!$B$33:$F$37,3,0)," ")</f>
        <v>4503</v>
      </c>
      <c r="R641" s="186">
        <f>IFERROR(VLOOKUP(C641,TD!$B$33:$F$37,4,0)," ")</f>
        <v>20240255</v>
      </c>
      <c r="S641" s="51" t="s">
        <v>175</v>
      </c>
      <c r="T641" s="186" t="str">
        <f>IFERROR(VLOOKUP(S641,TD!$J$34:$K$44,2,0)," ")</f>
        <v>Servicio de atención a incidentes y emergencias.</v>
      </c>
      <c r="U641" s="187" t="str">
        <f>CONCATENATE(S641,"-",T641)</f>
        <v>04-Servicio de atención a incidentes y emergencias.</v>
      </c>
      <c r="V641" s="51" t="s">
        <v>232</v>
      </c>
      <c r="W641" s="186" t="str">
        <f>IFERROR(VLOOKUP(V641,TD!$N$34:$O$46,2,0)," ")</f>
        <v>Servicio de atención a emergencias y desastres</v>
      </c>
      <c r="X641" s="187" t="str">
        <f>CONCATENATE(V641,"_",W641)</f>
        <v>004_Servicio de atención a emergencias y desastres</v>
      </c>
      <c r="Y641" s="187" t="str">
        <f>CONCATENATE(U641," ",X641)</f>
        <v>04-Servicio de atención a incidentes y emergencias. 004_Servicio de atención a emergencias y desastres</v>
      </c>
      <c r="Z641" s="186" t="str">
        <f>CONCATENATE(P641,Q641,R641,S641,V641)</f>
        <v>O23011745032024025504004</v>
      </c>
      <c r="AA641" s="186" t="str">
        <f>IFERROR(VLOOKUP(Y641,TD!$K$47:$L$65,2,0)," ")</f>
        <v>PM/0131/0104/45030040255</v>
      </c>
      <c r="AB641" s="53" t="s">
        <v>120</v>
      </c>
      <c r="AC641" s="188" t="s">
        <v>204</v>
      </c>
    </row>
    <row r="642" spans="2:29" s="28" customFormat="1" ht="98" x14ac:dyDescent="0.35">
      <c r="B642" s="77">
        <v>20250670</v>
      </c>
      <c r="C642" s="50" t="s">
        <v>209</v>
      </c>
      <c r="D642" s="184" t="s">
        <v>169</v>
      </c>
      <c r="E642" s="51" t="s">
        <v>465</v>
      </c>
      <c r="F642" s="184" t="s">
        <v>884</v>
      </c>
      <c r="G642" s="184" t="s">
        <v>155</v>
      </c>
      <c r="H642" s="93">
        <v>80111600</v>
      </c>
      <c r="I642" s="185">
        <v>4</v>
      </c>
      <c r="J642" s="185">
        <v>9</v>
      </c>
      <c r="K642" s="52">
        <v>0</v>
      </c>
      <c r="L642" s="53">
        <v>85500000</v>
      </c>
      <c r="M642" s="184" t="s">
        <v>464</v>
      </c>
      <c r="N642" s="53" t="s">
        <v>113</v>
      </c>
      <c r="O642" s="51" t="s">
        <v>222</v>
      </c>
      <c r="P642" s="186" t="str">
        <f>IFERROR(VLOOKUP(C642,TD!$B$33:$F$37,2,0)," ")</f>
        <v>O230117</v>
      </c>
      <c r="Q642" s="186" t="str">
        <f>IFERROR(VLOOKUP(C642,TD!$B$33:$F$37,3,0)," ")</f>
        <v>4503</v>
      </c>
      <c r="R642" s="186">
        <f>IFERROR(VLOOKUP(C642,TD!$B$33:$F$37,4,0)," ")</f>
        <v>20240255</v>
      </c>
      <c r="S642" s="51" t="s">
        <v>175</v>
      </c>
      <c r="T642" s="186" t="str">
        <f>IFERROR(VLOOKUP(S642,TD!$J$34:$K$44,2,0)," ")</f>
        <v>Servicio de atención a incidentes y emergencias.</v>
      </c>
      <c r="U642" s="187" t="str">
        <f>CONCATENATE(S642,"-",T642)</f>
        <v>04-Servicio de atención a incidentes y emergencias.</v>
      </c>
      <c r="V642" s="51" t="s">
        <v>232</v>
      </c>
      <c r="W642" s="186" t="str">
        <f>IFERROR(VLOOKUP(V642,TD!$N$34:$O$46,2,0)," ")</f>
        <v>Servicio de atención a emergencias y desastres</v>
      </c>
      <c r="X642" s="187" t="str">
        <f>CONCATENATE(V642,"_",W642)</f>
        <v>004_Servicio de atención a emergencias y desastres</v>
      </c>
      <c r="Y642" s="187" t="str">
        <f>CONCATENATE(U642," ",X642)</f>
        <v>04-Servicio de atención a incidentes y emergencias. 004_Servicio de atención a emergencias y desastres</v>
      </c>
      <c r="Z642" s="186" t="str">
        <f>CONCATENATE(P642,Q642,R642,S642,V642)</f>
        <v>O23011745032024025504004</v>
      </c>
      <c r="AA642" s="186" t="str">
        <f>IFERROR(VLOOKUP(Y642,TD!$K$47:$L$65,2,0)," ")</f>
        <v>PM/0131/0104/45030040255</v>
      </c>
      <c r="AB642" s="53" t="s">
        <v>120</v>
      </c>
      <c r="AC642" s="188" t="s">
        <v>204</v>
      </c>
    </row>
    <row r="643" spans="2:29" s="28" customFormat="1" ht="70" x14ac:dyDescent="0.35">
      <c r="B643" s="77">
        <v>20250671</v>
      </c>
      <c r="C643" s="50" t="s">
        <v>209</v>
      </c>
      <c r="D643" s="184" t="s">
        <v>169</v>
      </c>
      <c r="E643" s="51" t="s">
        <v>465</v>
      </c>
      <c r="F643" s="184" t="s">
        <v>885</v>
      </c>
      <c r="G643" s="184" t="s">
        <v>155</v>
      </c>
      <c r="H643" s="93">
        <v>80111600</v>
      </c>
      <c r="I643" s="185">
        <v>4</v>
      </c>
      <c r="J643" s="185">
        <v>9</v>
      </c>
      <c r="K643" s="52">
        <v>0</v>
      </c>
      <c r="L643" s="53">
        <v>85500000</v>
      </c>
      <c r="M643" s="184" t="s">
        <v>464</v>
      </c>
      <c r="N643" s="53" t="s">
        <v>113</v>
      </c>
      <c r="O643" s="51" t="s">
        <v>222</v>
      </c>
      <c r="P643" s="186" t="str">
        <f>IFERROR(VLOOKUP(C643,TD!$B$33:$F$37,2,0)," ")</f>
        <v>O230117</v>
      </c>
      <c r="Q643" s="186" t="str">
        <f>IFERROR(VLOOKUP(C643,TD!$B$33:$F$37,3,0)," ")</f>
        <v>4503</v>
      </c>
      <c r="R643" s="186">
        <f>IFERROR(VLOOKUP(C643,TD!$B$33:$F$37,4,0)," ")</f>
        <v>20240255</v>
      </c>
      <c r="S643" s="51" t="s">
        <v>175</v>
      </c>
      <c r="T643" s="186" t="str">
        <f>IFERROR(VLOOKUP(S643,TD!$J$34:$K$44,2,0)," ")</f>
        <v>Servicio de atención a incidentes y emergencias.</v>
      </c>
      <c r="U643" s="187" t="str">
        <f>CONCATENATE(S643,"-",T643)</f>
        <v>04-Servicio de atención a incidentes y emergencias.</v>
      </c>
      <c r="V643" s="51" t="s">
        <v>232</v>
      </c>
      <c r="W643" s="186" t="str">
        <f>IFERROR(VLOOKUP(V643,TD!$N$34:$O$46,2,0)," ")</f>
        <v>Servicio de atención a emergencias y desastres</v>
      </c>
      <c r="X643" s="187" t="str">
        <f>CONCATENATE(V643,"_",W643)</f>
        <v>004_Servicio de atención a emergencias y desastres</v>
      </c>
      <c r="Y643" s="187" t="str">
        <f>CONCATENATE(U643," ",X643)</f>
        <v>04-Servicio de atención a incidentes y emergencias. 004_Servicio de atención a emergencias y desastres</v>
      </c>
      <c r="Z643" s="186" t="str">
        <f>CONCATENATE(P643,Q643,R643,S643,V643)</f>
        <v>O23011745032024025504004</v>
      </c>
      <c r="AA643" s="186" t="str">
        <f>IFERROR(VLOOKUP(Y643,TD!$K$47:$L$65,2,0)," ")</f>
        <v>PM/0131/0104/45030040255</v>
      </c>
      <c r="AB643" s="53" t="s">
        <v>120</v>
      </c>
      <c r="AC643" s="188" t="s">
        <v>204</v>
      </c>
    </row>
    <row r="644" spans="2:29" s="28" customFormat="1" ht="84" x14ac:dyDescent="0.35">
      <c r="B644" s="77">
        <v>20250672</v>
      </c>
      <c r="C644" s="50" t="s">
        <v>209</v>
      </c>
      <c r="D644" s="184" t="s">
        <v>169</v>
      </c>
      <c r="E644" s="51" t="s">
        <v>465</v>
      </c>
      <c r="F644" s="184" t="s">
        <v>940</v>
      </c>
      <c r="G644" s="184" t="s">
        <v>156</v>
      </c>
      <c r="H644" s="93">
        <v>80111600</v>
      </c>
      <c r="I644" s="185">
        <v>6</v>
      </c>
      <c r="J644" s="185">
        <v>9</v>
      </c>
      <c r="K644" s="52">
        <v>0</v>
      </c>
      <c r="L644" s="53">
        <f>54000000-14400000</f>
        <v>39600000</v>
      </c>
      <c r="M644" s="184" t="s">
        <v>464</v>
      </c>
      <c r="N644" s="53" t="s">
        <v>113</v>
      </c>
      <c r="O644" s="51" t="s">
        <v>222</v>
      </c>
      <c r="P644" s="186" t="str">
        <f>IFERROR(VLOOKUP(C644,TD!$B$33:$F$37,2,0)," ")</f>
        <v>O230117</v>
      </c>
      <c r="Q644" s="186" t="str">
        <f>IFERROR(VLOOKUP(C644,TD!$B$33:$F$37,3,0)," ")</f>
        <v>4503</v>
      </c>
      <c r="R644" s="186">
        <f>IFERROR(VLOOKUP(C644,TD!$B$33:$F$37,4,0)," ")</f>
        <v>20240255</v>
      </c>
      <c r="S644" s="51" t="s">
        <v>175</v>
      </c>
      <c r="T644" s="186" t="str">
        <f>IFERROR(VLOOKUP(S644,TD!$J$34:$K$44,2,0)," ")</f>
        <v>Servicio de atención a incidentes y emergencias.</v>
      </c>
      <c r="U644" s="187" t="str">
        <f>CONCATENATE(S644,"-",T644)</f>
        <v>04-Servicio de atención a incidentes y emergencias.</v>
      </c>
      <c r="V644" s="51" t="s">
        <v>232</v>
      </c>
      <c r="W644" s="186" t="str">
        <f>IFERROR(VLOOKUP(V644,TD!$N$34:$O$46,2,0)," ")</f>
        <v>Servicio de atención a emergencias y desastres</v>
      </c>
      <c r="X644" s="187" t="str">
        <f>CONCATENATE(V644,"_",W644)</f>
        <v>004_Servicio de atención a emergencias y desastres</v>
      </c>
      <c r="Y644" s="187" t="str">
        <f>CONCATENATE(U644," ",X644)</f>
        <v>04-Servicio de atención a incidentes y emergencias. 004_Servicio de atención a emergencias y desastres</v>
      </c>
      <c r="Z644" s="186" t="str">
        <f>CONCATENATE(P644,Q644,R644,S644,V644)</f>
        <v>O23011745032024025504004</v>
      </c>
      <c r="AA644" s="186" t="str">
        <f>IFERROR(VLOOKUP(Y644,TD!$K$47:$L$65,2,0)," ")</f>
        <v>PM/0131/0104/45030040255</v>
      </c>
      <c r="AB644" s="53" t="s">
        <v>138</v>
      </c>
      <c r="AC644" s="188" t="s">
        <v>204</v>
      </c>
    </row>
    <row r="645" spans="2:29" s="28" customFormat="1" ht="56" x14ac:dyDescent="0.35">
      <c r="B645" s="77">
        <v>20250674</v>
      </c>
      <c r="C645" s="50" t="s">
        <v>209</v>
      </c>
      <c r="D645" s="184" t="s">
        <v>169</v>
      </c>
      <c r="E645" s="51" t="s">
        <v>465</v>
      </c>
      <c r="F645" s="184" t="s">
        <v>886</v>
      </c>
      <c r="G645" s="184" t="s">
        <v>156</v>
      </c>
      <c r="H645" s="93">
        <v>80111600</v>
      </c>
      <c r="I645" s="185">
        <v>4</v>
      </c>
      <c r="J645" s="185">
        <v>6</v>
      </c>
      <c r="K645" s="52">
        <v>0</v>
      </c>
      <c r="L645" s="53">
        <v>21515700</v>
      </c>
      <c r="M645" s="184" t="s">
        <v>464</v>
      </c>
      <c r="N645" s="53" t="s">
        <v>113</v>
      </c>
      <c r="O645" s="51" t="s">
        <v>222</v>
      </c>
      <c r="P645" s="186" t="str">
        <f>IFERROR(VLOOKUP(C645,TD!$B$33:$F$37,2,0)," ")</f>
        <v>O230117</v>
      </c>
      <c r="Q645" s="186" t="str">
        <f>IFERROR(VLOOKUP(C645,TD!$B$33:$F$37,3,0)," ")</f>
        <v>4503</v>
      </c>
      <c r="R645" s="186">
        <f>IFERROR(VLOOKUP(C645,TD!$B$33:$F$37,4,0)," ")</f>
        <v>20240255</v>
      </c>
      <c r="S645" s="51" t="s">
        <v>175</v>
      </c>
      <c r="T645" s="186" t="str">
        <f>IFERROR(VLOOKUP(S645,TD!$J$34:$K$44,2,0)," ")</f>
        <v>Servicio de atención a incidentes y emergencias.</v>
      </c>
      <c r="U645" s="187" t="str">
        <f>CONCATENATE(S645,"-",T645)</f>
        <v>04-Servicio de atención a incidentes y emergencias.</v>
      </c>
      <c r="V645" s="51" t="s">
        <v>232</v>
      </c>
      <c r="W645" s="186" t="str">
        <f>IFERROR(VLOOKUP(V645,TD!$N$34:$O$46,2,0)," ")</f>
        <v>Servicio de atención a emergencias y desastres</v>
      </c>
      <c r="X645" s="187" t="str">
        <f>CONCATENATE(V645,"_",W645)</f>
        <v>004_Servicio de atención a emergencias y desastres</v>
      </c>
      <c r="Y645" s="187" t="str">
        <f>CONCATENATE(U645," ",X645)</f>
        <v>04-Servicio de atención a incidentes y emergencias. 004_Servicio de atención a emergencias y desastres</v>
      </c>
      <c r="Z645" s="186" t="str">
        <f>CONCATENATE(P645,Q645,R645,S645,V645)</f>
        <v>O23011745032024025504004</v>
      </c>
      <c r="AA645" s="186" t="str">
        <f>IFERROR(VLOOKUP(Y645,TD!$K$47:$L$65,2,0)," ")</f>
        <v>PM/0131/0104/45030040255</v>
      </c>
      <c r="AB645" s="53" t="s">
        <v>138</v>
      </c>
      <c r="AC645" s="188" t="s">
        <v>204</v>
      </c>
    </row>
    <row r="646" spans="2:29" s="28" customFormat="1" ht="126" x14ac:dyDescent="0.35">
      <c r="B646" s="77">
        <v>20250677</v>
      </c>
      <c r="C646" s="50" t="s">
        <v>346</v>
      </c>
      <c r="D646" s="184" t="s">
        <v>169</v>
      </c>
      <c r="E646" s="51" t="s">
        <v>465</v>
      </c>
      <c r="F646" s="184" t="s">
        <v>887</v>
      </c>
      <c r="G646" s="184" t="s">
        <v>109</v>
      </c>
      <c r="H646" s="93" t="s">
        <v>939</v>
      </c>
      <c r="I646" s="185">
        <v>6</v>
      </c>
      <c r="J646" s="185">
        <v>6</v>
      </c>
      <c r="K646" s="52">
        <v>0</v>
      </c>
      <c r="L646" s="53">
        <v>6000000000</v>
      </c>
      <c r="M646" s="184" t="s">
        <v>172</v>
      </c>
      <c r="N646" s="53" t="s">
        <v>95</v>
      </c>
      <c r="O646" s="51" t="s">
        <v>347</v>
      </c>
      <c r="P646" s="186" t="str">
        <f>IFERROR(VLOOKUP(C646,TD!$B$33:$F$37,2,0)," ")</f>
        <v>NA</v>
      </c>
      <c r="Q646" s="186" t="str">
        <f>IFERROR(VLOOKUP(C646,TD!$B$33:$F$37,3,0)," ")</f>
        <v>NA</v>
      </c>
      <c r="R646" s="186" t="str">
        <f>IFERROR(VLOOKUP(C646,TD!$B$33:$F$37,4,0)," ")</f>
        <v>NA</v>
      </c>
      <c r="S646" s="51" t="s">
        <v>406</v>
      </c>
      <c r="T646" s="186" t="str">
        <f>IFERROR(VLOOKUP(S646,TD!$J$34:$K$44,2,0)," ")</f>
        <v>N/A</v>
      </c>
      <c r="U646" s="187" t="str">
        <f>CONCATENATE(S646,"-",T646)</f>
        <v>N/A-N/A</v>
      </c>
      <c r="V646" s="51" t="s">
        <v>406</v>
      </c>
      <c r="W646" s="186" t="str">
        <f>IFERROR(VLOOKUP(V646,TD!$N$34:$O$46,2,0)," ")</f>
        <v>N/A</v>
      </c>
      <c r="X646" s="187" t="str">
        <f>CONCATENATE(V646,"_",W646)</f>
        <v>N/A_N/A</v>
      </c>
      <c r="Y646" s="187" t="str">
        <f>CONCATENATE(U646," ",X646)</f>
        <v>N/A-N/A N/A_N/A</v>
      </c>
      <c r="Z646" s="186" t="str">
        <f>CONCATENATE(P646,Q646,R646,S646,V646)</f>
        <v>NANANAN/AN/A</v>
      </c>
      <c r="AA646" s="186" t="str">
        <f>IFERROR(VLOOKUP(Y646,TD!$K$47:$L$65,2,0)," ")</f>
        <v>N/A</v>
      </c>
      <c r="AB646" s="53" t="s">
        <v>606</v>
      </c>
      <c r="AC646" s="188" t="s">
        <v>204</v>
      </c>
    </row>
    <row r="647" spans="2:29" s="28" customFormat="1" ht="112" x14ac:dyDescent="0.35">
      <c r="B647" s="77">
        <v>20250678</v>
      </c>
      <c r="C647" s="50" t="s">
        <v>208</v>
      </c>
      <c r="D647" s="184" t="s">
        <v>162</v>
      </c>
      <c r="E647" s="51" t="s">
        <v>355</v>
      </c>
      <c r="F647" s="184" t="s">
        <v>888</v>
      </c>
      <c r="G647" s="184" t="s">
        <v>137</v>
      </c>
      <c r="H647" s="93">
        <v>80111600</v>
      </c>
      <c r="I647" s="185">
        <v>4</v>
      </c>
      <c r="J647" s="185">
        <v>1</v>
      </c>
      <c r="K647" s="52">
        <v>0</v>
      </c>
      <c r="L647" s="53">
        <v>200000</v>
      </c>
      <c r="M647" s="184" t="s">
        <v>173</v>
      </c>
      <c r="N647" s="53" t="s">
        <v>128</v>
      </c>
      <c r="O647" s="51" t="s">
        <v>215</v>
      </c>
      <c r="P647" s="186" t="str">
        <f>IFERROR(VLOOKUP(C647,TD!$B$33:$F$37,2,0)," ")</f>
        <v>O230117</v>
      </c>
      <c r="Q647" s="186" t="str">
        <f>IFERROR(VLOOKUP(C647,TD!$B$33:$F$37,3,0)," ")</f>
        <v>4599</v>
      </c>
      <c r="R647" s="186">
        <f>IFERROR(VLOOKUP(C647,TD!$B$33:$F$37,4,0)," ")</f>
        <v>20240207</v>
      </c>
      <c r="S647" s="51" t="s">
        <v>179</v>
      </c>
      <c r="T647" s="186" t="str">
        <f>IFERROR(VLOOKUP(S647,TD!$J$34:$K$44,2,0)," ")</f>
        <v>Infraestructura Tecnológica   (Sistemas de Información y Tecnologia)</v>
      </c>
      <c r="U647" s="187" t="str">
        <f>CONCATENATE(S647,"-",T647)</f>
        <v>11-Infraestructura Tecnológica   (Sistemas de Información y Tecnologia)</v>
      </c>
      <c r="V647" s="51" t="s">
        <v>239</v>
      </c>
      <c r="W647" s="186" t="str">
        <f>IFERROR(VLOOKUP(V647,TD!$N$34:$O$46,2,0)," ")</f>
        <v>Servicios tecnológicos</v>
      </c>
      <c r="X647" s="187" t="str">
        <f>CONCATENATE(V647,"_",W647)</f>
        <v>007_Servicios tecnológicos</v>
      </c>
      <c r="Y647" s="187" t="str">
        <f>CONCATENATE(U647," ",X647)</f>
        <v>11-Infraestructura Tecnológica   (Sistemas de Información y Tecnologia) 007_Servicios tecnológicos</v>
      </c>
      <c r="Z647" s="186" t="str">
        <f>CONCATENATE(P647,Q647,R647,S647,V647)</f>
        <v>O23011745992024020711007</v>
      </c>
      <c r="AA647" s="186" t="str">
        <f>IFERROR(VLOOKUP(Y647,TD!$K$47:$L$65,2,0)," ")</f>
        <v>PM/0131/0111/45990070207</v>
      </c>
      <c r="AB647" s="53" t="s">
        <v>138</v>
      </c>
      <c r="AC647" s="188" t="s">
        <v>205</v>
      </c>
    </row>
    <row r="648" spans="2:29" s="28" customFormat="1" ht="112" x14ac:dyDescent="0.35">
      <c r="B648" s="77">
        <v>20250680</v>
      </c>
      <c r="C648" s="50" t="s">
        <v>208</v>
      </c>
      <c r="D648" s="184" t="s">
        <v>162</v>
      </c>
      <c r="E648" s="51" t="s">
        <v>355</v>
      </c>
      <c r="F648" s="184" t="s">
        <v>889</v>
      </c>
      <c r="G648" s="184" t="s">
        <v>154</v>
      </c>
      <c r="H648" s="93" t="s">
        <v>548</v>
      </c>
      <c r="I648" s="185">
        <v>4</v>
      </c>
      <c r="J648" s="185">
        <v>9</v>
      </c>
      <c r="K648" s="52">
        <v>0</v>
      </c>
      <c r="L648" s="53">
        <v>18504500</v>
      </c>
      <c r="M648" s="184" t="s">
        <v>464</v>
      </c>
      <c r="N648" s="53" t="s">
        <v>113</v>
      </c>
      <c r="O648" s="51" t="s">
        <v>214</v>
      </c>
      <c r="P648" s="186" t="str">
        <f>IFERROR(VLOOKUP(C648,TD!$B$33:$F$37,2,0)," ")</f>
        <v>O230117</v>
      </c>
      <c r="Q648" s="186" t="str">
        <f>IFERROR(VLOOKUP(C648,TD!$B$33:$F$37,3,0)," ")</f>
        <v>4599</v>
      </c>
      <c r="R648" s="186">
        <f>IFERROR(VLOOKUP(C648,TD!$B$33:$F$37,4,0)," ")</f>
        <v>20240207</v>
      </c>
      <c r="S648" s="51" t="s">
        <v>179</v>
      </c>
      <c r="T648" s="186" t="str">
        <f>IFERROR(VLOOKUP(S648,TD!$J$34:$K$44,2,0)," ")</f>
        <v>Infraestructura Tecnológica   (Sistemas de Información y Tecnologia)</v>
      </c>
      <c r="U648" s="187" t="str">
        <f>CONCATENATE(S648,"-",T648)</f>
        <v>11-Infraestructura Tecnológica   (Sistemas de Información y Tecnologia)</v>
      </c>
      <c r="V648" s="51" t="s">
        <v>239</v>
      </c>
      <c r="W648" s="186" t="str">
        <f>IFERROR(VLOOKUP(V648,TD!$N$34:$O$46,2,0)," ")</f>
        <v>Servicios tecnológicos</v>
      </c>
      <c r="X648" s="187" t="str">
        <f>CONCATENATE(V648,"_",W648)</f>
        <v>007_Servicios tecnológicos</v>
      </c>
      <c r="Y648" s="187" t="str">
        <f>CONCATENATE(U648," ",X648)</f>
        <v>11-Infraestructura Tecnológica   (Sistemas de Información y Tecnologia) 007_Servicios tecnológicos</v>
      </c>
      <c r="Z648" s="186" t="str">
        <f>CONCATENATE(P648,Q648,R648,S648,V648)</f>
        <v>O23011745992024020711007</v>
      </c>
      <c r="AA648" s="186" t="str">
        <f>IFERROR(VLOOKUP(Y648,TD!$K$47:$L$65,2,0)," ")</f>
        <v>PM/0131/0111/45990070207</v>
      </c>
      <c r="AB648" s="53" t="s">
        <v>125</v>
      </c>
      <c r="AC648" s="188" t="s">
        <v>204</v>
      </c>
    </row>
    <row r="649" spans="2:29" s="28" customFormat="1" ht="98" x14ac:dyDescent="0.35">
      <c r="B649" s="127">
        <v>20250682</v>
      </c>
      <c r="C649" s="129" t="s">
        <v>209</v>
      </c>
      <c r="D649" s="189" t="s">
        <v>165</v>
      </c>
      <c r="E649" s="190" t="s">
        <v>484</v>
      </c>
      <c r="F649" s="189" t="s">
        <v>960</v>
      </c>
      <c r="G649" s="189" t="s">
        <v>155</v>
      </c>
      <c r="H649" s="130">
        <v>80111600</v>
      </c>
      <c r="I649" s="191">
        <v>4</v>
      </c>
      <c r="J649" s="191">
        <v>8</v>
      </c>
      <c r="K649" s="126">
        <v>0</v>
      </c>
      <c r="L649" s="125">
        <f>65000000-17000000</f>
        <v>48000000</v>
      </c>
      <c r="M649" s="189" t="s">
        <v>464</v>
      </c>
      <c r="N649" s="125" t="s">
        <v>113</v>
      </c>
      <c r="O649" s="190" t="s">
        <v>229</v>
      </c>
      <c r="P649" s="192" t="str">
        <f>IFERROR(VLOOKUP(C649,TD!$B$33:$F$37,2,0)," ")</f>
        <v>O230117</v>
      </c>
      <c r="Q649" s="192" t="str">
        <f>IFERROR(VLOOKUP(C649,TD!$B$33:$F$37,3,0)," ")</f>
        <v>4503</v>
      </c>
      <c r="R649" s="192">
        <f>IFERROR(VLOOKUP(C649,TD!$B$33:$F$37,4,0)," ")</f>
        <v>20240255</v>
      </c>
      <c r="S649" s="190" t="s">
        <v>183</v>
      </c>
      <c r="T649" s="192" t="str">
        <f>IFERROR(VLOOKUP(S649,TD!$J$34:$K$44,2,0)," ")</f>
        <v>Servicio de formación en gestión del riesgo de incendios para el personal UAECOB</v>
      </c>
      <c r="U649" s="187" t="str">
        <f>CONCATENATE(S649,"-",T649)</f>
        <v>07-Servicio de formación en gestión del riesgo de incendios para el personal UAECOB</v>
      </c>
      <c r="V649" s="190" t="s">
        <v>233</v>
      </c>
      <c r="W649" s="192" t="str">
        <f>IFERROR(VLOOKUP(V649,TD!$N$34:$O$46,2,0)," ")</f>
        <v>Servicio de educación informal</v>
      </c>
      <c r="X649" s="187" t="str">
        <f>CONCATENATE(V649,"_",W649)</f>
        <v>002_Servicio de educación informal</v>
      </c>
      <c r="Y649" s="187" t="str">
        <f>CONCATENATE(U649," ",X649)</f>
        <v>07-Servicio de formación en gestión del riesgo de incendios para el personal UAECOB 002_Servicio de educación informal</v>
      </c>
      <c r="Z649" s="192" t="str">
        <f>CONCATENATE(P649,Q649,R649,S649,V649)</f>
        <v>O23011745032024025507002</v>
      </c>
      <c r="AA649" s="192" t="str">
        <f>IFERROR(VLOOKUP(Y649,TD!$K$47:$L$65,2,0)," ")</f>
        <v>PM/0131/0107/45030020255</v>
      </c>
      <c r="AB649" s="125" t="s">
        <v>138</v>
      </c>
      <c r="AC649" s="193" t="s">
        <v>204</v>
      </c>
    </row>
    <row r="650" spans="2:29" s="28" customFormat="1" ht="140" x14ac:dyDescent="0.35">
      <c r="B650" s="77">
        <v>20250683</v>
      </c>
      <c r="C650" s="50" t="s">
        <v>209</v>
      </c>
      <c r="D650" s="184" t="s">
        <v>165</v>
      </c>
      <c r="E650" s="51" t="s">
        <v>484</v>
      </c>
      <c r="F650" s="184" t="s">
        <v>890</v>
      </c>
      <c r="G650" s="184" t="s">
        <v>155</v>
      </c>
      <c r="H650" s="93">
        <v>80111600</v>
      </c>
      <c r="I650" s="185">
        <v>4</v>
      </c>
      <c r="J650" s="185">
        <v>8</v>
      </c>
      <c r="K650" s="52">
        <v>0</v>
      </c>
      <c r="L650" s="53">
        <f>74000000-400000</f>
        <v>73600000</v>
      </c>
      <c r="M650" s="184" t="s">
        <v>464</v>
      </c>
      <c r="N650" s="53" t="s">
        <v>113</v>
      </c>
      <c r="O650" s="51" t="s">
        <v>229</v>
      </c>
      <c r="P650" s="186" t="str">
        <f>IFERROR(VLOOKUP(C650,TD!$B$33:$F$37,2,0)," ")</f>
        <v>O230117</v>
      </c>
      <c r="Q650" s="186" t="str">
        <f>IFERROR(VLOOKUP(C650,TD!$B$33:$F$37,3,0)," ")</f>
        <v>4503</v>
      </c>
      <c r="R650" s="186">
        <f>IFERROR(VLOOKUP(C650,TD!$B$33:$F$37,4,0)," ")</f>
        <v>20240255</v>
      </c>
      <c r="S650" s="51" t="s">
        <v>183</v>
      </c>
      <c r="T650" s="186" t="str">
        <f>IFERROR(VLOOKUP(S650,TD!$J$34:$K$44,2,0)," ")</f>
        <v>Servicio de formación en gestión del riesgo de incendios para el personal UAECOB</v>
      </c>
      <c r="U650" s="187" t="str">
        <f>CONCATENATE(S650,"-",T650)</f>
        <v>07-Servicio de formación en gestión del riesgo de incendios para el personal UAECOB</v>
      </c>
      <c r="V650" s="51" t="s">
        <v>233</v>
      </c>
      <c r="W650" s="186" t="str">
        <f>IFERROR(VLOOKUP(V650,TD!$N$34:$O$46,2,0)," ")</f>
        <v>Servicio de educación informal</v>
      </c>
      <c r="X650" s="187" t="str">
        <f>CONCATENATE(V650,"_",W650)</f>
        <v>002_Servicio de educación informal</v>
      </c>
      <c r="Y650" s="187" t="str">
        <f>CONCATENATE(U650," ",X650)</f>
        <v>07-Servicio de formación en gestión del riesgo de incendios para el personal UAECOB 002_Servicio de educación informal</v>
      </c>
      <c r="Z650" s="186" t="str">
        <f>CONCATENATE(P650,Q650,R650,S650,V650)</f>
        <v>O23011745032024025507002</v>
      </c>
      <c r="AA650" s="186" t="str">
        <f>IFERROR(VLOOKUP(Y650,TD!$K$47:$L$65,2,0)," ")</f>
        <v>PM/0131/0107/45030020255</v>
      </c>
      <c r="AB650" s="53" t="s">
        <v>138</v>
      </c>
      <c r="AC650" s="188" t="s">
        <v>204</v>
      </c>
    </row>
    <row r="651" spans="2:29" s="28" customFormat="1" ht="112" x14ac:dyDescent="0.35">
      <c r="B651" s="77">
        <v>20250684</v>
      </c>
      <c r="C651" s="50" t="s">
        <v>209</v>
      </c>
      <c r="D651" s="184" t="s">
        <v>168</v>
      </c>
      <c r="E651" s="51" t="s">
        <v>603</v>
      </c>
      <c r="F651" s="184" t="s">
        <v>893</v>
      </c>
      <c r="G651" s="184" t="s">
        <v>119</v>
      </c>
      <c r="H651" s="93" t="s">
        <v>426</v>
      </c>
      <c r="I651" s="185">
        <v>3</v>
      </c>
      <c r="J651" s="185">
        <v>2</v>
      </c>
      <c r="K651" s="52">
        <v>0</v>
      </c>
      <c r="L651" s="53">
        <v>25000000</v>
      </c>
      <c r="M651" s="184" t="s">
        <v>464</v>
      </c>
      <c r="N651" s="53" t="s">
        <v>95</v>
      </c>
      <c r="O651" s="51" t="s">
        <v>224</v>
      </c>
      <c r="P651" s="186" t="str">
        <f>IFERROR(VLOOKUP(C651,TD!$B$33:$F$37,2,0)," ")</f>
        <v>O230117</v>
      </c>
      <c r="Q651" s="186" t="str">
        <f>IFERROR(VLOOKUP(C651,TD!$B$33:$F$37,3,0)," ")</f>
        <v>4503</v>
      </c>
      <c r="R651" s="186">
        <f>IFERROR(VLOOKUP(C651,TD!$B$33:$F$37,4,0)," ")</f>
        <v>20240255</v>
      </c>
      <c r="S651" s="51" t="s">
        <v>187</v>
      </c>
      <c r="T651" s="186" t="str">
        <f>IFERROR(VLOOKUP(S651,TD!$J$34:$K$44,2,0)," ")</f>
        <v>Servicio de mantenimiento, dotación (HEA´s y equipo menor) y adquisición de vehiculos   especializados para la atención de emergencias.</v>
      </c>
      <c r="U651" s="187" t="str">
        <f>CONCATENATE(S651,"-",T651)</f>
        <v>09-Servicio de mantenimiento, dotación (HEA´s y equipo menor) y adquisición de vehiculos   especializados para la atención de emergencias.</v>
      </c>
      <c r="V651" s="51" t="s">
        <v>232</v>
      </c>
      <c r="W651" s="186" t="str">
        <f>IFERROR(VLOOKUP(V651,TD!$N$34:$O$46,2,0)," ")</f>
        <v>Servicio de atención a emergencias y desastres</v>
      </c>
      <c r="X651" s="187" t="str">
        <f>CONCATENATE(V651,"_",W651)</f>
        <v>004_Servicio de atención a emergencias y desastres</v>
      </c>
      <c r="Y651" s="187" t="str">
        <f>CONCATENATE(U651," ",X651)</f>
        <v>09-Servicio de mantenimiento, dotación (HEA´s y equipo menor) y adquisición de vehiculos   especializados para la atención de emergencias. 004_Servicio de atención a emergencias y desastres</v>
      </c>
      <c r="Z651" s="186" t="str">
        <f>CONCATENATE(P651,Q651,R651,S651,V651)</f>
        <v>O23011745032024025509004</v>
      </c>
      <c r="AA651" s="186" t="str">
        <f>IFERROR(VLOOKUP(Y651,TD!$K$47:$L$65,2,0)," ")</f>
        <v>PM/0131/0109/45030040255</v>
      </c>
      <c r="AB651" s="53" t="s">
        <v>87</v>
      </c>
      <c r="AC651" s="188" t="s">
        <v>205</v>
      </c>
    </row>
    <row r="652" spans="2:29" s="28" customFormat="1" ht="154" x14ac:dyDescent="0.35">
      <c r="B652" s="77">
        <v>20250685</v>
      </c>
      <c r="C652" s="50" t="s">
        <v>346</v>
      </c>
      <c r="D652" s="184" t="s">
        <v>166</v>
      </c>
      <c r="E652" s="51" t="s">
        <v>558</v>
      </c>
      <c r="F652" s="184" t="s">
        <v>580</v>
      </c>
      <c r="G652" s="184" t="s">
        <v>96</v>
      </c>
      <c r="H652" s="93" t="s">
        <v>630</v>
      </c>
      <c r="I652" s="185">
        <v>8</v>
      </c>
      <c r="J652" s="185">
        <v>4</v>
      </c>
      <c r="K652" s="52">
        <v>15</v>
      </c>
      <c r="L652" s="53">
        <f>148197000+151803000</f>
        <v>300000000</v>
      </c>
      <c r="M652" s="184" t="s">
        <v>172</v>
      </c>
      <c r="N652" s="53" t="s">
        <v>85</v>
      </c>
      <c r="O652" s="51" t="s">
        <v>347</v>
      </c>
      <c r="P652" s="186" t="str">
        <f>IFERROR(VLOOKUP(C652,TD!$B$33:$F$37,2,0)," ")</f>
        <v>NA</v>
      </c>
      <c r="Q652" s="186" t="str">
        <f>IFERROR(VLOOKUP(C652,TD!$B$33:$F$37,3,0)," ")</f>
        <v>NA</v>
      </c>
      <c r="R652" s="186" t="str">
        <f>IFERROR(VLOOKUP(C652,TD!$B$33:$F$37,4,0)," ")</f>
        <v>NA</v>
      </c>
      <c r="S652" s="51" t="s">
        <v>406</v>
      </c>
      <c r="T652" s="186" t="str">
        <f>IFERROR(VLOOKUP(S652,TD!$J$34:$K$44,2,0)," ")</f>
        <v>N/A</v>
      </c>
      <c r="U652" s="187" t="str">
        <f>CONCATENATE(S652,"-",T652)</f>
        <v>N/A-N/A</v>
      </c>
      <c r="V652" s="51" t="s">
        <v>406</v>
      </c>
      <c r="W652" s="186" t="str">
        <f>IFERROR(VLOOKUP(V652,TD!$N$34:$O$46,2,0)," ")</f>
        <v>N/A</v>
      </c>
      <c r="X652" s="187" t="str">
        <f>CONCATENATE(V652,"_",W652)</f>
        <v>N/A_N/A</v>
      </c>
      <c r="Y652" s="187" t="str">
        <f>CONCATENATE(U652," ",X652)</f>
        <v>N/A-N/A N/A_N/A</v>
      </c>
      <c r="Z652" s="186" t="str">
        <f>CONCATENATE(P652,Q652,R652,S652,V652)</f>
        <v>NANANAN/AN/A</v>
      </c>
      <c r="AA652" s="186" t="str">
        <f>IFERROR(VLOOKUP(Y652,TD!$K$47:$L$65,2,0)," ")</f>
        <v>N/A</v>
      </c>
      <c r="AB652" s="53" t="s">
        <v>348</v>
      </c>
      <c r="AC652" s="188" t="s">
        <v>204</v>
      </c>
    </row>
    <row r="653" spans="2:29" s="28" customFormat="1" ht="112" x14ac:dyDescent="0.35">
      <c r="B653" s="127">
        <v>20250686</v>
      </c>
      <c r="C653" s="129" t="s">
        <v>208</v>
      </c>
      <c r="D653" s="189" t="s">
        <v>166</v>
      </c>
      <c r="E653" s="190" t="s">
        <v>558</v>
      </c>
      <c r="F653" s="189" t="s">
        <v>580</v>
      </c>
      <c r="G653" s="189" t="s">
        <v>96</v>
      </c>
      <c r="H653" s="130" t="s">
        <v>630</v>
      </c>
      <c r="I653" s="191">
        <v>8</v>
      </c>
      <c r="J653" s="191">
        <v>4</v>
      </c>
      <c r="K653" s="126">
        <v>15</v>
      </c>
      <c r="L653" s="125">
        <v>445347705</v>
      </c>
      <c r="M653" s="189" t="s">
        <v>464</v>
      </c>
      <c r="N653" s="125" t="s">
        <v>85</v>
      </c>
      <c r="O653" s="190" t="s">
        <v>218</v>
      </c>
      <c r="P653" s="192" t="str">
        <f>IFERROR(VLOOKUP(C653,TD!$B$33:$F$37,2,0)," ")</f>
        <v>O230117</v>
      </c>
      <c r="Q653" s="192" t="str">
        <f>IFERROR(VLOOKUP(C653,TD!$B$33:$F$37,3,0)," ")</f>
        <v>4599</v>
      </c>
      <c r="R653" s="192">
        <f>IFERROR(VLOOKUP(C653,TD!$B$33:$F$37,4,0)," ")</f>
        <v>20240207</v>
      </c>
      <c r="S653" s="190" t="s">
        <v>185</v>
      </c>
      <c r="T653" s="192" t="str">
        <f>IFERROR(VLOOKUP(S653,TD!$J$34:$K$44,2,0)," ")</f>
        <v>Infraestructura física, mantenimiento y dotación (Sedes construidas, mantenidas reforzadas)</v>
      </c>
      <c r="U653" s="187" t="str">
        <f>CONCATENATE(S653,"-",T653)</f>
        <v>08-Infraestructura física, mantenimiento y dotación (Sedes construidas, mantenidas reforzadas)</v>
      </c>
      <c r="V653" s="190" t="s">
        <v>238</v>
      </c>
      <c r="W653" s="192" t="str">
        <f>IFERROR(VLOOKUP(V653,TD!$N$34:$O$46,2,0)," ")</f>
        <v>Sedes mantenidas</v>
      </c>
      <c r="X653" s="187" t="str">
        <f>CONCATENATE(V653,"_",W653)</f>
        <v>016_Sedes mantenidas</v>
      </c>
      <c r="Y653" s="187" t="str">
        <f>CONCATENATE(U653," ",X653)</f>
        <v>08-Infraestructura física, mantenimiento y dotación (Sedes construidas, mantenidas reforzadas) 016_Sedes mantenidas</v>
      </c>
      <c r="Z653" s="192" t="str">
        <f>CONCATENATE(P653,Q653,R653,S653,V653)</f>
        <v>O23011745992024020708016</v>
      </c>
      <c r="AA653" s="192" t="str">
        <f>IFERROR(VLOOKUP(Y653,TD!$K$47:$L$65,2,0)," ")</f>
        <v>PM/0131/0108/45990160207</v>
      </c>
      <c r="AB653" s="125" t="s">
        <v>141</v>
      </c>
      <c r="AC653" s="193" t="s">
        <v>204</v>
      </c>
    </row>
    <row r="654" spans="2:29" s="28" customFormat="1" ht="56" x14ac:dyDescent="0.35">
      <c r="B654" s="77">
        <v>20250687</v>
      </c>
      <c r="C654" s="50" t="s">
        <v>209</v>
      </c>
      <c r="D654" s="184" t="s">
        <v>167</v>
      </c>
      <c r="E654" s="51" t="s">
        <v>505</v>
      </c>
      <c r="F654" s="184" t="s">
        <v>895</v>
      </c>
      <c r="G654" s="184" t="s">
        <v>96</v>
      </c>
      <c r="H654" s="93" t="s">
        <v>896</v>
      </c>
      <c r="I654" s="185">
        <v>4</v>
      </c>
      <c r="J654" s="185">
        <v>4</v>
      </c>
      <c r="K654" s="52">
        <v>0</v>
      </c>
      <c r="L654" s="53">
        <v>19086500</v>
      </c>
      <c r="M654" s="184" t="s">
        <v>464</v>
      </c>
      <c r="N654" s="53" t="s">
        <v>100</v>
      </c>
      <c r="O654" s="51" t="s">
        <v>225</v>
      </c>
      <c r="P654" s="186" t="str">
        <f>IFERROR(VLOOKUP(C654,TD!$B$33:$F$37,2,0)," ")</f>
        <v>O230117</v>
      </c>
      <c r="Q654" s="186" t="str">
        <f>IFERROR(VLOOKUP(C654,TD!$B$33:$F$37,3,0)," ")</f>
        <v>4503</v>
      </c>
      <c r="R654" s="186">
        <f>IFERROR(VLOOKUP(C654,TD!$B$33:$F$37,4,0)," ")</f>
        <v>20240255</v>
      </c>
      <c r="S654" s="51" t="s">
        <v>179</v>
      </c>
      <c r="T654" s="186" t="str">
        <f>IFERROR(VLOOKUP(S654,TD!$J$34:$K$44,2,0)," ")</f>
        <v>Infraestructura Tecnológica   (Sistemas de Información y Tecnologia)</v>
      </c>
      <c r="U654" s="187" t="str">
        <f>CONCATENATE(S654,"-",T654)</f>
        <v>11-Infraestructura Tecnológica   (Sistemas de Información y Tecnologia)</v>
      </c>
      <c r="V654" s="51" t="s">
        <v>235</v>
      </c>
      <c r="W654" s="186" t="str">
        <f>IFERROR(VLOOKUP(V654,TD!$N$34:$O$46,2,0)," ")</f>
        <v>"Servicio de monitoreo y seguimiento para la gestión del riesgo"</v>
      </c>
      <c r="X654" s="187" t="str">
        <f>CONCATENATE(V654,"_",W654)</f>
        <v>018_"Servicio de monitoreo y seguimiento para la gestión del riesgo"</v>
      </c>
      <c r="Y654" s="187" t="str">
        <f>CONCATENATE(U654," ",X654)</f>
        <v>11-Infraestructura Tecnológica   (Sistemas de Información y Tecnologia) 018_"Servicio de monitoreo y seguimiento para la gestión del riesgo"</v>
      </c>
      <c r="Z654" s="186" t="str">
        <f>CONCATENATE(P654,Q654,R654,S654,V654)</f>
        <v>O23011745032024025511018</v>
      </c>
      <c r="AA654" s="186" t="str">
        <f>IFERROR(VLOOKUP(Y654,TD!$K$47:$L$65,2,0)," ")</f>
        <v>PM/0131/0111/45030180255</v>
      </c>
      <c r="AB654" s="53" t="s">
        <v>138</v>
      </c>
      <c r="AC654" s="188" t="s">
        <v>205</v>
      </c>
    </row>
    <row r="655" spans="2:29" s="28" customFormat="1" ht="112" x14ac:dyDescent="0.35">
      <c r="B655" s="77">
        <v>20250689</v>
      </c>
      <c r="C655" s="50" t="s">
        <v>209</v>
      </c>
      <c r="D655" s="184" t="s">
        <v>167</v>
      </c>
      <c r="E655" s="51" t="s">
        <v>505</v>
      </c>
      <c r="F655" s="184" t="s">
        <v>373</v>
      </c>
      <c r="G655" s="184" t="s">
        <v>155</v>
      </c>
      <c r="H655" s="93">
        <v>80111600</v>
      </c>
      <c r="I655" s="185">
        <v>9</v>
      </c>
      <c r="J655" s="185">
        <v>4</v>
      </c>
      <c r="K655" s="52">
        <v>0</v>
      </c>
      <c r="L655" s="53">
        <v>18000000</v>
      </c>
      <c r="M655" s="184" t="s">
        <v>464</v>
      </c>
      <c r="N655" s="53" t="s">
        <v>113</v>
      </c>
      <c r="O655" s="51" t="s">
        <v>221</v>
      </c>
      <c r="P655" s="186" t="str">
        <f>IFERROR(VLOOKUP(C655,TD!$B$33:$F$37,2,0)," ")</f>
        <v>O230117</v>
      </c>
      <c r="Q655" s="186" t="str">
        <f>IFERROR(VLOOKUP(C655,TD!$B$33:$F$37,3,0)," ")</f>
        <v>4503</v>
      </c>
      <c r="R655" s="186">
        <f>IFERROR(VLOOKUP(C655,TD!$B$33:$F$37,4,0)," ")</f>
        <v>20240255</v>
      </c>
      <c r="S655" s="51" t="s">
        <v>181</v>
      </c>
      <c r="T655" s="186" t="str">
        <f>IFERROR(VLOOKUP(S655,TD!$J$34:$K$44,2,0)," ")</f>
        <v>Servicio de inspecciones técnicas realizadas</v>
      </c>
      <c r="U655" s="187" t="str">
        <f>CONCATENATE(S655,"-",T655)</f>
        <v>06-Servicio de inspecciones técnicas realizadas</v>
      </c>
      <c r="V655" s="51" t="s">
        <v>234</v>
      </c>
      <c r="W655" s="186" t="str">
        <f>IFERROR(VLOOKUP(V655,TD!$N$34:$O$46,2,0)," ")</f>
        <v>Servicio prevención y control de incendios</v>
      </c>
      <c r="X655" s="187" t="str">
        <f>CONCATENATE(V655,"_",W655)</f>
        <v>035_Servicio prevención y control de incendios</v>
      </c>
      <c r="Y655" s="187" t="str">
        <f>CONCATENATE(U655," ",X655)</f>
        <v>06-Servicio de inspecciones técnicas realizadas 035_Servicio prevención y control de incendios</v>
      </c>
      <c r="Z655" s="186" t="str">
        <f>CONCATENATE(P655,Q655,R655,S655,V655)</f>
        <v>O23011745032024025506035</v>
      </c>
      <c r="AA655" s="186" t="str">
        <f>IFERROR(VLOOKUP(Y655,TD!$K$47:$L$65,2,0)," ")</f>
        <v>PM/0131/0106/45030350255</v>
      </c>
      <c r="AB655" s="53" t="s">
        <v>138</v>
      </c>
      <c r="AC655" s="188" t="s">
        <v>204</v>
      </c>
    </row>
    <row r="656" spans="2:29" s="28" customFormat="1" ht="112" x14ac:dyDescent="0.35">
      <c r="B656" s="77">
        <v>20250690</v>
      </c>
      <c r="C656" s="50" t="s">
        <v>208</v>
      </c>
      <c r="D656" s="184" t="s">
        <v>162</v>
      </c>
      <c r="E656" s="51" t="s">
        <v>355</v>
      </c>
      <c r="F656" s="184" t="s">
        <v>898</v>
      </c>
      <c r="G656" s="184" t="s">
        <v>155</v>
      </c>
      <c r="H656" s="93">
        <v>80111600</v>
      </c>
      <c r="I656" s="185">
        <v>4</v>
      </c>
      <c r="J656" s="185">
        <v>9</v>
      </c>
      <c r="K656" s="52">
        <v>0</v>
      </c>
      <c r="L656" s="53">
        <v>67050000</v>
      </c>
      <c r="M656" s="184" t="s">
        <v>464</v>
      </c>
      <c r="N656" s="53" t="s">
        <v>113</v>
      </c>
      <c r="O656" s="51" t="s">
        <v>215</v>
      </c>
      <c r="P656" s="186" t="str">
        <f>IFERROR(VLOOKUP(C656,TD!$B$33:$F$37,2,0)," ")</f>
        <v>O230117</v>
      </c>
      <c r="Q656" s="186" t="str">
        <f>IFERROR(VLOOKUP(C656,TD!$B$33:$F$37,3,0)," ")</f>
        <v>4599</v>
      </c>
      <c r="R656" s="186">
        <f>IFERROR(VLOOKUP(C656,TD!$B$33:$F$37,4,0)," ")</f>
        <v>20240207</v>
      </c>
      <c r="S656" s="51" t="s">
        <v>179</v>
      </c>
      <c r="T656" s="186" t="str">
        <f>IFERROR(VLOOKUP(S656,TD!$J$34:$K$44,2,0)," ")</f>
        <v>Infraestructura Tecnológica   (Sistemas de Información y Tecnologia)</v>
      </c>
      <c r="U656" s="187" t="str">
        <f>CONCATENATE(S656,"-",T656)</f>
        <v>11-Infraestructura Tecnológica   (Sistemas de Información y Tecnologia)</v>
      </c>
      <c r="V656" s="51" t="s">
        <v>239</v>
      </c>
      <c r="W656" s="186" t="str">
        <f>IFERROR(VLOOKUP(V656,TD!$N$34:$O$46,2,0)," ")</f>
        <v>Servicios tecnológicos</v>
      </c>
      <c r="X656" s="187" t="str">
        <f>CONCATENATE(V656,"_",W656)</f>
        <v>007_Servicios tecnológicos</v>
      </c>
      <c r="Y656" s="187" t="str">
        <f>CONCATENATE(U656," ",X656)</f>
        <v>11-Infraestructura Tecnológica   (Sistemas de Información y Tecnologia) 007_Servicios tecnológicos</v>
      </c>
      <c r="Z656" s="186" t="str">
        <f>CONCATENATE(P656,Q656,R656,S656,V656)</f>
        <v>O23011745992024020711007</v>
      </c>
      <c r="AA656" s="186" t="str">
        <f>IFERROR(VLOOKUP(Y656,TD!$K$47:$L$65,2,0)," ")</f>
        <v>PM/0131/0111/45990070207</v>
      </c>
      <c r="AB656" s="53" t="s">
        <v>138</v>
      </c>
      <c r="AC656" s="188" t="s">
        <v>204</v>
      </c>
    </row>
    <row r="657" spans="2:29" s="28" customFormat="1" ht="112" x14ac:dyDescent="0.35">
      <c r="B657" s="77">
        <v>20250693</v>
      </c>
      <c r="C657" s="50" t="s">
        <v>346</v>
      </c>
      <c r="D657" s="184" t="s">
        <v>166</v>
      </c>
      <c r="E657" s="51" t="s">
        <v>558</v>
      </c>
      <c r="F657" s="50" t="s">
        <v>899</v>
      </c>
      <c r="G657" s="184" t="s">
        <v>133</v>
      </c>
      <c r="H657" s="93" t="s">
        <v>619</v>
      </c>
      <c r="I657" s="185">
        <v>4</v>
      </c>
      <c r="J657" s="185">
        <v>4</v>
      </c>
      <c r="K657" s="52">
        <v>0</v>
      </c>
      <c r="L657" s="53">
        <v>18003072</v>
      </c>
      <c r="M657" s="184" t="s">
        <v>172</v>
      </c>
      <c r="N657" s="53" t="s">
        <v>85</v>
      </c>
      <c r="O657" s="51" t="s">
        <v>347</v>
      </c>
      <c r="P657" s="186" t="str">
        <f>IFERROR(VLOOKUP(C657,TD!$B$33:$F$37,2,0)," ")</f>
        <v>NA</v>
      </c>
      <c r="Q657" s="186" t="str">
        <f>IFERROR(VLOOKUP(C657,TD!$B$33:$F$37,3,0)," ")</f>
        <v>NA</v>
      </c>
      <c r="R657" s="186" t="str">
        <f>IFERROR(VLOOKUP(C657,TD!$B$33:$F$37,4,0)," ")</f>
        <v>NA</v>
      </c>
      <c r="S657" s="51" t="s">
        <v>406</v>
      </c>
      <c r="T657" s="186" t="str">
        <f>IFERROR(VLOOKUP(S657,TD!$J$34:$K$44,2,0)," ")</f>
        <v>N/A</v>
      </c>
      <c r="U657" s="187" t="str">
        <f>CONCATENATE(S657,"-",T657)</f>
        <v>N/A-N/A</v>
      </c>
      <c r="V657" s="51" t="s">
        <v>406</v>
      </c>
      <c r="W657" s="186" t="str">
        <f>IFERROR(VLOOKUP(V657,TD!$N$34:$O$46,2,0)," ")</f>
        <v>N/A</v>
      </c>
      <c r="X657" s="187" t="str">
        <f>CONCATENATE(V657,"_",W657)</f>
        <v>N/A_N/A</v>
      </c>
      <c r="Y657" s="187" t="str">
        <f>CONCATENATE(U657," ",X657)</f>
        <v>N/A-N/A N/A_N/A</v>
      </c>
      <c r="Z657" s="186" t="str">
        <f>CONCATENATE(P657,Q657,R657,S657,V657)</f>
        <v>NANANAN/AN/A</v>
      </c>
      <c r="AA657" s="186" t="str">
        <f>IFERROR(VLOOKUP(Y657,TD!$K$47:$L$65,2,0)," ")</f>
        <v>N/A</v>
      </c>
      <c r="AB657" s="53" t="s">
        <v>348</v>
      </c>
      <c r="AC657" s="188" t="s">
        <v>205</v>
      </c>
    </row>
    <row r="658" spans="2:29" ht="42" x14ac:dyDescent="0.35">
      <c r="B658" s="132">
        <v>20250694</v>
      </c>
      <c r="C658" s="133" t="s">
        <v>209</v>
      </c>
      <c r="D658" s="202" t="s">
        <v>167</v>
      </c>
      <c r="E658" s="51" t="s">
        <v>505</v>
      </c>
      <c r="F658" s="202" t="s">
        <v>701</v>
      </c>
      <c r="G658" s="202" t="s">
        <v>156</v>
      </c>
      <c r="H658" s="134">
        <v>80111600</v>
      </c>
      <c r="I658" s="203">
        <v>6</v>
      </c>
      <c r="J658" s="203">
        <v>8</v>
      </c>
      <c r="K658" s="135">
        <v>0</v>
      </c>
      <c r="L658" s="131">
        <v>30400000</v>
      </c>
      <c r="M658" s="202" t="s">
        <v>464</v>
      </c>
      <c r="N658" s="131" t="s">
        <v>113</v>
      </c>
      <c r="O658" s="51" t="s">
        <v>221</v>
      </c>
      <c r="P658" s="204" t="str">
        <f>IFERROR(VLOOKUP(C658,TD!$B$33:$F$37,2,0)," ")</f>
        <v>O230117</v>
      </c>
      <c r="Q658" s="204" t="str">
        <f>IFERROR(VLOOKUP(C658,TD!$B$33:$F$37,3,0)," ")</f>
        <v>4503</v>
      </c>
      <c r="R658" s="204">
        <f>IFERROR(VLOOKUP(C658,TD!$B$33:$F$37,4,0)," ")</f>
        <v>20240255</v>
      </c>
      <c r="S658" s="205" t="s">
        <v>177</v>
      </c>
      <c r="T658" s="186" t="str">
        <f>IFERROR(VLOOKUP(S658,TD!$J$34:$K$44,2,0)," ")</f>
        <v>Servicio de capacitaciones en gestión del riesgo de incendios  a la ciudadania.</v>
      </c>
      <c r="U658" s="206" t="str">
        <f>CONCATENATE(S658,"-",T658)</f>
        <v>05-Servicio de capacitaciones en gestión del riesgo de incendios  a la ciudadania.</v>
      </c>
      <c r="V658" s="205" t="s">
        <v>233</v>
      </c>
      <c r="W658" s="186" t="str">
        <f>IFERROR(VLOOKUP(V658,TD!$N$34:$O$46,2,0)," ")</f>
        <v>Servicio de educación informal</v>
      </c>
      <c r="X658" s="206" t="str">
        <f>CONCATENATE(V658,"_",W658)</f>
        <v>002_Servicio de educación informal</v>
      </c>
      <c r="Y658" s="206" t="str">
        <f>CONCATENATE(U658," ",X658)</f>
        <v>05-Servicio de capacitaciones en gestión del riesgo de incendios  a la ciudadania. 002_Servicio de educación informal</v>
      </c>
      <c r="Z658" s="204" t="str">
        <f>CONCATENATE(P658,Q658,R658,S658,V658)</f>
        <v>O23011745032024025505002</v>
      </c>
      <c r="AA658" s="204" t="str">
        <f>IFERROR(VLOOKUP(Y658,TD!$K$47:$L$65,2,0)," ")</f>
        <v>PM/0131/0105/45030020255</v>
      </c>
      <c r="AB658" s="131" t="s">
        <v>138</v>
      </c>
      <c r="AC658" s="207" t="s">
        <v>204</v>
      </c>
    </row>
    <row r="659" spans="2:29" ht="70" x14ac:dyDescent="0.35">
      <c r="B659" s="127">
        <v>20250695</v>
      </c>
      <c r="C659" s="129" t="s">
        <v>209</v>
      </c>
      <c r="D659" s="189" t="s">
        <v>165</v>
      </c>
      <c r="E659" s="190" t="s">
        <v>484</v>
      </c>
      <c r="F659" s="189" t="s">
        <v>961</v>
      </c>
      <c r="G659" s="189" t="s">
        <v>155</v>
      </c>
      <c r="H659" s="130">
        <v>80111600</v>
      </c>
      <c r="I659" s="191">
        <v>5</v>
      </c>
      <c r="J659" s="191">
        <v>4</v>
      </c>
      <c r="K659" s="126">
        <v>0</v>
      </c>
      <c r="L659" s="125">
        <v>20644000</v>
      </c>
      <c r="M659" s="189" t="s">
        <v>464</v>
      </c>
      <c r="N659" s="125" t="s">
        <v>113</v>
      </c>
      <c r="O659" s="190" t="s">
        <v>229</v>
      </c>
      <c r="P659" s="192" t="str">
        <f>IFERROR(VLOOKUP(C659,TD!$B$33:$F$37,2,0)," ")</f>
        <v>O230117</v>
      </c>
      <c r="Q659" s="192" t="str">
        <f>IFERROR(VLOOKUP(C659,TD!$B$33:$F$37,3,0)," ")</f>
        <v>4503</v>
      </c>
      <c r="R659" s="192">
        <f>IFERROR(VLOOKUP(C659,TD!$B$33:$F$37,4,0)," ")</f>
        <v>20240255</v>
      </c>
      <c r="S659" s="190" t="s">
        <v>183</v>
      </c>
      <c r="T659" s="192" t="str">
        <f>IFERROR(VLOOKUP(S659,TD!$J$34:$K$44,2,0)," ")</f>
        <v>Servicio de formación en gestión del riesgo de incendios para el personal UAECOB</v>
      </c>
      <c r="U659" s="187" t="str">
        <f>CONCATENATE(S659,"-",T659)</f>
        <v>07-Servicio de formación en gestión del riesgo de incendios para el personal UAECOB</v>
      </c>
      <c r="V659" s="209" t="s">
        <v>233</v>
      </c>
      <c r="W659" s="192" t="str">
        <f>IFERROR(VLOOKUP(V659,TD!$N$34:$O$46,2,0)," ")</f>
        <v>Servicio de educación informal</v>
      </c>
      <c r="X659" s="187" t="str">
        <f>CONCATENATE(V659,"_",W659)</f>
        <v>002_Servicio de educación informal</v>
      </c>
      <c r="Y659" s="187" t="str">
        <f>CONCATENATE(U659," ",X659)</f>
        <v>07-Servicio de formación en gestión del riesgo de incendios para el personal UAECOB 002_Servicio de educación informal</v>
      </c>
      <c r="Z659" s="192" t="str">
        <f>CONCATENATE(P659,Q659,R659,S659,V659)</f>
        <v>O23011745032024025507002</v>
      </c>
      <c r="AA659" s="192" t="str">
        <f>IFERROR(VLOOKUP(Y659,TD!$K$47:$L$65,2,0)," ")</f>
        <v>PM/0131/0107/45030020255</v>
      </c>
      <c r="AB659" s="125" t="s">
        <v>138</v>
      </c>
      <c r="AC659" s="190" t="s">
        <v>204</v>
      </c>
    </row>
    <row r="660" spans="2:29" ht="70" x14ac:dyDescent="0.35">
      <c r="B660" s="137">
        <v>20250696</v>
      </c>
      <c r="C660" s="138" t="s">
        <v>209</v>
      </c>
      <c r="D660" s="189" t="s">
        <v>165</v>
      </c>
      <c r="E660" s="190" t="s">
        <v>484</v>
      </c>
      <c r="F660" s="208" t="s">
        <v>961</v>
      </c>
      <c r="G660" s="208" t="s">
        <v>155</v>
      </c>
      <c r="H660" s="139">
        <v>80111600</v>
      </c>
      <c r="I660" s="210">
        <v>5</v>
      </c>
      <c r="J660" s="210">
        <v>4</v>
      </c>
      <c r="K660" s="140">
        <v>0</v>
      </c>
      <c r="L660" s="141">
        <v>20644000</v>
      </c>
      <c r="M660" s="208" t="s">
        <v>464</v>
      </c>
      <c r="N660" s="141" t="s">
        <v>113</v>
      </c>
      <c r="O660" s="190" t="s">
        <v>229</v>
      </c>
      <c r="P660" s="211" t="str">
        <f>IFERROR(VLOOKUP(C660,TD!$B$33:$F$37,2,0)," ")</f>
        <v>O230117</v>
      </c>
      <c r="Q660" s="211" t="str">
        <f>IFERROR(VLOOKUP(C660,TD!$B$33:$F$37,3,0)," ")</f>
        <v>4503</v>
      </c>
      <c r="R660" s="211">
        <f>IFERROR(VLOOKUP(C660,TD!$B$33:$F$37,4,0)," ")</f>
        <v>20240255</v>
      </c>
      <c r="S660" s="209" t="s">
        <v>183</v>
      </c>
      <c r="T660" s="192" t="str">
        <f>IFERROR(VLOOKUP(S660,TD!$J$34:$K$44,2,0)," ")</f>
        <v>Servicio de formación en gestión del riesgo de incendios para el personal UAECOB</v>
      </c>
      <c r="U660" s="206" t="str">
        <f>CONCATENATE(S660,"-",T660)</f>
        <v>07-Servicio de formación en gestión del riesgo de incendios para el personal UAECOB</v>
      </c>
      <c r="V660" s="209" t="s">
        <v>233</v>
      </c>
      <c r="W660" s="192" t="str">
        <f>IFERROR(VLOOKUP(V660,TD!$N$34:$O$46,2,0)," ")</f>
        <v>Servicio de educación informal</v>
      </c>
      <c r="X660" s="206" t="str">
        <f>CONCATENATE(V660,"_",W660)</f>
        <v>002_Servicio de educación informal</v>
      </c>
      <c r="Y660" s="206" t="str">
        <f>CONCATENATE(U660," ",X660)</f>
        <v>07-Servicio de formación en gestión del riesgo de incendios para el personal UAECOB 002_Servicio de educación informal</v>
      </c>
      <c r="Z660" s="211" t="str">
        <f>CONCATENATE(P660,Q660,R660,S660,V660)</f>
        <v>O23011745032024025507002</v>
      </c>
      <c r="AA660" s="211" t="str">
        <f>IFERROR(VLOOKUP(Y660,TD!$K$47:$L$65,2,0)," ")</f>
        <v>PM/0131/0107/45030020255</v>
      </c>
      <c r="AB660" s="141" t="s">
        <v>138</v>
      </c>
      <c r="AC660" s="193" t="s">
        <v>204</v>
      </c>
    </row>
    <row r="661" spans="2:29" ht="56" x14ac:dyDescent="0.35">
      <c r="B661" s="137">
        <v>20250697</v>
      </c>
      <c r="C661" s="129" t="s">
        <v>209</v>
      </c>
      <c r="D661" s="189" t="s">
        <v>165</v>
      </c>
      <c r="E661" s="190" t="s">
        <v>484</v>
      </c>
      <c r="F661" s="189" t="s">
        <v>961</v>
      </c>
      <c r="G661" s="189" t="s">
        <v>155</v>
      </c>
      <c r="H661" s="130">
        <v>80111600</v>
      </c>
      <c r="I661" s="191">
        <v>5</v>
      </c>
      <c r="J661" s="191">
        <v>4</v>
      </c>
      <c r="K661" s="126">
        <v>0</v>
      </c>
      <c r="L661" s="125">
        <v>20644000</v>
      </c>
      <c r="M661" s="189" t="s">
        <v>464</v>
      </c>
      <c r="N661" s="125" t="s">
        <v>113</v>
      </c>
      <c r="O661" s="190" t="s">
        <v>229</v>
      </c>
      <c r="P661" s="192" t="str">
        <f>IFERROR(VLOOKUP(C661,TD!$B$33:$F$37,2,0)," ")</f>
        <v>O230117</v>
      </c>
      <c r="Q661" s="192" t="str">
        <f>IFERROR(VLOOKUP(C661,TD!$B$33:$F$37,3,0)," ")</f>
        <v>4503</v>
      </c>
      <c r="R661" s="192">
        <f>IFERROR(VLOOKUP(C661,TD!$B$33:$F$37,4,0)," ")</f>
        <v>20240255</v>
      </c>
      <c r="S661" s="190" t="s">
        <v>183</v>
      </c>
      <c r="T661" s="192" t="str">
        <f>IFERROR(VLOOKUP(S661,TD!$J$34:$K$44,2,0)," ")</f>
        <v>Servicio de formación en gestión del riesgo de incendios para el personal UAECOB</v>
      </c>
      <c r="U661" s="187" t="str">
        <f>CONCATENATE(S661,"-",T661)</f>
        <v>07-Servicio de formación en gestión del riesgo de incendios para el personal UAECOB</v>
      </c>
      <c r="V661" s="190" t="s">
        <v>233</v>
      </c>
      <c r="W661" s="192" t="str">
        <f>IFERROR(VLOOKUP(V661,TD!$N$34:$O$46,2,0)," ")</f>
        <v>Servicio de educación informal</v>
      </c>
      <c r="X661" s="187" t="str">
        <f>CONCATENATE(V661,"_",W661)</f>
        <v>002_Servicio de educación informal</v>
      </c>
      <c r="Y661" s="187" t="str">
        <f>CONCATENATE(U661," ",X661)</f>
        <v>07-Servicio de formación en gestión del riesgo de incendios para el personal UAECOB 002_Servicio de educación informal</v>
      </c>
      <c r="Z661" s="192" t="str">
        <f>CONCATENATE(P661,Q661,R661,S661,V661)</f>
        <v>O23011745032024025507002</v>
      </c>
      <c r="AA661" s="192" t="str">
        <f>IFERROR(VLOOKUP(Y661,TD!$K$47:$L$65,2,0)," ")</f>
        <v>PM/0131/0107/45030020255</v>
      </c>
      <c r="AB661" s="125" t="s">
        <v>138</v>
      </c>
      <c r="AC661" s="193" t="s">
        <v>204</v>
      </c>
    </row>
    <row r="662" spans="2:29" ht="84" x14ac:dyDescent="0.35">
      <c r="B662" s="127">
        <v>20250698</v>
      </c>
      <c r="C662" s="129" t="s">
        <v>209</v>
      </c>
      <c r="D662" s="189" t="s">
        <v>165</v>
      </c>
      <c r="E662" s="190" t="s">
        <v>484</v>
      </c>
      <c r="F662" s="208" t="s">
        <v>963</v>
      </c>
      <c r="G662" s="208" t="s">
        <v>155</v>
      </c>
      <c r="H662" s="139">
        <v>80111600</v>
      </c>
      <c r="I662" s="210">
        <v>5</v>
      </c>
      <c r="J662" s="210">
        <v>3</v>
      </c>
      <c r="K662" s="140">
        <v>0</v>
      </c>
      <c r="L662" s="141">
        <v>15483000</v>
      </c>
      <c r="M662" s="189" t="s">
        <v>464</v>
      </c>
      <c r="N662" s="141" t="s">
        <v>113</v>
      </c>
      <c r="O662" s="190" t="s">
        <v>229</v>
      </c>
      <c r="P662" s="211" t="str">
        <f>IFERROR(VLOOKUP(C662,TD!$B$33:$F$37,2,0)," ")</f>
        <v>O230117</v>
      </c>
      <c r="Q662" s="211" t="str">
        <f>IFERROR(VLOOKUP(C662,TD!$B$33:$F$37,3,0)," ")</f>
        <v>4503</v>
      </c>
      <c r="R662" s="211">
        <f>IFERROR(VLOOKUP(C662,TD!$B$33:$F$37,4,0)," ")</f>
        <v>20240255</v>
      </c>
      <c r="S662" s="190" t="s">
        <v>183</v>
      </c>
      <c r="T662" s="192" t="str">
        <f>IFERROR(VLOOKUP(S662,TD!$J$34:$K$44,2,0)," ")</f>
        <v>Servicio de formación en gestión del riesgo de incendios para el personal UAECOB</v>
      </c>
      <c r="U662" s="206" t="str">
        <f>CONCATENATE(S662,"-",T662)</f>
        <v>07-Servicio de formación en gestión del riesgo de incendios para el personal UAECOB</v>
      </c>
      <c r="V662" s="190" t="s">
        <v>233</v>
      </c>
      <c r="W662" s="192" t="str">
        <f>IFERROR(VLOOKUP(V662,TD!$N$34:$O$46,2,0)," ")</f>
        <v>Servicio de educación informal</v>
      </c>
      <c r="X662" s="206" t="str">
        <f>CONCATENATE(V662,"_",W662)</f>
        <v>002_Servicio de educación informal</v>
      </c>
      <c r="Y662" s="206" t="str">
        <f>CONCATENATE(U662," ",X662)</f>
        <v>07-Servicio de formación en gestión del riesgo de incendios para el personal UAECOB 002_Servicio de educación informal</v>
      </c>
      <c r="Z662" s="211" t="str">
        <f>CONCATENATE(P662,Q662,R662,S662,V662)</f>
        <v>O23011745032024025507002</v>
      </c>
      <c r="AA662" s="211" t="str">
        <f>IFERROR(VLOOKUP(Y662,TD!$K$47:$L$65,2,0)," ")</f>
        <v>PM/0131/0107/45030020255</v>
      </c>
      <c r="AB662" s="125" t="s">
        <v>138</v>
      </c>
      <c r="AC662" s="212" t="s">
        <v>204</v>
      </c>
    </row>
    <row r="663" spans="2:29" ht="98" x14ac:dyDescent="0.35">
      <c r="B663" s="137">
        <v>20250700</v>
      </c>
      <c r="C663" s="129" t="s">
        <v>209</v>
      </c>
      <c r="D663" s="189" t="s">
        <v>165</v>
      </c>
      <c r="E663" s="190" t="s">
        <v>484</v>
      </c>
      <c r="F663" s="208" t="s">
        <v>962</v>
      </c>
      <c r="G663" s="208" t="s">
        <v>155</v>
      </c>
      <c r="H663" s="139">
        <v>80111600</v>
      </c>
      <c r="I663" s="210">
        <v>5</v>
      </c>
      <c r="J663" s="210">
        <v>3</v>
      </c>
      <c r="K663" s="140">
        <v>0</v>
      </c>
      <c r="L663" s="141">
        <v>15483000</v>
      </c>
      <c r="M663" s="189" t="s">
        <v>464</v>
      </c>
      <c r="N663" s="141" t="s">
        <v>113</v>
      </c>
      <c r="O663" s="190" t="s">
        <v>229</v>
      </c>
      <c r="P663" s="211" t="str">
        <f>IFERROR(VLOOKUP(C663,TD!$B$33:$F$37,2,0)," ")</f>
        <v>O230117</v>
      </c>
      <c r="Q663" s="211" t="str">
        <f>IFERROR(VLOOKUP(C663,TD!$B$33:$F$37,3,0)," ")</f>
        <v>4503</v>
      </c>
      <c r="R663" s="211">
        <f>IFERROR(VLOOKUP(C663,TD!$B$33:$F$37,4,0)," ")</f>
        <v>20240255</v>
      </c>
      <c r="S663" s="190" t="s">
        <v>183</v>
      </c>
      <c r="T663" s="192" t="str">
        <f>IFERROR(VLOOKUP(S663,TD!$J$34:$K$44,2,0)," ")</f>
        <v>Servicio de formación en gestión del riesgo de incendios para el personal UAECOB</v>
      </c>
      <c r="U663" s="206" t="str">
        <f>CONCATENATE(S663,"-",T663)</f>
        <v>07-Servicio de formación en gestión del riesgo de incendios para el personal UAECOB</v>
      </c>
      <c r="V663" s="190" t="s">
        <v>233</v>
      </c>
      <c r="W663" s="192" t="str">
        <f>IFERROR(VLOOKUP(V663,TD!$N$34:$O$46,2,0)," ")</f>
        <v>Servicio de educación informal</v>
      </c>
      <c r="X663" s="206" t="str">
        <f>CONCATENATE(V663,"_",W663)</f>
        <v>002_Servicio de educación informal</v>
      </c>
      <c r="Y663" s="206" t="str">
        <f>CONCATENATE(U663," ",X663)</f>
        <v>07-Servicio de formación en gestión del riesgo de incendios para el personal UAECOB 002_Servicio de educación informal</v>
      </c>
      <c r="Z663" s="211" t="str">
        <f>CONCATENATE(P663,Q663,R663,S663,V663)</f>
        <v>O23011745032024025507002</v>
      </c>
      <c r="AA663" s="211" t="str">
        <f>IFERROR(VLOOKUP(Y663,TD!$K$47:$L$65,2,0)," ")</f>
        <v>PM/0131/0107/45030020255</v>
      </c>
      <c r="AB663" s="125" t="s">
        <v>138</v>
      </c>
      <c r="AC663" s="212" t="s">
        <v>204</v>
      </c>
    </row>
    <row r="664" spans="2:29" ht="42" x14ac:dyDescent="0.35">
      <c r="B664" s="132">
        <v>20250702</v>
      </c>
      <c r="C664" s="133" t="s">
        <v>209</v>
      </c>
      <c r="D664" s="184" t="s">
        <v>168</v>
      </c>
      <c r="E664" s="51" t="s">
        <v>603</v>
      </c>
      <c r="F664" s="202" t="s">
        <v>904</v>
      </c>
      <c r="G664" s="202" t="s">
        <v>146</v>
      </c>
      <c r="H664" s="134">
        <v>78181500</v>
      </c>
      <c r="I664" s="203">
        <v>8</v>
      </c>
      <c r="J664" s="203">
        <v>12</v>
      </c>
      <c r="K664" s="135">
        <v>0</v>
      </c>
      <c r="L664" s="131">
        <v>200000000</v>
      </c>
      <c r="M664" s="202" t="s">
        <v>464</v>
      </c>
      <c r="N664" s="131" t="s">
        <v>85</v>
      </c>
      <c r="O664" s="51" t="s">
        <v>224</v>
      </c>
      <c r="P664" s="204" t="str">
        <f>IFERROR(VLOOKUP(C664,TD!$B$33:$F$37,2,0)," ")</f>
        <v>O230117</v>
      </c>
      <c r="Q664" s="204" t="str">
        <f>IFERROR(VLOOKUP(C664,TD!$B$33:$F$37,3,0)," ")</f>
        <v>4503</v>
      </c>
      <c r="R664" s="204">
        <f>IFERROR(VLOOKUP(C664,TD!$B$33:$F$37,4,0)," ")</f>
        <v>20240255</v>
      </c>
      <c r="S664" s="205" t="s">
        <v>187</v>
      </c>
      <c r="T664" s="186" t="str">
        <f>IFERROR(VLOOKUP(S664,TD!$J$34:$K$44,2,0)," ")</f>
        <v>Servicio de mantenimiento, dotación (HEA´s y equipo menor) y adquisición de vehiculos   especializados para la atención de emergencias.</v>
      </c>
      <c r="U664" s="206" t="str">
        <f>CONCATENATE(S664,"-",T664)</f>
        <v>09-Servicio de mantenimiento, dotación (HEA´s y equipo menor) y adquisición de vehiculos   especializados para la atención de emergencias.</v>
      </c>
      <c r="V664" s="51" t="s">
        <v>232</v>
      </c>
      <c r="W664" s="186" t="str">
        <f>IFERROR(VLOOKUP(V664,TD!$N$34:$O$46,2,0)," ")</f>
        <v>Servicio de atención a emergencias y desastres</v>
      </c>
      <c r="X664" s="206" t="str">
        <f>CONCATENATE(V664,"_",W664)</f>
        <v>004_Servicio de atención a emergencias y desastres</v>
      </c>
      <c r="Y664" s="206" t="str">
        <f>CONCATENATE(U664," ",X664)</f>
        <v>09-Servicio de mantenimiento, dotación (HEA´s y equipo menor) y adquisición de vehiculos   especializados para la atención de emergencias. 004_Servicio de atención a emergencias y desastres</v>
      </c>
      <c r="Z664" s="204" t="str">
        <f>CONCATENATE(P664,Q664,R664,S664,V664)</f>
        <v>O23011745032024025509004</v>
      </c>
      <c r="AA664" s="204" t="str">
        <f>IFERROR(VLOOKUP(Y664,TD!$K$47:$L$65,2,0)," ")</f>
        <v>PM/0131/0109/45030040255</v>
      </c>
      <c r="AB664" s="131" t="s">
        <v>145</v>
      </c>
      <c r="AC664" s="207" t="s">
        <v>205</v>
      </c>
    </row>
    <row r="665" spans="2:29" ht="42" x14ac:dyDescent="0.35">
      <c r="B665" s="132">
        <v>20250703</v>
      </c>
      <c r="C665" s="133" t="s">
        <v>209</v>
      </c>
      <c r="D665" s="184" t="s">
        <v>168</v>
      </c>
      <c r="E665" s="51" t="s">
        <v>603</v>
      </c>
      <c r="F665" s="202" t="s">
        <v>905</v>
      </c>
      <c r="G665" s="202" t="s">
        <v>119</v>
      </c>
      <c r="H665" s="134" t="s">
        <v>424</v>
      </c>
      <c r="I665" s="203">
        <v>4</v>
      </c>
      <c r="J665" s="203">
        <v>12</v>
      </c>
      <c r="K665" s="135">
        <v>0</v>
      </c>
      <c r="L665" s="131">
        <v>15000000</v>
      </c>
      <c r="M665" s="202" t="s">
        <v>464</v>
      </c>
      <c r="N665" s="131" t="s">
        <v>95</v>
      </c>
      <c r="O665" s="51" t="s">
        <v>224</v>
      </c>
      <c r="P665" s="204" t="str">
        <f>IFERROR(VLOOKUP(C665,TD!$B$33:$F$37,2,0)," ")</f>
        <v>O230117</v>
      </c>
      <c r="Q665" s="204" t="str">
        <f>IFERROR(VLOOKUP(C665,TD!$B$33:$F$37,3,0)," ")</f>
        <v>4503</v>
      </c>
      <c r="R665" s="204">
        <f>IFERROR(VLOOKUP(C665,TD!$B$33:$F$37,4,0)," ")</f>
        <v>20240255</v>
      </c>
      <c r="S665" s="205" t="s">
        <v>191</v>
      </c>
      <c r="T665" s="186" t="str">
        <f>IFERROR(VLOOKUP(S665,TD!$J$34:$K$44,2,0)," ")</f>
        <v>Servicio de apoyo   logístico  en eventos operativos y/o emergencias.</v>
      </c>
      <c r="U665" s="206" t="str">
        <f>CONCATENATE(S665,"-",T665)</f>
        <v>12-Servicio de apoyo   logístico  en eventos operativos y/o emergencias.</v>
      </c>
      <c r="V665" s="51" t="s">
        <v>232</v>
      </c>
      <c r="W665" s="186" t="str">
        <f>IFERROR(VLOOKUP(V665,TD!$N$34:$O$46,2,0)," ")</f>
        <v>Servicio de atención a emergencias y desastres</v>
      </c>
      <c r="X665" s="206" t="str">
        <f>CONCATENATE(V665,"_",W665)</f>
        <v>004_Servicio de atención a emergencias y desastres</v>
      </c>
      <c r="Y665" s="206" t="str">
        <f>CONCATENATE(U665," ",X665)</f>
        <v>12-Servicio de apoyo   logístico  en eventos operativos y/o emergencias. 004_Servicio de atención a emergencias y desastres</v>
      </c>
      <c r="Z665" s="204" t="str">
        <f>CONCATENATE(P665,Q665,R665,S665,V665)</f>
        <v>O23011745032024025512004</v>
      </c>
      <c r="AA665" s="204" t="str">
        <f>IFERROR(VLOOKUP(Y665,TD!$K$47:$L$65,2,0)," ")</f>
        <v>PM/0131/0112/45030040255</v>
      </c>
      <c r="AB665" s="131" t="s">
        <v>134</v>
      </c>
      <c r="AC665" s="207" t="s">
        <v>205</v>
      </c>
    </row>
    <row r="666" spans="2:29" ht="70" x14ac:dyDescent="0.35">
      <c r="B666" s="132">
        <v>20250704</v>
      </c>
      <c r="C666" s="50" t="s">
        <v>209</v>
      </c>
      <c r="D666" s="184" t="s">
        <v>168</v>
      </c>
      <c r="E666" s="51" t="s">
        <v>603</v>
      </c>
      <c r="F666" s="184" t="s">
        <v>497</v>
      </c>
      <c r="G666" s="184" t="s">
        <v>119</v>
      </c>
      <c r="H666" s="93" t="s">
        <v>906</v>
      </c>
      <c r="I666" s="185">
        <v>9</v>
      </c>
      <c r="J666" s="185">
        <v>6</v>
      </c>
      <c r="K666" s="52">
        <v>0</v>
      </c>
      <c r="L666" s="53">
        <v>50000000</v>
      </c>
      <c r="M666" s="184" t="s">
        <v>464</v>
      </c>
      <c r="N666" s="53" t="s">
        <v>95</v>
      </c>
      <c r="O666" s="51" t="s">
        <v>224</v>
      </c>
      <c r="P666" s="186" t="str">
        <f>IFERROR(VLOOKUP(C666,TD!$B$33:$F$37,2,0)," ")</f>
        <v>O230117</v>
      </c>
      <c r="Q666" s="186" t="str">
        <f>IFERROR(VLOOKUP(C666,TD!$B$33:$F$37,3,0)," ")</f>
        <v>4503</v>
      </c>
      <c r="R666" s="186">
        <f>IFERROR(VLOOKUP(C666,TD!$B$33:$F$37,4,0)," ")</f>
        <v>20240255</v>
      </c>
      <c r="S666" s="205" t="s">
        <v>191</v>
      </c>
      <c r="T666" s="186" t="str">
        <f>IFERROR(VLOOKUP(S666,TD!$J$34:$K$44,2,0)," ")</f>
        <v>Servicio de apoyo   logístico  en eventos operativos y/o emergencias.</v>
      </c>
      <c r="U666" s="187" t="str">
        <f>CONCATENATE(S666,"-",T666)</f>
        <v>12-Servicio de apoyo   logístico  en eventos operativos y/o emergencias.</v>
      </c>
      <c r="V666" s="51" t="s">
        <v>232</v>
      </c>
      <c r="W666" s="186" t="str">
        <f>IFERROR(VLOOKUP(V666,TD!$N$34:$O$46,2,0)," ")</f>
        <v>Servicio de atención a emergencias y desastres</v>
      </c>
      <c r="X666" s="187" t="str">
        <f>CONCATENATE(V666,"_",W666)</f>
        <v>004_Servicio de atención a emergencias y desastres</v>
      </c>
      <c r="Y666" s="187" t="str">
        <f>CONCATENATE(U666," ",X666)</f>
        <v>12-Servicio de apoyo   logístico  en eventos operativos y/o emergencias. 004_Servicio de atención a emergencias y desastres</v>
      </c>
      <c r="Z666" s="186" t="str">
        <f>CONCATENATE(P666,Q666,R666,S666,V666)</f>
        <v>O23011745032024025512004</v>
      </c>
      <c r="AA666" s="186" t="str">
        <f>IFERROR(VLOOKUP(Y666,TD!$K$47:$L$65,2,0)," ")</f>
        <v>PM/0131/0112/45030040255</v>
      </c>
      <c r="AB666" s="53" t="s">
        <v>87</v>
      </c>
      <c r="AC666" s="188" t="s">
        <v>204</v>
      </c>
    </row>
    <row r="667" spans="2:29" ht="56" x14ac:dyDescent="0.35">
      <c r="B667" s="132">
        <v>20250705</v>
      </c>
      <c r="C667" s="133" t="s">
        <v>208</v>
      </c>
      <c r="D667" s="184" t="s">
        <v>36</v>
      </c>
      <c r="E667" s="51" t="s">
        <v>378</v>
      </c>
      <c r="F667" s="202" t="s">
        <v>912</v>
      </c>
      <c r="G667" s="202" t="s">
        <v>155</v>
      </c>
      <c r="H667" s="134">
        <v>80111600</v>
      </c>
      <c r="I667" s="203">
        <v>0</v>
      </c>
      <c r="J667" s="203">
        <v>0</v>
      </c>
      <c r="K667" s="135">
        <v>0</v>
      </c>
      <c r="L667" s="131">
        <v>333333</v>
      </c>
      <c r="M667" s="202" t="s">
        <v>173</v>
      </c>
      <c r="N667" s="53" t="s">
        <v>128</v>
      </c>
      <c r="O667" s="51" t="s">
        <v>211</v>
      </c>
      <c r="P667" s="204" t="str">
        <f>IFERROR(VLOOKUP(C667,TD!$B$33:$F$37,2,0)," ")</f>
        <v>O230117</v>
      </c>
      <c r="Q667" s="204" t="str">
        <f>IFERROR(VLOOKUP(C667,TD!$B$33:$F$37,3,0)," ")</f>
        <v>4599</v>
      </c>
      <c r="R667" s="204">
        <f>IFERROR(VLOOKUP(C667,TD!$B$33:$F$37,4,0)," ")</f>
        <v>20240207</v>
      </c>
      <c r="S667" s="205" t="s">
        <v>193</v>
      </c>
      <c r="T667" s="186" t="str">
        <f>IFERROR(VLOOKUP(S667,TD!$J$34:$K$44,2,0)," ")</f>
        <v>Servicios para la planeación y sistemas de gestión y comunicación estratégica</v>
      </c>
      <c r="U667" s="206" t="str">
        <f>CONCATENATE(S667,"-",T667)</f>
        <v>13-Servicios para la planeación y sistemas de gestión y comunicación estratégica</v>
      </c>
      <c r="V667" s="51" t="s">
        <v>241</v>
      </c>
      <c r="W667" s="186" t="str">
        <f>IFERROR(VLOOKUP(V667,TD!$N$34:$O$46,2,0)," ")</f>
        <v>Servicio de Implementación Sistemas de Gestión</v>
      </c>
      <c r="X667" s="206" t="str">
        <f>CONCATENATE(V667,"_",W667)</f>
        <v>023_Servicio de Implementación Sistemas de Gestión</v>
      </c>
      <c r="Y667" s="206" t="str">
        <f>CONCATENATE(U667," ",X667)</f>
        <v>13-Servicios para la planeación y sistemas de gestión y comunicación estratégica 023_Servicio de Implementación Sistemas de Gestión</v>
      </c>
      <c r="Z667" s="204" t="str">
        <f>CONCATENATE(P667,Q667,R667,S667,V667)</f>
        <v>O23011745992024020713023</v>
      </c>
      <c r="AA667" s="204" t="str">
        <f>IFERROR(VLOOKUP(Y667,TD!$K$47:$L$65,2,0)," ")</f>
        <v>PM/0131/0113/45990230207</v>
      </c>
      <c r="AB667" s="131" t="s">
        <v>138</v>
      </c>
      <c r="AC667" s="188" t="s">
        <v>205</v>
      </c>
    </row>
    <row r="668" spans="2:29" ht="56" x14ac:dyDescent="0.35">
      <c r="B668" s="132">
        <v>20250706</v>
      </c>
      <c r="C668" s="133" t="s">
        <v>208</v>
      </c>
      <c r="D668" s="184" t="s">
        <v>36</v>
      </c>
      <c r="E668" s="51" t="s">
        <v>378</v>
      </c>
      <c r="F668" s="202" t="s">
        <v>908</v>
      </c>
      <c r="G668" s="202" t="s">
        <v>155</v>
      </c>
      <c r="H668" s="134">
        <v>80111600</v>
      </c>
      <c r="I668" s="203">
        <v>0</v>
      </c>
      <c r="J668" s="203">
        <v>0</v>
      </c>
      <c r="K668" s="135">
        <v>0</v>
      </c>
      <c r="L668" s="131">
        <v>2100000</v>
      </c>
      <c r="M668" s="202" t="s">
        <v>173</v>
      </c>
      <c r="N668" s="53" t="s">
        <v>128</v>
      </c>
      <c r="O668" s="51" t="s">
        <v>211</v>
      </c>
      <c r="P668" s="204" t="str">
        <f>IFERROR(VLOOKUP(C668,TD!$B$33:$F$37,2,0)," ")</f>
        <v>O230117</v>
      </c>
      <c r="Q668" s="204" t="str">
        <f>IFERROR(VLOOKUP(C668,TD!$B$33:$F$37,3,0)," ")</f>
        <v>4599</v>
      </c>
      <c r="R668" s="204">
        <f>IFERROR(VLOOKUP(C668,TD!$B$33:$F$37,4,0)," ")</f>
        <v>20240207</v>
      </c>
      <c r="S668" s="205" t="s">
        <v>193</v>
      </c>
      <c r="T668" s="186" t="str">
        <f>IFERROR(VLOOKUP(S668,TD!$J$34:$K$44,2,0)," ")</f>
        <v>Servicios para la planeación y sistemas de gestión y comunicación estratégica</v>
      </c>
      <c r="U668" s="206" t="str">
        <f>CONCATENATE(S668,"-",T668)</f>
        <v>13-Servicios para la planeación y sistemas de gestión y comunicación estratégica</v>
      </c>
      <c r="V668" s="51" t="s">
        <v>241</v>
      </c>
      <c r="W668" s="186" t="str">
        <f>IFERROR(VLOOKUP(V668,TD!$N$34:$O$46,2,0)," ")</f>
        <v>Servicio de Implementación Sistemas de Gestión</v>
      </c>
      <c r="X668" s="206" t="str">
        <f>CONCATENATE(V668,"_",W668)</f>
        <v>023_Servicio de Implementación Sistemas de Gestión</v>
      </c>
      <c r="Y668" s="206" t="str">
        <f>CONCATENATE(U668," ",X668)</f>
        <v>13-Servicios para la planeación y sistemas de gestión y comunicación estratégica 023_Servicio de Implementación Sistemas de Gestión</v>
      </c>
      <c r="Z668" s="204" t="str">
        <f>CONCATENATE(P668,Q668,R668,S668,V668)</f>
        <v>O23011745992024020713023</v>
      </c>
      <c r="AA668" s="204" t="str">
        <f>IFERROR(VLOOKUP(Y668,TD!$K$47:$L$65,2,0)," ")</f>
        <v>PM/0131/0113/45990230207</v>
      </c>
      <c r="AB668" s="131" t="s">
        <v>138</v>
      </c>
      <c r="AC668" s="188" t="s">
        <v>205</v>
      </c>
    </row>
    <row r="669" spans="2:29" ht="84" x14ac:dyDescent="0.35">
      <c r="B669" s="132">
        <v>20250707</v>
      </c>
      <c r="C669" s="133" t="s">
        <v>208</v>
      </c>
      <c r="D669" s="184" t="s">
        <v>36</v>
      </c>
      <c r="E669" s="51" t="s">
        <v>378</v>
      </c>
      <c r="F669" s="202" t="s">
        <v>909</v>
      </c>
      <c r="G669" s="202" t="s">
        <v>155</v>
      </c>
      <c r="H669" s="134">
        <v>80111600</v>
      </c>
      <c r="I669" s="203">
        <v>0</v>
      </c>
      <c r="J669" s="203">
        <v>0</v>
      </c>
      <c r="K669" s="135">
        <v>0</v>
      </c>
      <c r="L669" s="131">
        <v>283334</v>
      </c>
      <c r="M669" s="202" t="s">
        <v>173</v>
      </c>
      <c r="N669" s="131" t="s">
        <v>128</v>
      </c>
      <c r="O669" s="51" t="s">
        <v>211</v>
      </c>
      <c r="P669" s="204" t="str">
        <f>IFERROR(VLOOKUP(C669,TD!$B$33:$F$37,2,0)," ")</f>
        <v>O230117</v>
      </c>
      <c r="Q669" s="204" t="str">
        <f>IFERROR(VLOOKUP(C669,TD!$B$33:$F$37,3,0)," ")</f>
        <v>4599</v>
      </c>
      <c r="R669" s="204">
        <f>IFERROR(VLOOKUP(C669,TD!$B$33:$F$37,4,0)," ")</f>
        <v>20240207</v>
      </c>
      <c r="S669" s="205" t="s">
        <v>193</v>
      </c>
      <c r="T669" s="186" t="str">
        <f>IFERROR(VLOOKUP(S669,TD!$J$34:$K$44,2,0)," ")</f>
        <v>Servicios para la planeación y sistemas de gestión y comunicación estratégica</v>
      </c>
      <c r="U669" s="206" t="str">
        <f>CONCATENATE(S669,"-",T669)</f>
        <v>13-Servicios para la planeación y sistemas de gestión y comunicación estratégica</v>
      </c>
      <c r="V669" s="51" t="s">
        <v>240</v>
      </c>
      <c r="W669" s="186" t="str">
        <f>IFERROR(VLOOKUP(V669,TD!$N$34:$O$46,2,0)," ")</f>
        <v>Servicio de asistencia técnica</v>
      </c>
      <c r="X669" s="206" t="str">
        <f>CONCATENATE(V669,"_",W669)</f>
        <v>031_Servicio de asistencia técnica</v>
      </c>
      <c r="Y669" s="206" t="str">
        <f>CONCATENATE(U669," ",X669)</f>
        <v>13-Servicios para la planeación y sistemas de gestión y comunicación estratégica 031_Servicio de asistencia técnica</v>
      </c>
      <c r="Z669" s="204" t="str">
        <f>CONCATENATE(P669,Q669,R669,S669,V669)</f>
        <v>O23011745992024020713031</v>
      </c>
      <c r="AA669" s="204" t="str">
        <f>IFERROR(VLOOKUP(Y669,TD!$K$47:$L$65,2,0)," ")</f>
        <v>PM/0131/0113/45990310207</v>
      </c>
      <c r="AB669" s="131" t="s">
        <v>138</v>
      </c>
      <c r="AC669" s="188" t="s">
        <v>205</v>
      </c>
    </row>
    <row r="670" spans="2:29" ht="98" x14ac:dyDescent="0.35">
      <c r="B670" s="132">
        <v>20250708</v>
      </c>
      <c r="C670" s="133" t="s">
        <v>208</v>
      </c>
      <c r="D670" s="184" t="s">
        <v>36</v>
      </c>
      <c r="E670" s="51" t="s">
        <v>378</v>
      </c>
      <c r="F670" s="202" t="s">
        <v>910</v>
      </c>
      <c r="G670" s="202" t="s">
        <v>155</v>
      </c>
      <c r="H670" s="134">
        <v>80111600</v>
      </c>
      <c r="I670" s="203">
        <v>0</v>
      </c>
      <c r="J670" s="203">
        <v>0</v>
      </c>
      <c r="K670" s="135">
        <v>0</v>
      </c>
      <c r="L670" s="131">
        <v>800000</v>
      </c>
      <c r="M670" s="202" t="s">
        <v>173</v>
      </c>
      <c r="N670" s="131" t="s">
        <v>128</v>
      </c>
      <c r="O670" s="51" t="s">
        <v>211</v>
      </c>
      <c r="P670" s="204" t="str">
        <f>IFERROR(VLOOKUP(C670,TD!$B$33:$F$37,2,0)," ")</f>
        <v>O230117</v>
      </c>
      <c r="Q670" s="204" t="str">
        <f>IFERROR(VLOOKUP(C670,TD!$B$33:$F$37,3,0)," ")</f>
        <v>4599</v>
      </c>
      <c r="R670" s="204">
        <f>IFERROR(VLOOKUP(C670,TD!$B$33:$F$37,4,0)," ")</f>
        <v>20240207</v>
      </c>
      <c r="S670" s="205" t="s">
        <v>193</v>
      </c>
      <c r="T670" s="186" t="str">
        <f>IFERROR(VLOOKUP(S670,TD!$J$34:$K$44,2,0)," ")</f>
        <v>Servicios para la planeación y sistemas de gestión y comunicación estratégica</v>
      </c>
      <c r="U670" s="206" t="str">
        <f>CONCATENATE(S670,"-",T670)</f>
        <v>13-Servicios para la planeación y sistemas de gestión y comunicación estratégica</v>
      </c>
      <c r="V670" s="51" t="s">
        <v>241</v>
      </c>
      <c r="W670" s="186" t="str">
        <f>IFERROR(VLOOKUP(V670,TD!$N$34:$O$46,2,0)," ")</f>
        <v>Servicio de Implementación Sistemas de Gestión</v>
      </c>
      <c r="X670" s="206" t="str">
        <f>CONCATENATE(V670,"_",W670)</f>
        <v>023_Servicio de Implementación Sistemas de Gestión</v>
      </c>
      <c r="Y670" s="206" t="str">
        <f>CONCATENATE(U670," ",X670)</f>
        <v>13-Servicios para la planeación y sistemas de gestión y comunicación estratégica 023_Servicio de Implementación Sistemas de Gestión</v>
      </c>
      <c r="Z670" s="204" t="str">
        <f>CONCATENATE(P670,Q670,R670,S670,V670)</f>
        <v>O23011745992024020713023</v>
      </c>
      <c r="AA670" s="204" t="str">
        <f>IFERROR(VLOOKUP(Y670,TD!$K$47:$L$65,2,0)," ")</f>
        <v>PM/0131/0113/45990230207</v>
      </c>
      <c r="AB670" s="131" t="s">
        <v>138</v>
      </c>
      <c r="AC670" s="188" t="s">
        <v>205</v>
      </c>
    </row>
    <row r="671" spans="2:29" ht="84" x14ac:dyDescent="0.35">
      <c r="B671" s="132">
        <v>20250709</v>
      </c>
      <c r="C671" s="133" t="s">
        <v>208</v>
      </c>
      <c r="D671" s="184" t="s">
        <v>36</v>
      </c>
      <c r="E671" s="51" t="s">
        <v>378</v>
      </c>
      <c r="F671" s="202" t="s">
        <v>911</v>
      </c>
      <c r="G671" s="202" t="s">
        <v>156</v>
      </c>
      <c r="H671" s="134">
        <v>80111600</v>
      </c>
      <c r="I671" s="203">
        <v>5</v>
      </c>
      <c r="J671" s="203">
        <v>7</v>
      </c>
      <c r="K671" s="135">
        <v>0</v>
      </c>
      <c r="L671" s="131">
        <v>31435712</v>
      </c>
      <c r="M671" s="202" t="s">
        <v>464</v>
      </c>
      <c r="N671" s="131" t="s">
        <v>113</v>
      </c>
      <c r="O671" s="51" t="s">
        <v>211</v>
      </c>
      <c r="P671" s="204" t="str">
        <f>IFERROR(VLOOKUP(C671,TD!$B$33:$F$37,2,0)," ")</f>
        <v>O230117</v>
      </c>
      <c r="Q671" s="204" t="str">
        <f>IFERROR(VLOOKUP(C671,TD!$B$33:$F$37,3,0)," ")</f>
        <v>4599</v>
      </c>
      <c r="R671" s="204">
        <f>IFERROR(VLOOKUP(C671,TD!$B$33:$F$37,4,0)," ")</f>
        <v>20240207</v>
      </c>
      <c r="S671" s="205" t="s">
        <v>193</v>
      </c>
      <c r="T671" s="186" t="str">
        <f>IFERROR(VLOOKUP(S671,TD!$J$34:$K$44,2,0)," ")</f>
        <v>Servicios para la planeación y sistemas de gestión y comunicación estratégica</v>
      </c>
      <c r="U671" s="206" t="str">
        <f>CONCATENATE(S671,"-",T671)</f>
        <v>13-Servicios para la planeación y sistemas de gestión y comunicación estratégica</v>
      </c>
      <c r="V671" s="51" t="s">
        <v>241</v>
      </c>
      <c r="W671" s="186" t="str">
        <f>IFERROR(VLOOKUP(V671,TD!$N$34:$O$46,2,0)," ")</f>
        <v>Servicio de Implementación Sistemas de Gestión</v>
      </c>
      <c r="X671" s="206" t="str">
        <f>CONCATENATE(V671,"_",W671)</f>
        <v>023_Servicio de Implementación Sistemas de Gestión</v>
      </c>
      <c r="Y671" s="206" t="str">
        <f>CONCATENATE(U671," ",X671)</f>
        <v>13-Servicios para la planeación y sistemas de gestión y comunicación estratégica 023_Servicio de Implementación Sistemas de Gestión</v>
      </c>
      <c r="Z671" s="204" t="str">
        <f>CONCATENATE(P671,Q671,R671,S671,V671)</f>
        <v>O23011745992024020713023</v>
      </c>
      <c r="AA671" s="204" t="str">
        <f>IFERROR(VLOOKUP(Y671,TD!$K$47:$L$65,2,0)," ")</f>
        <v>PM/0131/0113/45990230207</v>
      </c>
      <c r="AB671" s="131" t="s">
        <v>138</v>
      </c>
      <c r="AC671" s="188" t="s">
        <v>204</v>
      </c>
    </row>
    <row r="672" spans="2:29" ht="56" x14ac:dyDescent="0.35">
      <c r="B672" s="132">
        <v>20250710</v>
      </c>
      <c r="C672" s="133" t="s">
        <v>208</v>
      </c>
      <c r="D672" s="202" t="s">
        <v>164</v>
      </c>
      <c r="E672" s="205" t="s">
        <v>389</v>
      </c>
      <c r="F672" s="202" t="s">
        <v>913</v>
      </c>
      <c r="G672" s="202" t="s">
        <v>155</v>
      </c>
      <c r="H672" s="134">
        <v>80111600</v>
      </c>
      <c r="I672" s="203">
        <v>6</v>
      </c>
      <c r="J672" s="203">
        <v>2</v>
      </c>
      <c r="K672" s="135">
        <v>0</v>
      </c>
      <c r="L672" s="131">
        <v>21000000</v>
      </c>
      <c r="M672" s="202" t="s">
        <v>464</v>
      </c>
      <c r="N672" s="131" t="s">
        <v>113</v>
      </c>
      <c r="O672" s="51" t="s">
        <v>219</v>
      </c>
      <c r="P672" s="204" t="str">
        <f>IFERROR(VLOOKUP(C672,TD!$B$33:$F$37,2,0)," ")</f>
        <v>O230117</v>
      </c>
      <c r="Q672" s="204" t="str">
        <f>IFERROR(VLOOKUP(C672,TD!$B$33:$F$37,3,0)," ")</f>
        <v>4599</v>
      </c>
      <c r="R672" s="204">
        <f>IFERROR(VLOOKUP(C672,TD!$B$33:$F$37,4,0)," ")</f>
        <v>20240207</v>
      </c>
      <c r="S672" s="205" t="s">
        <v>185</v>
      </c>
      <c r="T672" s="186" t="str">
        <f>IFERROR(VLOOKUP(S672,TD!$J$34:$K$44,2,0)," ")</f>
        <v>Infraestructura física, mantenimiento y dotación (Sedes construidas, mantenidas reforzadas)</v>
      </c>
      <c r="U672" s="206" t="str">
        <f>CONCATENATE(S672,"-",T672)</f>
        <v>08-Infraestructura física, mantenimiento y dotación (Sedes construidas, mantenidas reforzadas)</v>
      </c>
      <c r="V672" s="51" t="s">
        <v>238</v>
      </c>
      <c r="W672" s="186" t="str">
        <f>IFERROR(VLOOKUP(V672,TD!$N$34:$O$46,2,0)," ")</f>
        <v>Sedes mantenidas</v>
      </c>
      <c r="X672" s="206" t="str">
        <f>CONCATENATE(V672,"_",W672)</f>
        <v>016_Sedes mantenidas</v>
      </c>
      <c r="Y672" s="206" t="str">
        <f>CONCATENATE(U672," ",X672)</f>
        <v>08-Infraestructura física, mantenimiento y dotación (Sedes construidas, mantenidas reforzadas) 016_Sedes mantenidas</v>
      </c>
      <c r="Z672" s="204" t="str">
        <f>CONCATENATE(P672,Q672,R672,S672,V672)</f>
        <v>O23011745992024020708016</v>
      </c>
      <c r="AA672" s="204" t="str">
        <f>IFERROR(VLOOKUP(Y672,TD!$K$47:$L$65,2,0)," ")</f>
        <v>PM/0131/0108/45990160207</v>
      </c>
      <c r="AB672" s="131" t="s">
        <v>120</v>
      </c>
      <c r="AC672" s="207" t="s">
        <v>204</v>
      </c>
    </row>
    <row r="673" spans="2:29" ht="56" x14ac:dyDescent="0.35">
      <c r="B673" s="132">
        <v>20250712</v>
      </c>
      <c r="C673" s="133" t="s">
        <v>208</v>
      </c>
      <c r="D673" s="202" t="s">
        <v>162</v>
      </c>
      <c r="E673" s="205" t="s">
        <v>355</v>
      </c>
      <c r="F673" s="202" t="s">
        <v>914</v>
      </c>
      <c r="G673" s="202" t="s">
        <v>124</v>
      </c>
      <c r="H673" s="134" t="s">
        <v>915</v>
      </c>
      <c r="I673" s="203">
        <v>6</v>
      </c>
      <c r="J673" s="203">
        <v>12</v>
      </c>
      <c r="K673" s="135">
        <v>0</v>
      </c>
      <c r="L673" s="131">
        <v>650000000</v>
      </c>
      <c r="M673" s="202" t="s">
        <v>464</v>
      </c>
      <c r="N673" s="131" t="s">
        <v>113</v>
      </c>
      <c r="O673" s="51" t="s">
        <v>214</v>
      </c>
      <c r="P673" s="204" t="str">
        <f>IFERROR(VLOOKUP(C673,TD!$B$33:$F$37,2,0)," ")</f>
        <v>O230117</v>
      </c>
      <c r="Q673" s="204" t="str">
        <f>IFERROR(VLOOKUP(C673,TD!$B$33:$F$37,3,0)," ")</f>
        <v>4599</v>
      </c>
      <c r="R673" s="204">
        <f>IFERROR(VLOOKUP(C673,TD!$B$33:$F$37,4,0)," ")</f>
        <v>20240207</v>
      </c>
      <c r="S673" s="205" t="s">
        <v>179</v>
      </c>
      <c r="T673" s="186" t="str">
        <f>IFERROR(VLOOKUP(S673,TD!$J$34:$K$44,2,0)," ")</f>
        <v>Infraestructura Tecnológica   (Sistemas de Información y Tecnologia)</v>
      </c>
      <c r="U673" s="206" t="str">
        <f>CONCATENATE(S673,"-",T673)</f>
        <v>11-Infraestructura Tecnológica   (Sistemas de Información y Tecnologia)</v>
      </c>
      <c r="V673" s="51" t="s">
        <v>239</v>
      </c>
      <c r="W673" s="186" t="str">
        <f>IFERROR(VLOOKUP(V673,TD!$N$34:$O$46,2,0)," ")</f>
        <v>Servicios tecnológicos</v>
      </c>
      <c r="X673" s="206" t="str">
        <f>CONCATENATE(V673,"_",W673)</f>
        <v>007_Servicios tecnológicos</v>
      </c>
      <c r="Y673" s="206" t="str">
        <f>CONCATENATE(U673," ",X673)</f>
        <v>11-Infraestructura Tecnológica   (Sistemas de Información y Tecnologia) 007_Servicios tecnológicos</v>
      </c>
      <c r="Z673" s="204" t="str">
        <f>CONCATENATE(P673,Q673,R673,S673,V673)</f>
        <v>O23011745992024020711007</v>
      </c>
      <c r="AA673" s="204" t="str">
        <f>IFERROR(VLOOKUP(Y673,TD!$K$47:$L$65,2,0)," ")</f>
        <v>PM/0131/0111/45990070207</v>
      </c>
      <c r="AB673" s="131" t="s">
        <v>125</v>
      </c>
      <c r="AC673" s="207" t="s">
        <v>204</v>
      </c>
    </row>
    <row r="674" spans="2:29" ht="56" x14ac:dyDescent="0.35">
      <c r="B674" s="132">
        <v>20250713</v>
      </c>
      <c r="C674" s="133" t="s">
        <v>209</v>
      </c>
      <c r="D674" s="202" t="s">
        <v>168</v>
      </c>
      <c r="E674" s="205" t="s">
        <v>603</v>
      </c>
      <c r="F674" s="202" t="s">
        <v>917</v>
      </c>
      <c r="G674" s="202" t="s">
        <v>119</v>
      </c>
      <c r="H674" s="134" t="s">
        <v>906</v>
      </c>
      <c r="I674" s="203">
        <v>5</v>
      </c>
      <c r="J674" s="203">
        <v>2</v>
      </c>
      <c r="K674" s="135">
        <v>0</v>
      </c>
      <c r="L674" s="131">
        <v>5000000</v>
      </c>
      <c r="M674" s="202" t="s">
        <v>464</v>
      </c>
      <c r="N674" s="131" t="s">
        <v>100</v>
      </c>
      <c r="O674" s="51" t="s">
        <v>224</v>
      </c>
      <c r="P674" s="204" t="str">
        <f>IFERROR(VLOOKUP(C674,TD!$B$33:$F$37,2,0)," ")</f>
        <v>O230117</v>
      </c>
      <c r="Q674" s="204" t="str">
        <f>IFERROR(VLOOKUP(C674,TD!$B$33:$F$37,3,0)," ")</f>
        <v>4503</v>
      </c>
      <c r="R674" s="204">
        <f>IFERROR(VLOOKUP(C674,TD!$B$33:$F$37,4,0)," ")</f>
        <v>20240255</v>
      </c>
      <c r="S674" s="205" t="s">
        <v>191</v>
      </c>
      <c r="T674" s="186" t="str">
        <f>IFERROR(VLOOKUP(S674,TD!$J$34:$K$44,2,0)," ")</f>
        <v>Servicio de apoyo   logístico  en eventos operativos y/o emergencias.</v>
      </c>
      <c r="U674" s="206" t="str">
        <f>CONCATENATE(S674,"-",T674)</f>
        <v>12-Servicio de apoyo   logístico  en eventos operativos y/o emergencias.</v>
      </c>
      <c r="V674" s="51" t="s">
        <v>232</v>
      </c>
      <c r="W674" s="186" t="str">
        <f>IFERROR(VLOOKUP(V674,TD!$N$34:$O$46,2,0)," ")</f>
        <v>Servicio de atención a emergencias y desastres</v>
      </c>
      <c r="X674" s="206" t="str">
        <f>CONCATENATE(V674,"_",W674)</f>
        <v>004_Servicio de atención a emergencias y desastres</v>
      </c>
      <c r="Y674" s="206" t="str">
        <f>CONCATENATE(U674," ",X674)</f>
        <v>12-Servicio de apoyo   logístico  en eventos operativos y/o emergencias. 004_Servicio de atención a emergencias y desastres</v>
      </c>
      <c r="Z674" s="204" t="str">
        <f>CONCATENATE(P674,Q674,R674,S674,V674)</f>
        <v>O23011745032024025512004</v>
      </c>
      <c r="AA674" s="204" t="str">
        <f>IFERROR(VLOOKUP(Y674,TD!$K$47:$L$65,2,0)," ")</f>
        <v>PM/0131/0112/45030040255</v>
      </c>
      <c r="AB674" s="131" t="s">
        <v>87</v>
      </c>
      <c r="AC674" s="207" t="s">
        <v>204</v>
      </c>
    </row>
    <row r="675" spans="2:29" ht="56" x14ac:dyDescent="0.35">
      <c r="B675" s="132">
        <v>20250714</v>
      </c>
      <c r="C675" s="133" t="s">
        <v>208</v>
      </c>
      <c r="D675" s="202" t="s">
        <v>166</v>
      </c>
      <c r="E675" s="205" t="s">
        <v>558</v>
      </c>
      <c r="F675" s="202" t="s">
        <v>921</v>
      </c>
      <c r="G675" s="202" t="s">
        <v>137</v>
      </c>
      <c r="H675" s="134" t="s">
        <v>406</v>
      </c>
      <c r="I675" s="203" t="s">
        <v>406</v>
      </c>
      <c r="J675" s="203" t="s">
        <v>406</v>
      </c>
      <c r="K675" s="135" t="s">
        <v>406</v>
      </c>
      <c r="L675" s="131">
        <v>513333</v>
      </c>
      <c r="M675" s="202" t="s">
        <v>173</v>
      </c>
      <c r="N675" s="131" t="s">
        <v>128</v>
      </c>
      <c r="O675" s="51" t="s">
        <v>219</v>
      </c>
      <c r="P675" s="204" t="str">
        <f>IFERROR(VLOOKUP(C675,TD!$B$33:$F$37,2,0)," ")</f>
        <v>O230117</v>
      </c>
      <c r="Q675" s="204" t="str">
        <f>IFERROR(VLOOKUP(C675,TD!$B$33:$F$37,3,0)," ")</f>
        <v>4599</v>
      </c>
      <c r="R675" s="204">
        <f>IFERROR(VLOOKUP(C675,TD!$B$33:$F$37,4,0)," ")</f>
        <v>20240207</v>
      </c>
      <c r="S675" s="205" t="s">
        <v>185</v>
      </c>
      <c r="T675" s="186" t="str">
        <f>IFERROR(VLOOKUP(S675,TD!$J$34:$K$44,2,0)," ")</f>
        <v>Infraestructura física, mantenimiento y dotación (Sedes construidas, mantenidas reforzadas)</v>
      </c>
      <c r="U675" s="206" t="str">
        <f>CONCATENATE(S675,"-",T675)</f>
        <v>08-Infraestructura física, mantenimiento y dotación (Sedes construidas, mantenidas reforzadas)</v>
      </c>
      <c r="V675" s="51" t="s">
        <v>238</v>
      </c>
      <c r="W675" s="186" t="str">
        <f>IFERROR(VLOOKUP(V675,TD!$N$34:$O$46,2,0)," ")</f>
        <v>Sedes mantenidas</v>
      </c>
      <c r="X675" s="206" t="str">
        <f>CONCATENATE(V675,"_",W675)</f>
        <v>016_Sedes mantenidas</v>
      </c>
      <c r="Y675" s="206" t="str">
        <f>CONCATENATE(U675," ",X675)</f>
        <v>08-Infraestructura física, mantenimiento y dotación (Sedes construidas, mantenidas reforzadas) 016_Sedes mantenidas</v>
      </c>
      <c r="Z675" s="204" t="str">
        <f>CONCATENATE(P675,Q675,R675,S675,V675)</f>
        <v>O23011745992024020708016</v>
      </c>
      <c r="AA675" s="204" t="str">
        <f>IFERROR(VLOOKUP(Y675,TD!$K$47:$L$65,2,0)," ")</f>
        <v>PM/0131/0108/45990160207</v>
      </c>
      <c r="AB675" s="131" t="s">
        <v>138</v>
      </c>
      <c r="AC675" s="207" t="s">
        <v>205</v>
      </c>
    </row>
    <row r="676" spans="2:29" ht="56" x14ac:dyDescent="0.35">
      <c r="B676" s="132">
        <v>20250715</v>
      </c>
      <c r="C676" s="133" t="s">
        <v>208</v>
      </c>
      <c r="D676" s="202" t="s">
        <v>166</v>
      </c>
      <c r="E676" s="205" t="s">
        <v>558</v>
      </c>
      <c r="F676" s="202" t="s">
        <v>922</v>
      </c>
      <c r="G676" s="202" t="s">
        <v>137</v>
      </c>
      <c r="H676" s="134" t="s">
        <v>406</v>
      </c>
      <c r="I676" s="203" t="s">
        <v>406</v>
      </c>
      <c r="J676" s="203" t="s">
        <v>406</v>
      </c>
      <c r="K676" s="135" t="s">
        <v>406</v>
      </c>
      <c r="L676" s="131">
        <v>1100000</v>
      </c>
      <c r="M676" s="202" t="s">
        <v>173</v>
      </c>
      <c r="N676" s="131" t="s">
        <v>128</v>
      </c>
      <c r="O676" s="51" t="s">
        <v>219</v>
      </c>
      <c r="P676" s="204" t="str">
        <f>IFERROR(VLOOKUP(C676,TD!$B$33:$F$37,2,0)," ")</f>
        <v>O230117</v>
      </c>
      <c r="Q676" s="204" t="str">
        <f>IFERROR(VLOOKUP(C676,TD!$B$33:$F$37,3,0)," ")</f>
        <v>4599</v>
      </c>
      <c r="R676" s="204">
        <f>IFERROR(VLOOKUP(C676,TD!$B$33:$F$37,4,0)," ")</f>
        <v>20240207</v>
      </c>
      <c r="S676" s="205" t="s">
        <v>185</v>
      </c>
      <c r="T676" s="186" t="str">
        <f>IFERROR(VLOOKUP(S676,TD!$J$34:$K$44,2,0)," ")</f>
        <v>Infraestructura física, mantenimiento y dotación (Sedes construidas, mantenidas reforzadas)</v>
      </c>
      <c r="U676" s="206" t="str">
        <f>CONCATENATE(S676,"-",T676)</f>
        <v>08-Infraestructura física, mantenimiento y dotación (Sedes construidas, mantenidas reforzadas)</v>
      </c>
      <c r="V676" s="51" t="s">
        <v>238</v>
      </c>
      <c r="W676" s="186" t="str">
        <f>IFERROR(VLOOKUP(V676,TD!$N$34:$O$46,2,0)," ")</f>
        <v>Sedes mantenidas</v>
      </c>
      <c r="X676" s="206" t="str">
        <f>CONCATENATE(V676,"_",W676)</f>
        <v>016_Sedes mantenidas</v>
      </c>
      <c r="Y676" s="206" t="str">
        <f>CONCATENATE(U676," ",X676)</f>
        <v>08-Infraestructura física, mantenimiento y dotación (Sedes construidas, mantenidas reforzadas) 016_Sedes mantenidas</v>
      </c>
      <c r="Z676" s="204" t="str">
        <f>CONCATENATE(P676,Q676,R676,S676,V676)</f>
        <v>O23011745992024020708016</v>
      </c>
      <c r="AA676" s="204" t="str">
        <f>IFERROR(VLOOKUP(Y676,TD!$K$47:$L$65,2,0)," ")</f>
        <v>PM/0131/0108/45990160207</v>
      </c>
      <c r="AB676" s="131" t="s">
        <v>120</v>
      </c>
      <c r="AC676" s="207" t="s">
        <v>205</v>
      </c>
    </row>
    <row r="677" spans="2:29" ht="56" x14ac:dyDescent="0.35">
      <c r="B677" s="132">
        <v>20250716</v>
      </c>
      <c r="C677" s="133" t="s">
        <v>209</v>
      </c>
      <c r="D677" s="202" t="s">
        <v>166</v>
      </c>
      <c r="E677" s="205" t="s">
        <v>558</v>
      </c>
      <c r="F677" s="202" t="s">
        <v>923</v>
      </c>
      <c r="G677" s="202" t="s">
        <v>137</v>
      </c>
      <c r="H677" s="134" t="s">
        <v>406</v>
      </c>
      <c r="I677" s="203" t="s">
        <v>406</v>
      </c>
      <c r="J677" s="203" t="s">
        <v>406</v>
      </c>
      <c r="K677" s="135" t="s">
        <v>406</v>
      </c>
      <c r="L677" s="131">
        <v>80100864</v>
      </c>
      <c r="M677" s="202" t="s">
        <v>173</v>
      </c>
      <c r="N677" s="131" t="s">
        <v>128</v>
      </c>
      <c r="O677" s="51" t="s">
        <v>227</v>
      </c>
      <c r="P677" s="204" t="str">
        <f>IFERROR(VLOOKUP(C677,TD!$B$33:$F$37,2,0)," ")</f>
        <v>O230117</v>
      </c>
      <c r="Q677" s="204" t="str">
        <f>IFERROR(VLOOKUP(C677,TD!$B$33:$F$37,3,0)," ")</f>
        <v>4503</v>
      </c>
      <c r="R677" s="204">
        <f>IFERROR(VLOOKUP(C677,TD!$B$33:$F$37,4,0)," ")</f>
        <v>20240255</v>
      </c>
      <c r="S677" s="205" t="s">
        <v>185</v>
      </c>
      <c r="T677" s="186" t="str">
        <f>IFERROR(VLOOKUP(S677,TD!$J$34:$K$44,2,0)," ")</f>
        <v>Infraestructura física, mantenimiento y dotación (Sedes construidas, mantenidas reforzadas)</v>
      </c>
      <c r="U677" s="206" t="str">
        <f>CONCATENATE(S677,"-",T677)</f>
        <v>08-Infraestructura física, mantenimiento y dotación (Sedes construidas, mantenidas reforzadas)</v>
      </c>
      <c r="V677" s="51" t="s">
        <v>236</v>
      </c>
      <c r="W677" s="186" t="str">
        <f>IFERROR(VLOOKUP(V677,TD!$N$34:$O$46,2,0)," ")</f>
        <v>Estaciones de bomberos adecuadas</v>
      </c>
      <c r="X677" s="206" t="str">
        <f>CONCATENATE(V677,"_",W677)</f>
        <v>014_Estaciones de bomberos adecuadas</v>
      </c>
      <c r="Y677" s="206" t="str">
        <f>CONCATENATE(U677," ",X677)</f>
        <v>08-Infraestructura física, mantenimiento y dotación (Sedes construidas, mantenidas reforzadas) 014_Estaciones de bomberos adecuadas</v>
      </c>
      <c r="Z677" s="204" t="str">
        <f>CONCATENATE(P677,Q677,R677,S677,V677)</f>
        <v>O23011745032024025508014</v>
      </c>
      <c r="AA677" s="204" t="str">
        <f>IFERROR(VLOOKUP(Y677,TD!$K$47:$L$65,2,0)," ")</f>
        <v>PM/0131/0108/45030140255</v>
      </c>
      <c r="AB677" s="131" t="s">
        <v>102</v>
      </c>
      <c r="AC677" s="207" t="s">
        <v>205</v>
      </c>
    </row>
    <row r="678" spans="2:29" ht="56" x14ac:dyDescent="0.35">
      <c r="B678" s="132">
        <v>20250717</v>
      </c>
      <c r="C678" s="133" t="s">
        <v>209</v>
      </c>
      <c r="D678" s="202" t="s">
        <v>166</v>
      </c>
      <c r="E678" s="205" t="s">
        <v>558</v>
      </c>
      <c r="F678" s="202" t="s">
        <v>924</v>
      </c>
      <c r="G678" s="202" t="s">
        <v>137</v>
      </c>
      <c r="H678" s="134" t="s">
        <v>406</v>
      </c>
      <c r="I678" s="203" t="s">
        <v>406</v>
      </c>
      <c r="J678" s="203" t="s">
        <v>406</v>
      </c>
      <c r="K678" s="135" t="s">
        <v>406</v>
      </c>
      <c r="L678" s="131">
        <v>35774826</v>
      </c>
      <c r="M678" s="202" t="s">
        <v>173</v>
      </c>
      <c r="N678" s="131" t="s">
        <v>128</v>
      </c>
      <c r="O678" s="51" t="s">
        <v>227</v>
      </c>
      <c r="P678" s="204" t="str">
        <f>IFERROR(VLOOKUP(C678,TD!$B$33:$F$37,2,0)," ")</f>
        <v>O230117</v>
      </c>
      <c r="Q678" s="204" t="str">
        <f>IFERROR(VLOOKUP(C678,TD!$B$33:$F$37,3,0)," ")</f>
        <v>4503</v>
      </c>
      <c r="R678" s="204">
        <f>IFERROR(VLOOKUP(C678,TD!$B$33:$F$37,4,0)," ")</f>
        <v>20240255</v>
      </c>
      <c r="S678" s="205" t="s">
        <v>185</v>
      </c>
      <c r="T678" s="186" t="str">
        <f>IFERROR(VLOOKUP(S678,TD!$J$34:$K$44,2,0)," ")</f>
        <v>Infraestructura física, mantenimiento y dotación (Sedes construidas, mantenidas reforzadas)</v>
      </c>
      <c r="U678" s="206" t="str">
        <f>CONCATENATE(S678,"-",T678)</f>
        <v>08-Infraestructura física, mantenimiento y dotación (Sedes construidas, mantenidas reforzadas)</v>
      </c>
      <c r="V678" s="51" t="s">
        <v>236</v>
      </c>
      <c r="W678" s="186" t="str">
        <f>IFERROR(VLOOKUP(V678,TD!$N$34:$O$46,2,0)," ")</f>
        <v>Estaciones de bomberos adecuadas</v>
      </c>
      <c r="X678" s="206" t="str">
        <f>CONCATENATE(V678,"_",W678)</f>
        <v>014_Estaciones de bomberos adecuadas</v>
      </c>
      <c r="Y678" s="206" t="str">
        <f>CONCATENATE(U678," ",X678)</f>
        <v>08-Infraestructura física, mantenimiento y dotación (Sedes construidas, mantenidas reforzadas) 014_Estaciones de bomberos adecuadas</v>
      </c>
      <c r="Z678" s="204" t="str">
        <f>CONCATENATE(P678,Q678,R678,S678,V678)</f>
        <v>O23011745032024025508014</v>
      </c>
      <c r="AA678" s="204" t="str">
        <f>IFERROR(VLOOKUP(Y678,TD!$K$47:$L$65,2,0)," ")</f>
        <v>PM/0131/0108/45030140255</v>
      </c>
      <c r="AB678" s="131" t="s">
        <v>102</v>
      </c>
      <c r="AC678" s="207" t="s">
        <v>205</v>
      </c>
    </row>
    <row r="679" spans="2:29" ht="98" x14ac:dyDescent="0.35">
      <c r="B679" s="132">
        <v>20250718</v>
      </c>
      <c r="C679" s="133" t="s">
        <v>209</v>
      </c>
      <c r="D679" s="202" t="s">
        <v>166</v>
      </c>
      <c r="E679" s="205" t="s">
        <v>558</v>
      </c>
      <c r="F679" s="202" t="s">
        <v>925</v>
      </c>
      <c r="G679" s="202" t="s">
        <v>137</v>
      </c>
      <c r="H679" s="134" t="s">
        <v>406</v>
      </c>
      <c r="I679" s="203" t="s">
        <v>406</v>
      </c>
      <c r="J679" s="203" t="s">
        <v>406</v>
      </c>
      <c r="K679" s="135" t="s">
        <v>406</v>
      </c>
      <c r="L679" s="131">
        <v>2450000</v>
      </c>
      <c r="M679" s="202" t="s">
        <v>173</v>
      </c>
      <c r="N679" s="131" t="s">
        <v>128</v>
      </c>
      <c r="O679" s="51" t="s">
        <v>227</v>
      </c>
      <c r="P679" s="204" t="str">
        <f>IFERROR(VLOOKUP(C679,TD!$B$33:$F$37,2,0)," ")</f>
        <v>O230117</v>
      </c>
      <c r="Q679" s="204" t="str">
        <f>IFERROR(VLOOKUP(C679,TD!$B$33:$F$37,3,0)," ")</f>
        <v>4503</v>
      </c>
      <c r="R679" s="204">
        <f>IFERROR(VLOOKUP(C679,TD!$B$33:$F$37,4,0)," ")</f>
        <v>20240255</v>
      </c>
      <c r="S679" s="205" t="s">
        <v>185</v>
      </c>
      <c r="T679" s="186" t="str">
        <f>IFERROR(VLOOKUP(S679,TD!$J$34:$K$44,2,0)," ")</f>
        <v>Infraestructura física, mantenimiento y dotación (Sedes construidas, mantenidas reforzadas)</v>
      </c>
      <c r="U679" s="206" t="str">
        <f>CONCATENATE(S679,"-",T679)</f>
        <v>08-Infraestructura física, mantenimiento y dotación (Sedes construidas, mantenidas reforzadas)</v>
      </c>
      <c r="V679" s="51" t="s">
        <v>236</v>
      </c>
      <c r="W679" s="186" t="str">
        <f>IFERROR(VLOOKUP(V679,TD!$N$34:$O$46,2,0)," ")</f>
        <v>Estaciones de bomberos adecuadas</v>
      </c>
      <c r="X679" s="206" t="str">
        <f>CONCATENATE(V679,"_",W679)</f>
        <v>014_Estaciones de bomberos adecuadas</v>
      </c>
      <c r="Y679" s="206" t="str">
        <f>CONCATENATE(U679," ",X679)</f>
        <v>08-Infraestructura física, mantenimiento y dotación (Sedes construidas, mantenidas reforzadas) 014_Estaciones de bomberos adecuadas</v>
      </c>
      <c r="Z679" s="204" t="str">
        <f>CONCATENATE(P679,Q679,R679,S679,V679)</f>
        <v>O23011745032024025508014</v>
      </c>
      <c r="AA679" s="204" t="str">
        <f>IFERROR(VLOOKUP(Y679,TD!$K$47:$L$65,2,0)," ")</f>
        <v>PM/0131/0108/45030140255</v>
      </c>
      <c r="AB679" s="131" t="s">
        <v>138</v>
      </c>
      <c r="AC679" s="207" t="s">
        <v>205</v>
      </c>
    </row>
    <row r="680" spans="2:29" ht="56" x14ac:dyDescent="0.35">
      <c r="B680" s="132">
        <v>20250719</v>
      </c>
      <c r="C680" s="133" t="s">
        <v>209</v>
      </c>
      <c r="D680" s="202" t="s">
        <v>166</v>
      </c>
      <c r="E680" s="205" t="s">
        <v>558</v>
      </c>
      <c r="F680" s="202" t="s">
        <v>926</v>
      </c>
      <c r="G680" s="202" t="s">
        <v>137</v>
      </c>
      <c r="H680" s="134" t="s">
        <v>406</v>
      </c>
      <c r="I680" s="203" t="s">
        <v>406</v>
      </c>
      <c r="J680" s="203" t="s">
        <v>406</v>
      </c>
      <c r="K680" s="135" t="s">
        <v>406</v>
      </c>
      <c r="L680" s="131">
        <v>95749143</v>
      </c>
      <c r="M680" s="202" t="s">
        <v>173</v>
      </c>
      <c r="N680" s="131" t="s">
        <v>128</v>
      </c>
      <c r="O680" s="51" t="s">
        <v>227</v>
      </c>
      <c r="P680" s="204" t="str">
        <f>IFERROR(VLOOKUP(C680,TD!$B$33:$F$37,2,0)," ")</f>
        <v>O230117</v>
      </c>
      <c r="Q680" s="204" t="str">
        <f>IFERROR(VLOOKUP(C680,TD!$B$33:$F$37,3,0)," ")</f>
        <v>4503</v>
      </c>
      <c r="R680" s="204">
        <f>IFERROR(VLOOKUP(C680,TD!$B$33:$F$37,4,0)," ")</f>
        <v>20240255</v>
      </c>
      <c r="S680" s="205" t="s">
        <v>185</v>
      </c>
      <c r="T680" s="186" t="str">
        <f>IFERROR(VLOOKUP(S680,TD!$J$34:$K$44,2,0)," ")</f>
        <v>Infraestructura física, mantenimiento y dotación (Sedes construidas, mantenidas reforzadas)</v>
      </c>
      <c r="U680" s="206" t="str">
        <f>CONCATENATE(S680,"-",T680)</f>
        <v>08-Infraestructura física, mantenimiento y dotación (Sedes construidas, mantenidas reforzadas)</v>
      </c>
      <c r="V680" s="51" t="s">
        <v>236</v>
      </c>
      <c r="W680" s="186" t="str">
        <f>IFERROR(VLOOKUP(V680,TD!$N$34:$O$46,2,0)," ")</f>
        <v>Estaciones de bomberos adecuadas</v>
      </c>
      <c r="X680" s="206" t="str">
        <f>CONCATENATE(V680,"_",W680)</f>
        <v>014_Estaciones de bomberos adecuadas</v>
      </c>
      <c r="Y680" s="206" t="str">
        <f>CONCATENATE(U680," ",X680)</f>
        <v>08-Infraestructura física, mantenimiento y dotación (Sedes construidas, mantenidas reforzadas) 014_Estaciones de bomberos adecuadas</v>
      </c>
      <c r="Z680" s="204" t="str">
        <f>CONCATENATE(P680,Q680,R680,S680,V680)</f>
        <v>O23011745032024025508014</v>
      </c>
      <c r="AA680" s="204" t="str">
        <f>IFERROR(VLOOKUP(Y680,TD!$K$47:$L$65,2,0)," ")</f>
        <v>PM/0131/0108/45030140255</v>
      </c>
      <c r="AB680" s="131" t="s">
        <v>102</v>
      </c>
      <c r="AC680" s="207" t="s">
        <v>205</v>
      </c>
    </row>
    <row r="681" spans="2:29" ht="84" x14ac:dyDescent="0.35">
      <c r="B681" s="132">
        <v>20250720</v>
      </c>
      <c r="C681" s="133" t="s">
        <v>209</v>
      </c>
      <c r="D681" s="202" t="s">
        <v>166</v>
      </c>
      <c r="E681" s="205" t="s">
        <v>558</v>
      </c>
      <c r="F681" s="202" t="s">
        <v>927</v>
      </c>
      <c r="G681" s="202" t="s">
        <v>137</v>
      </c>
      <c r="H681" s="134" t="s">
        <v>406</v>
      </c>
      <c r="I681" s="203" t="s">
        <v>406</v>
      </c>
      <c r="J681" s="203" t="s">
        <v>406</v>
      </c>
      <c r="K681" s="135" t="s">
        <v>406</v>
      </c>
      <c r="L681" s="131">
        <v>10284691</v>
      </c>
      <c r="M681" s="202" t="s">
        <v>173</v>
      </c>
      <c r="N681" s="131" t="s">
        <v>128</v>
      </c>
      <c r="O681" s="51" t="s">
        <v>227</v>
      </c>
      <c r="P681" s="204" t="str">
        <f>IFERROR(VLOOKUP(C681,TD!$B$33:$F$37,2,0)," ")</f>
        <v>O230117</v>
      </c>
      <c r="Q681" s="204" t="str">
        <f>IFERROR(VLOOKUP(C681,TD!$B$33:$F$37,3,0)," ")</f>
        <v>4503</v>
      </c>
      <c r="R681" s="204">
        <f>IFERROR(VLOOKUP(C681,TD!$B$33:$F$37,4,0)," ")</f>
        <v>20240255</v>
      </c>
      <c r="S681" s="205" t="s">
        <v>185</v>
      </c>
      <c r="T681" s="186" t="str">
        <f>IFERROR(VLOOKUP(S681,TD!$J$34:$K$44,2,0)," ")</f>
        <v>Infraestructura física, mantenimiento y dotación (Sedes construidas, mantenidas reforzadas)</v>
      </c>
      <c r="U681" s="206" t="str">
        <f>CONCATENATE(S681,"-",T681)</f>
        <v>08-Infraestructura física, mantenimiento y dotación (Sedes construidas, mantenidas reforzadas)</v>
      </c>
      <c r="V681" s="51" t="s">
        <v>236</v>
      </c>
      <c r="W681" s="186" t="str">
        <f>IFERROR(VLOOKUP(V681,TD!$N$34:$O$46,2,0)," ")</f>
        <v>Estaciones de bomberos adecuadas</v>
      </c>
      <c r="X681" s="206" t="str">
        <f>CONCATENATE(V681,"_",W681)</f>
        <v>014_Estaciones de bomberos adecuadas</v>
      </c>
      <c r="Y681" s="206" t="str">
        <f>CONCATENATE(U681," ",X681)</f>
        <v>08-Infraestructura física, mantenimiento y dotación (Sedes construidas, mantenidas reforzadas) 014_Estaciones de bomberos adecuadas</v>
      </c>
      <c r="Z681" s="204" t="str">
        <f>CONCATENATE(P681,Q681,R681,S681,V681)</f>
        <v>O23011745032024025508014</v>
      </c>
      <c r="AA681" s="204" t="str">
        <f>IFERROR(VLOOKUP(Y681,TD!$K$47:$L$65,2,0)," ")</f>
        <v>PM/0131/0108/45030140255</v>
      </c>
      <c r="AB681" s="131" t="s">
        <v>102</v>
      </c>
      <c r="AC681" s="207" t="s">
        <v>205</v>
      </c>
    </row>
    <row r="682" spans="2:29" ht="70" x14ac:dyDescent="0.35">
      <c r="B682" s="132">
        <v>20250721</v>
      </c>
      <c r="C682" s="133" t="s">
        <v>346</v>
      </c>
      <c r="D682" s="202" t="s">
        <v>166</v>
      </c>
      <c r="E682" s="205" t="s">
        <v>558</v>
      </c>
      <c r="F682" s="202" t="s">
        <v>928</v>
      </c>
      <c r="G682" s="202" t="s">
        <v>137</v>
      </c>
      <c r="H682" s="134" t="s">
        <v>406</v>
      </c>
      <c r="I682" s="203" t="s">
        <v>406</v>
      </c>
      <c r="J682" s="203" t="s">
        <v>406</v>
      </c>
      <c r="K682" s="135" t="s">
        <v>406</v>
      </c>
      <c r="L682" s="131">
        <v>1732849</v>
      </c>
      <c r="M682" s="202" t="s">
        <v>173</v>
      </c>
      <c r="N682" s="131" t="s">
        <v>128</v>
      </c>
      <c r="O682" s="51" t="s">
        <v>347</v>
      </c>
      <c r="P682" s="204" t="str">
        <f>IFERROR(VLOOKUP(C682,TD!$B$33:$F$37,2,0)," ")</f>
        <v>NA</v>
      </c>
      <c r="Q682" s="204" t="str">
        <f>IFERROR(VLOOKUP(C682,TD!$B$33:$F$37,3,0)," ")</f>
        <v>NA</v>
      </c>
      <c r="R682" s="204" t="str">
        <f>IFERROR(VLOOKUP(C682,TD!$B$33:$F$37,4,0)," ")</f>
        <v>NA</v>
      </c>
      <c r="S682" s="205" t="s">
        <v>406</v>
      </c>
      <c r="T682" s="186" t="str">
        <f>IFERROR(VLOOKUP(S682,TD!$J$34:$K$44,2,0)," ")</f>
        <v>N/A</v>
      </c>
      <c r="U682" s="206" t="str">
        <f>CONCATENATE(S682,"-",T682)</f>
        <v>N/A-N/A</v>
      </c>
      <c r="V682" s="51" t="s">
        <v>406</v>
      </c>
      <c r="W682" s="186" t="str">
        <f>IFERROR(VLOOKUP(V682,TD!$N$34:$O$46,2,0)," ")</f>
        <v>N/A</v>
      </c>
      <c r="X682" s="206" t="str">
        <f>CONCATENATE(V682,"_",W682)</f>
        <v>N/A_N/A</v>
      </c>
      <c r="Y682" s="206" t="str">
        <f>CONCATENATE(U682," ",X682)</f>
        <v>N/A-N/A N/A_N/A</v>
      </c>
      <c r="Z682" s="204" t="str">
        <f>CONCATENATE(P682,Q682,R682,S682,V682)</f>
        <v>NANANAN/AN/A</v>
      </c>
      <c r="AA682" s="204" t="str">
        <f>IFERROR(VLOOKUP(Y682,TD!$K$47:$L$65,2,0)," ")</f>
        <v>N/A</v>
      </c>
      <c r="AB682" s="131" t="s">
        <v>666</v>
      </c>
      <c r="AC682" s="207" t="s">
        <v>205</v>
      </c>
    </row>
    <row r="683" spans="2:29" ht="70" x14ac:dyDescent="0.35">
      <c r="B683" s="137">
        <v>20250722</v>
      </c>
      <c r="C683" s="138" t="s">
        <v>208</v>
      </c>
      <c r="D683" s="208" t="s">
        <v>162</v>
      </c>
      <c r="E683" s="209" t="s">
        <v>355</v>
      </c>
      <c r="F683" s="208" t="s">
        <v>931</v>
      </c>
      <c r="G683" s="208" t="s">
        <v>149</v>
      </c>
      <c r="H683" s="139" t="s">
        <v>933</v>
      </c>
      <c r="I683" s="210">
        <v>6</v>
      </c>
      <c r="J683" s="210">
        <v>12</v>
      </c>
      <c r="K683" s="140">
        <v>0</v>
      </c>
      <c r="L683" s="141">
        <v>187921000</v>
      </c>
      <c r="M683" s="208" t="s">
        <v>464</v>
      </c>
      <c r="N683" s="141" t="s">
        <v>113</v>
      </c>
      <c r="O683" s="190" t="s">
        <v>214</v>
      </c>
      <c r="P683" s="211" t="str">
        <f>IFERROR(VLOOKUP(C683,TD!$B$33:$F$37,2,0)," ")</f>
        <v>O230117</v>
      </c>
      <c r="Q683" s="211" t="str">
        <f>IFERROR(VLOOKUP(C683,TD!$B$33:$F$37,3,0)," ")</f>
        <v>4599</v>
      </c>
      <c r="R683" s="211">
        <f>IFERROR(VLOOKUP(C683,TD!$B$33:$F$37,4,0)," ")</f>
        <v>20240207</v>
      </c>
      <c r="S683" s="209" t="s">
        <v>179</v>
      </c>
      <c r="T683" s="192" t="str">
        <f>IFERROR(VLOOKUP(S683,TD!$J$34:$K$44,2,0)," ")</f>
        <v>Infraestructura Tecnológica   (Sistemas de Información y Tecnologia)</v>
      </c>
      <c r="U683" s="206" t="str">
        <f>CONCATENATE(S683,"-",T683)</f>
        <v>11-Infraestructura Tecnológica   (Sistemas de Información y Tecnologia)</v>
      </c>
      <c r="V683" s="190" t="s">
        <v>239</v>
      </c>
      <c r="W683" s="192" t="str">
        <f>IFERROR(VLOOKUP(V683,TD!$N$34:$O$46,2,0)," ")</f>
        <v>Servicios tecnológicos</v>
      </c>
      <c r="X683" s="206" t="str">
        <f>CONCATENATE(V683,"_",W683)</f>
        <v>007_Servicios tecnológicos</v>
      </c>
      <c r="Y683" s="206" t="str">
        <f>CONCATENATE(U683," ",X683)</f>
        <v>11-Infraestructura Tecnológica   (Sistemas de Información y Tecnologia) 007_Servicios tecnológicos</v>
      </c>
      <c r="Z683" s="211" t="str">
        <f>CONCATENATE(P683,Q683,R683,S683,V683)</f>
        <v>O23011745992024020711007</v>
      </c>
      <c r="AA683" s="211" t="str">
        <f>IFERROR(VLOOKUP(Y683,TD!$K$47:$L$65,2,0)," ")</f>
        <v>PM/0131/0111/45990070207</v>
      </c>
      <c r="AB683" s="141" t="s">
        <v>125</v>
      </c>
      <c r="AC683" s="212" t="s">
        <v>204</v>
      </c>
    </row>
    <row r="684" spans="2:29" ht="98" x14ac:dyDescent="0.35">
      <c r="B684" s="132">
        <v>20250724</v>
      </c>
      <c r="C684" s="133" t="s">
        <v>208</v>
      </c>
      <c r="D684" s="202" t="s">
        <v>162</v>
      </c>
      <c r="E684" s="205" t="s">
        <v>355</v>
      </c>
      <c r="F684" s="202" t="s">
        <v>932</v>
      </c>
      <c r="G684" s="202" t="s">
        <v>137</v>
      </c>
      <c r="H684" s="134">
        <v>80111600</v>
      </c>
      <c r="I684" s="203">
        <v>6</v>
      </c>
      <c r="J684" s="203">
        <v>6</v>
      </c>
      <c r="K684" s="135">
        <v>0</v>
      </c>
      <c r="L684" s="131">
        <v>213334</v>
      </c>
      <c r="M684" s="202" t="s">
        <v>173</v>
      </c>
      <c r="N684" s="131" t="s">
        <v>128</v>
      </c>
      <c r="O684" s="51" t="s">
        <v>217</v>
      </c>
      <c r="P684" s="204" t="str">
        <f>IFERROR(VLOOKUP(C684,TD!$B$33:$F$37,2,0)," ")</f>
        <v>O230117</v>
      </c>
      <c r="Q684" s="204" t="str">
        <f>IFERROR(VLOOKUP(C684,TD!$B$33:$F$37,3,0)," ")</f>
        <v>4599</v>
      </c>
      <c r="R684" s="204">
        <f>IFERROR(VLOOKUP(C684,TD!$B$33:$F$37,4,0)," ")</f>
        <v>20240207</v>
      </c>
      <c r="S684" s="205" t="s">
        <v>179</v>
      </c>
      <c r="T684" s="186" t="str">
        <f>IFERROR(VLOOKUP(S684,TD!$J$34:$K$44,2,0)," ")</f>
        <v>Infraestructura Tecnológica   (Sistemas de Información y Tecnologia)</v>
      </c>
      <c r="U684" s="206" t="str">
        <f>CONCATENATE(S684,"-",T684)</f>
        <v>11-Infraestructura Tecnológica   (Sistemas de Información y Tecnologia)</v>
      </c>
      <c r="V684" s="51" t="s">
        <v>239</v>
      </c>
      <c r="W684" s="186" t="str">
        <f>IFERROR(VLOOKUP(V684,TD!$N$34:$O$46,2,0)," ")</f>
        <v>Servicios tecnológicos</v>
      </c>
      <c r="X684" s="206" t="str">
        <f>CONCATENATE(V684,"_",W684)</f>
        <v>007_Servicios tecnológicos</v>
      </c>
      <c r="Y684" s="206" t="str">
        <f>CONCATENATE(U684," ",X684)</f>
        <v>11-Infraestructura Tecnológica   (Sistemas de Información y Tecnologia) 007_Servicios tecnológicos</v>
      </c>
      <c r="Z684" s="204" t="str">
        <f>CONCATENATE(P684,Q684,R684,S684,V684)</f>
        <v>O23011745992024020711007</v>
      </c>
      <c r="AA684" s="204" t="str">
        <f>IFERROR(VLOOKUP(Y684,TD!$K$47:$L$65,2,0)," ")</f>
        <v>PM/0131/0111/45990070207</v>
      </c>
      <c r="AB684" s="131" t="s">
        <v>138</v>
      </c>
      <c r="AC684" s="207" t="s">
        <v>205</v>
      </c>
    </row>
    <row r="685" spans="2:29" ht="98" x14ac:dyDescent="0.35">
      <c r="B685" s="132">
        <v>20250726</v>
      </c>
      <c r="C685" s="133" t="s">
        <v>208</v>
      </c>
      <c r="D685" s="202" t="s">
        <v>164</v>
      </c>
      <c r="E685" s="205" t="s">
        <v>389</v>
      </c>
      <c r="F685" s="202" t="s">
        <v>936</v>
      </c>
      <c r="G685" s="202" t="s">
        <v>155</v>
      </c>
      <c r="H685" s="134">
        <v>80111600</v>
      </c>
      <c r="I685" s="203">
        <v>6</v>
      </c>
      <c r="J685" s="203">
        <v>1</v>
      </c>
      <c r="K685" s="135">
        <v>0</v>
      </c>
      <c r="L685" s="131">
        <v>7500000</v>
      </c>
      <c r="M685" s="202" t="s">
        <v>464</v>
      </c>
      <c r="N685" s="131" t="s">
        <v>113</v>
      </c>
      <c r="O685" s="51" t="s">
        <v>219</v>
      </c>
      <c r="P685" s="204" t="str">
        <f>IFERROR(VLOOKUP(C685,TD!$B$33:$F$37,2,0)," ")</f>
        <v>O230117</v>
      </c>
      <c r="Q685" s="204" t="str">
        <f>IFERROR(VLOOKUP(C685,TD!$B$33:$F$37,3,0)," ")</f>
        <v>4599</v>
      </c>
      <c r="R685" s="204">
        <f>IFERROR(VLOOKUP(C685,TD!$B$33:$F$37,4,0)," ")</f>
        <v>20240207</v>
      </c>
      <c r="S685" s="205" t="s">
        <v>185</v>
      </c>
      <c r="T685" s="186" t="str">
        <f>IFERROR(VLOOKUP(S685,TD!$J$34:$K$44,2,0)," ")</f>
        <v>Infraestructura física, mantenimiento y dotación (Sedes construidas, mantenidas reforzadas)</v>
      </c>
      <c r="U685" s="206" t="str">
        <f>CONCATENATE(S685,"-",T685)</f>
        <v>08-Infraestructura física, mantenimiento y dotación (Sedes construidas, mantenidas reforzadas)</v>
      </c>
      <c r="V685" s="51" t="s">
        <v>238</v>
      </c>
      <c r="W685" s="186" t="str">
        <f>IFERROR(VLOOKUP(V685,TD!$N$34:$O$46,2,0)," ")</f>
        <v>Sedes mantenidas</v>
      </c>
      <c r="X685" s="206" t="str">
        <f>CONCATENATE(V685,"_",W685)</f>
        <v>016_Sedes mantenidas</v>
      </c>
      <c r="Y685" s="206" t="str">
        <f>CONCATENATE(U685," ",X685)</f>
        <v>08-Infraestructura física, mantenimiento y dotación (Sedes construidas, mantenidas reforzadas) 016_Sedes mantenidas</v>
      </c>
      <c r="Z685" s="204" t="str">
        <f>CONCATENATE(P685,Q685,R685,S685,V685)</f>
        <v>O23011745992024020708016</v>
      </c>
      <c r="AA685" s="204" t="str">
        <f>IFERROR(VLOOKUP(Y685,TD!$K$47:$L$65,2,0)," ")</f>
        <v>PM/0131/0108/45990160207</v>
      </c>
      <c r="AB685" s="131" t="s">
        <v>120</v>
      </c>
      <c r="AC685" s="207" t="s">
        <v>205</v>
      </c>
    </row>
    <row r="686" spans="2:29" ht="112" x14ac:dyDescent="0.35">
      <c r="B686" s="132">
        <v>20250727</v>
      </c>
      <c r="C686" s="133" t="s">
        <v>208</v>
      </c>
      <c r="D686" s="202" t="s">
        <v>164</v>
      </c>
      <c r="E686" s="205" t="s">
        <v>389</v>
      </c>
      <c r="F686" s="202" t="s">
        <v>937</v>
      </c>
      <c r="G686" s="202" t="s">
        <v>155</v>
      </c>
      <c r="H686" s="134">
        <v>80111600</v>
      </c>
      <c r="I686" s="203">
        <v>2</v>
      </c>
      <c r="J686" s="203">
        <v>11</v>
      </c>
      <c r="K686" s="135">
        <v>0</v>
      </c>
      <c r="L686" s="131">
        <v>15000000</v>
      </c>
      <c r="M686" s="202" t="s">
        <v>464</v>
      </c>
      <c r="N686" s="131" t="s">
        <v>113</v>
      </c>
      <c r="O686" s="51" t="s">
        <v>219</v>
      </c>
      <c r="P686" s="204" t="str">
        <f>IFERROR(VLOOKUP(C686,TD!$B$33:$F$37,2,0)," ")</f>
        <v>O230117</v>
      </c>
      <c r="Q686" s="204" t="str">
        <f>IFERROR(VLOOKUP(C686,TD!$B$33:$F$37,3,0)," ")</f>
        <v>4599</v>
      </c>
      <c r="R686" s="204">
        <f>IFERROR(VLOOKUP(C686,TD!$B$33:$F$37,4,0)," ")</f>
        <v>20240207</v>
      </c>
      <c r="S686" s="205" t="s">
        <v>185</v>
      </c>
      <c r="T686" s="186" t="str">
        <f>IFERROR(VLOOKUP(S686,TD!$J$34:$K$44,2,0)," ")</f>
        <v>Infraestructura física, mantenimiento y dotación (Sedes construidas, mantenidas reforzadas)</v>
      </c>
      <c r="U686" s="206" t="str">
        <f>CONCATENATE(S686,"-",T686)</f>
        <v>08-Infraestructura física, mantenimiento y dotación (Sedes construidas, mantenidas reforzadas)</v>
      </c>
      <c r="V686" s="51" t="s">
        <v>238</v>
      </c>
      <c r="W686" s="186" t="str">
        <f>IFERROR(VLOOKUP(V686,TD!$N$34:$O$46,2,0)," ")</f>
        <v>Sedes mantenidas</v>
      </c>
      <c r="X686" s="206" t="str">
        <f>CONCATENATE(V686,"_",W686)</f>
        <v>016_Sedes mantenidas</v>
      </c>
      <c r="Y686" s="206" t="str">
        <f>CONCATENATE(U686," ",X686)</f>
        <v>08-Infraestructura física, mantenimiento y dotación (Sedes construidas, mantenidas reforzadas) 016_Sedes mantenidas</v>
      </c>
      <c r="Z686" s="204" t="str">
        <f>CONCATENATE(P686,Q686,R686,S686,V686)</f>
        <v>O23011745992024020708016</v>
      </c>
      <c r="AA686" s="204" t="str">
        <f>IFERROR(VLOOKUP(Y686,TD!$K$47:$L$65,2,0)," ")</f>
        <v>PM/0131/0108/45990160207</v>
      </c>
      <c r="AB686" s="131" t="s">
        <v>120</v>
      </c>
      <c r="AC686" s="207" t="s">
        <v>205</v>
      </c>
    </row>
    <row r="687" spans="2:29" ht="84" x14ac:dyDescent="0.35">
      <c r="B687" s="132">
        <v>20250728</v>
      </c>
      <c r="C687" s="133" t="s">
        <v>209</v>
      </c>
      <c r="D687" s="202" t="s">
        <v>169</v>
      </c>
      <c r="E687" s="205" t="s">
        <v>465</v>
      </c>
      <c r="F687" s="202" t="s">
        <v>887</v>
      </c>
      <c r="G687" s="202" t="s">
        <v>109</v>
      </c>
      <c r="H687" s="134" t="s">
        <v>939</v>
      </c>
      <c r="I687" s="203">
        <v>6</v>
      </c>
      <c r="J687" s="203">
        <v>6</v>
      </c>
      <c r="K687" s="135">
        <v>0</v>
      </c>
      <c r="L687" s="131">
        <v>5607172370</v>
      </c>
      <c r="M687" s="142" t="s">
        <v>464</v>
      </c>
      <c r="N687" s="131" t="s">
        <v>95</v>
      </c>
      <c r="O687" s="51" t="s">
        <v>222</v>
      </c>
      <c r="P687" s="204" t="str">
        <f>IFERROR(VLOOKUP(C687,TD!$B$33:$F$37,2,0)," ")</f>
        <v>O230117</v>
      </c>
      <c r="Q687" s="204" t="str">
        <f>IFERROR(VLOOKUP(C687,TD!$B$33:$F$37,3,0)," ")</f>
        <v>4503</v>
      </c>
      <c r="R687" s="204">
        <f>IFERROR(VLOOKUP(C687,TD!$B$33:$F$37,4,0)," ")</f>
        <v>20240255</v>
      </c>
      <c r="S687" s="205" t="s">
        <v>175</v>
      </c>
      <c r="T687" s="186" t="str">
        <f>IFERROR(VLOOKUP(S687,TD!$J$34:$K$44,2,0)," ")</f>
        <v>Servicio de atención a incidentes y emergencias.</v>
      </c>
      <c r="U687" s="206" t="str">
        <f>CONCATENATE(S687,"-",T687)</f>
        <v>04-Servicio de atención a incidentes y emergencias.</v>
      </c>
      <c r="V687" s="51" t="s">
        <v>232</v>
      </c>
      <c r="W687" s="186" t="str">
        <f>IFERROR(VLOOKUP(V687,TD!$N$34:$O$46,2,0)," ")</f>
        <v>Servicio de atención a emergencias y desastres</v>
      </c>
      <c r="X687" s="206" t="str">
        <f>CONCATENATE(V687,"_",W687)</f>
        <v>004_Servicio de atención a emergencias y desastres</v>
      </c>
      <c r="Y687" s="206" t="str">
        <f>CONCATENATE(U687," ",X687)</f>
        <v>04-Servicio de atención a incidentes y emergencias. 004_Servicio de atención a emergencias y desastres</v>
      </c>
      <c r="Z687" s="204" t="str">
        <f>CONCATENATE(P687,Q687,R687,S687,V687)</f>
        <v>O23011745032024025504004</v>
      </c>
      <c r="AA687" s="204" t="str">
        <f>IFERROR(VLOOKUP(Y687,TD!$K$47:$L$65,2,0)," ")</f>
        <v>PM/0131/0104/45030040255</v>
      </c>
      <c r="AB687" s="131" t="s">
        <v>97</v>
      </c>
      <c r="AC687" s="207" t="s">
        <v>204</v>
      </c>
    </row>
    <row r="688" spans="2:29" ht="56" x14ac:dyDescent="0.35">
      <c r="B688" s="132">
        <v>20250729</v>
      </c>
      <c r="C688" s="133" t="s">
        <v>209</v>
      </c>
      <c r="D688" s="202" t="s">
        <v>168</v>
      </c>
      <c r="E688" s="205" t="s">
        <v>603</v>
      </c>
      <c r="F688" s="202" t="s">
        <v>941</v>
      </c>
      <c r="G688" s="202" t="s">
        <v>96</v>
      </c>
      <c r="H688" s="134">
        <v>72101509</v>
      </c>
      <c r="I688" s="203">
        <v>6</v>
      </c>
      <c r="J688" s="203">
        <v>2</v>
      </c>
      <c r="K688" s="135">
        <v>0</v>
      </c>
      <c r="L688" s="131">
        <v>30000000</v>
      </c>
      <c r="M688" s="142" t="s">
        <v>464</v>
      </c>
      <c r="N688" s="131" t="s">
        <v>113</v>
      </c>
      <c r="O688" s="51" t="s">
        <v>224</v>
      </c>
      <c r="P688" s="204" t="str">
        <f>IFERROR(VLOOKUP(C688,TD!$B$33:$F$37,2,0)," ")</f>
        <v>O230117</v>
      </c>
      <c r="Q688" s="204" t="str">
        <f>IFERROR(VLOOKUP(C688,TD!$B$33:$F$37,3,0)," ")</f>
        <v>4503</v>
      </c>
      <c r="R688" s="204">
        <f>IFERROR(VLOOKUP(C688,TD!$B$33:$F$37,4,0)," ")</f>
        <v>20240255</v>
      </c>
      <c r="S688" s="205" t="s">
        <v>187</v>
      </c>
      <c r="T688" s="186" t="str">
        <f>IFERROR(VLOOKUP(S688,TD!$J$34:$K$44,2,0)," ")</f>
        <v>Servicio de mantenimiento, dotación (HEA´s y equipo menor) y adquisición de vehiculos   especializados para la atención de emergencias.</v>
      </c>
      <c r="U688" s="206" t="str">
        <f>CONCATENATE(S688,"-",T688)</f>
        <v>09-Servicio de mantenimiento, dotación (HEA´s y equipo menor) y adquisición de vehiculos   especializados para la atención de emergencias.</v>
      </c>
      <c r="V688" s="51" t="s">
        <v>232</v>
      </c>
      <c r="W688" s="186" t="str">
        <f>IFERROR(VLOOKUP(V688,TD!$N$34:$O$46,2,0)," ")</f>
        <v>Servicio de atención a emergencias y desastres</v>
      </c>
      <c r="X688" s="206" t="str">
        <f>CONCATENATE(V688,"_",W688)</f>
        <v>004_Servicio de atención a emergencias y desastres</v>
      </c>
      <c r="Y688" s="206" t="str">
        <f>CONCATENATE(U688," ",X688)</f>
        <v>09-Servicio de mantenimiento, dotación (HEA´s y equipo menor) y adquisición de vehiculos   especializados para la atención de emergencias. 004_Servicio de atención a emergencias y desastres</v>
      </c>
      <c r="Z688" s="204" t="str">
        <f>CONCATENATE(P688,Q688,R688,S688,V688)</f>
        <v>O23011745032024025509004</v>
      </c>
      <c r="AA688" s="204" t="str">
        <f>IFERROR(VLOOKUP(Y688,TD!$K$47:$L$65,2,0)," ")</f>
        <v>PM/0131/0109/45030040255</v>
      </c>
      <c r="AB688" s="131" t="s">
        <v>87</v>
      </c>
      <c r="AC688" s="207" t="s">
        <v>205</v>
      </c>
    </row>
    <row r="689" spans="2:29" ht="70" x14ac:dyDescent="0.35">
      <c r="B689" s="132">
        <v>20250730</v>
      </c>
      <c r="C689" s="133" t="s">
        <v>209</v>
      </c>
      <c r="D689" s="202" t="s">
        <v>168</v>
      </c>
      <c r="E689" s="205" t="s">
        <v>603</v>
      </c>
      <c r="F689" s="202" t="s">
        <v>942</v>
      </c>
      <c r="G689" s="202" t="s">
        <v>119</v>
      </c>
      <c r="H689" s="134" t="s">
        <v>387</v>
      </c>
      <c r="I689" s="203">
        <v>6</v>
      </c>
      <c r="J689" s="203">
        <v>12</v>
      </c>
      <c r="K689" s="135">
        <v>0</v>
      </c>
      <c r="L689" s="131">
        <v>60000000</v>
      </c>
      <c r="M689" s="142" t="s">
        <v>464</v>
      </c>
      <c r="N689" s="131" t="s">
        <v>95</v>
      </c>
      <c r="O689" s="51" t="s">
        <v>224</v>
      </c>
      <c r="P689" s="204" t="str">
        <f>IFERROR(VLOOKUP(C689,TD!$B$33:$F$37,2,0)," ")</f>
        <v>O230117</v>
      </c>
      <c r="Q689" s="204" t="str">
        <f>IFERROR(VLOOKUP(C689,TD!$B$33:$F$37,3,0)," ")</f>
        <v>4503</v>
      </c>
      <c r="R689" s="204">
        <f>IFERROR(VLOOKUP(C689,TD!$B$33:$F$37,4,0)," ")</f>
        <v>20240255</v>
      </c>
      <c r="S689" s="205" t="s">
        <v>191</v>
      </c>
      <c r="T689" s="186" t="str">
        <f>IFERROR(VLOOKUP(S689,TD!$J$34:$K$44,2,0)," ")</f>
        <v>Servicio de apoyo   logístico  en eventos operativos y/o emergencias.</v>
      </c>
      <c r="U689" s="206" t="str">
        <f>CONCATENATE(S689,"-",T689)</f>
        <v>12-Servicio de apoyo   logístico  en eventos operativos y/o emergencias.</v>
      </c>
      <c r="V689" s="51" t="s">
        <v>232</v>
      </c>
      <c r="W689" s="186" t="str">
        <f>IFERROR(VLOOKUP(V689,TD!$N$34:$O$46,2,0)," ")</f>
        <v>Servicio de atención a emergencias y desastres</v>
      </c>
      <c r="X689" s="206" t="str">
        <f>CONCATENATE(V689,"_",W689)</f>
        <v>004_Servicio de atención a emergencias y desastres</v>
      </c>
      <c r="Y689" s="206" t="str">
        <f>CONCATENATE(U689," ",X689)</f>
        <v>12-Servicio de apoyo   logístico  en eventos operativos y/o emergencias. 004_Servicio de atención a emergencias y desastres</v>
      </c>
      <c r="Z689" s="204" t="str">
        <f>CONCATENATE(P689,Q689,R689,S689,V689)</f>
        <v>O23011745032024025512004</v>
      </c>
      <c r="AA689" s="204" t="str">
        <f>IFERROR(VLOOKUP(Y689,TD!$K$47:$L$65,2,0)," ")</f>
        <v>PM/0131/0112/45030040255</v>
      </c>
      <c r="AB689" s="131" t="s">
        <v>110</v>
      </c>
      <c r="AC689" s="207" t="s">
        <v>205</v>
      </c>
    </row>
    <row r="690" spans="2:29" ht="84" x14ac:dyDescent="0.35">
      <c r="B690" s="132">
        <v>20250731</v>
      </c>
      <c r="C690" s="133" t="s">
        <v>208</v>
      </c>
      <c r="D690" s="202" t="s">
        <v>166</v>
      </c>
      <c r="E690" s="205" t="s">
        <v>558</v>
      </c>
      <c r="F690" s="202" t="s">
        <v>559</v>
      </c>
      <c r="G690" s="202" t="s">
        <v>96</v>
      </c>
      <c r="H690" s="134" t="s">
        <v>560</v>
      </c>
      <c r="I690" s="203">
        <v>8</v>
      </c>
      <c r="J690" s="203">
        <v>4</v>
      </c>
      <c r="K690" s="135">
        <v>0</v>
      </c>
      <c r="L690" s="131">
        <v>182025513</v>
      </c>
      <c r="M690" s="142" t="s">
        <v>464</v>
      </c>
      <c r="N690" s="131" t="s">
        <v>123</v>
      </c>
      <c r="O690" s="51" t="s">
        <v>218</v>
      </c>
      <c r="P690" s="204" t="str">
        <f>IFERROR(VLOOKUP(C690,TD!$B$33:$F$37,2,0)," ")</f>
        <v>O230117</v>
      </c>
      <c r="Q690" s="204" t="str">
        <f>IFERROR(VLOOKUP(C690,TD!$B$33:$F$37,3,0)," ")</f>
        <v>4599</v>
      </c>
      <c r="R690" s="204">
        <f>IFERROR(VLOOKUP(C690,TD!$B$33:$F$37,4,0)," ")</f>
        <v>20240207</v>
      </c>
      <c r="S690" s="205" t="s">
        <v>185</v>
      </c>
      <c r="T690" s="186" t="str">
        <f>IFERROR(VLOOKUP(S690,TD!$J$34:$K$44,2,0)," ")</f>
        <v>Infraestructura física, mantenimiento y dotación (Sedes construidas, mantenidas reforzadas)</v>
      </c>
      <c r="U690" s="206" t="str">
        <f>CONCATENATE(S690,"-",T690)</f>
        <v>08-Infraestructura física, mantenimiento y dotación (Sedes construidas, mantenidas reforzadas)</v>
      </c>
      <c r="V690" s="51" t="s">
        <v>238</v>
      </c>
      <c r="W690" s="186" t="str">
        <f>IFERROR(VLOOKUP(V690,TD!$N$34:$O$46,2,0)," ")</f>
        <v>Sedes mantenidas</v>
      </c>
      <c r="X690" s="206" t="str">
        <f>CONCATENATE(V690,"_",W690)</f>
        <v>016_Sedes mantenidas</v>
      </c>
      <c r="Y690" s="206" t="str">
        <f>CONCATENATE(U690," ",X690)</f>
        <v>08-Infraestructura física, mantenimiento y dotación (Sedes construidas, mantenidas reforzadas) 016_Sedes mantenidas</v>
      </c>
      <c r="Z690" s="204" t="str">
        <f>CONCATENATE(P690,Q690,R690,S690,V690)</f>
        <v>O23011745992024020708016</v>
      </c>
      <c r="AA690" s="204" t="str">
        <f>IFERROR(VLOOKUP(Y690,TD!$K$47:$L$65,2,0)," ")</f>
        <v>PM/0131/0108/45990160207</v>
      </c>
      <c r="AB690" s="131" t="s">
        <v>143</v>
      </c>
      <c r="AC690" s="207" t="s">
        <v>204</v>
      </c>
    </row>
    <row r="691" spans="2:29" ht="70" x14ac:dyDescent="0.35">
      <c r="B691" s="132">
        <v>20250732</v>
      </c>
      <c r="C691" s="133" t="s">
        <v>208</v>
      </c>
      <c r="D691" s="202" t="s">
        <v>166</v>
      </c>
      <c r="E691" s="205" t="s">
        <v>558</v>
      </c>
      <c r="F691" s="202" t="s">
        <v>987</v>
      </c>
      <c r="G691" s="202" t="s">
        <v>146</v>
      </c>
      <c r="H691" s="134" t="s">
        <v>946</v>
      </c>
      <c r="I691" s="203">
        <v>7</v>
      </c>
      <c r="J691" s="203">
        <v>1</v>
      </c>
      <c r="K691" s="135">
        <v>17</v>
      </c>
      <c r="L691" s="131">
        <f>155000000+45000000</f>
        <v>200000000</v>
      </c>
      <c r="M691" s="142" t="s">
        <v>464</v>
      </c>
      <c r="N691" s="131" t="s">
        <v>85</v>
      </c>
      <c r="O691" s="51" t="s">
        <v>218</v>
      </c>
      <c r="P691" s="204" t="str">
        <f>IFERROR(VLOOKUP(C691,TD!$B$33:$F$37,2,0)," ")</f>
        <v>O230117</v>
      </c>
      <c r="Q691" s="204" t="str">
        <f>IFERROR(VLOOKUP(C691,TD!$B$33:$F$37,3,0)," ")</f>
        <v>4599</v>
      </c>
      <c r="R691" s="204">
        <f>IFERROR(VLOOKUP(C691,TD!$B$33:$F$37,4,0)," ")</f>
        <v>20240207</v>
      </c>
      <c r="S691" s="205" t="s">
        <v>185</v>
      </c>
      <c r="T691" s="186" t="str">
        <f>IFERROR(VLOOKUP(S691,TD!$J$34:$K$44,2,0)," ")</f>
        <v>Infraestructura física, mantenimiento y dotación (Sedes construidas, mantenidas reforzadas)</v>
      </c>
      <c r="U691" s="206" t="str">
        <f>CONCATENATE(S691,"-",T691)</f>
        <v>08-Infraestructura física, mantenimiento y dotación (Sedes construidas, mantenidas reforzadas)</v>
      </c>
      <c r="V691" s="51" t="s">
        <v>238</v>
      </c>
      <c r="W691" s="186" t="str">
        <f>IFERROR(VLOOKUP(V691,TD!$N$34:$O$46,2,0)," ")</f>
        <v>Sedes mantenidas</v>
      </c>
      <c r="X691" s="206" t="str">
        <f>CONCATENATE(V691,"_",W691)</f>
        <v>016_Sedes mantenidas</v>
      </c>
      <c r="Y691" s="206" t="str">
        <f>CONCATENATE(U691," ",X691)</f>
        <v>08-Infraestructura física, mantenimiento y dotación (Sedes construidas, mantenidas reforzadas) 016_Sedes mantenidas</v>
      </c>
      <c r="Z691" s="204" t="str">
        <f>CONCATENATE(P691,Q691,R691,S691,V691)</f>
        <v>O23011745992024020708016</v>
      </c>
      <c r="AA691" s="204" t="str">
        <f>IFERROR(VLOOKUP(Y691,TD!$K$47:$L$65,2,0)," ")</f>
        <v>PM/0131/0108/45990160207</v>
      </c>
      <c r="AB691" s="53" t="s">
        <v>102</v>
      </c>
      <c r="AC691" s="207" t="s">
        <v>204</v>
      </c>
    </row>
    <row r="692" spans="2:29" ht="56" x14ac:dyDescent="0.35">
      <c r="B692" s="132">
        <v>20250733</v>
      </c>
      <c r="C692" s="133" t="s">
        <v>208</v>
      </c>
      <c r="D692" s="202" t="s">
        <v>166</v>
      </c>
      <c r="E692" s="205" t="s">
        <v>558</v>
      </c>
      <c r="F692" s="202" t="s">
        <v>988</v>
      </c>
      <c r="G692" s="202" t="s">
        <v>140</v>
      </c>
      <c r="H692" s="134" t="s">
        <v>947</v>
      </c>
      <c r="I692" s="203">
        <v>7</v>
      </c>
      <c r="J692" s="203">
        <v>1</v>
      </c>
      <c r="K692" s="135">
        <v>17</v>
      </c>
      <c r="L692" s="131">
        <f>70000000-22920000</f>
        <v>47080000</v>
      </c>
      <c r="M692" s="142" t="s">
        <v>464</v>
      </c>
      <c r="N692" s="131" t="s">
        <v>108</v>
      </c>
      <c r="O692" s="51" t="s">
        <v>218</v>
      </c>
      <c r="P692" s="204" t="str">
        <f>IFERROR(VLOOKUP(C692,TD!$B$33:$F$37,2,0)," ")</f>
        <v>O230117</v>
      </c>
      <c r="Q692" s="204" t="str">
        <f>IFERROR(VLOOKUP(C692,TD!$B$33:$F$37,3,0)," ")</f>
        <v>4599</v>
      </c>
      <c r="R692" s="204">
        <f>IFERROR(VLOOKUP(C692,TD!$B$33:$F$37,4,0)," ")</f>
        <v>20240207</v>
      </c>
      <c r="S692" s="205" t="s">
        <v>185</v>
      </c>
      <c r="T692" s="186" t="str">
        <f>IFERROR(VLOOKUP(S692,TD!$J$34:$K$44,2,0)," ")</f>
        <v>Infraestructura física, mantenimiento y dotación (Sedes construidas, mantenidas reforzadas)</v>
      </c>
      <c r="U692" s="206" t="str">
        <f>CONCATENATE(S692,"-",T692)</f>
        <v>08-Infraestructura física, mantenimiento y dotación (Sedes construidas, mantenidas reforzadas)</v>
      </c>
      <c r="V692" s="51" t="s">
        <v>238</v>
      </c>
      <c r="W692" s="186" t="str">
        <f>IFERROR(VLOOKUP(V692,TD!$N$34:$O$46,2,0)," ")</f>
        <v>Sedes mantenidas</v>
      </c>
      <c r="X692" s="206" t="str">
        <f>CONCATENATE(V692,"_",W692)</f>
        <v>016_Sedes mantenidas</v>
      </c>
      <c r="Y692" s="206" t="str">
        <f>CONCATENATE(U692," ",X692)</f>
        <v>08-Infraestructura física, mantenimiento y dotación (Sedes construidas, mantenidas reforzadas) 016_Sedes mantenidas</v>
      </c>
      <c r="Z692" s="204" t="str">
        <f>CONCATENATE(P692,Q692,R692,S692,V692)</f>
        <v>O23011745992024020708016</v>
      </c>
      <c r="AA692" s="204" t="str">
        <f>IFERROR(VLOOKUP(Y692,TD!$K$47:$L$65,2,0)," ")</f>
        <v>PM/0131/0108/45990160207</v>
      </c>
      <c r="AB692" s="131" t="s">
        <v>102</v>
      </c>
      <c r="AC692" s="207" t="s">
        <v>204</v>
      </c>
    </row>
    <row r="693" spans="2:29" ht="42" x14ac:dyDescent="0.35">
      <c r="B693" s="132">
        <v>20250734</v>
      </c>
      <c r="C693" s="133" t="s">
        <v>346</v>
      </c>
      <c r="D693" s="202" t="s">
        <v>166</v>
      </c>
      <c r="E693" s="205" t="s">
        <v>558</v>
      </c>
      <c r="F693" s="202" t="s">
        <v>559</v>
      </c>
      <c r="G693" s="202" t="s">
        <v>96</v>
      </c>
      <c r="H693" s="134" t="s">
        <v>560</v>
      </c>
      <c r="I693" s="203">
        <v>8</v>
      </c>
      <c r="J693" s="203">
        <v>4</v>
      </c>
      <c r="K693" s="135">
        <v>0</v>
      </c>
      <c r="L693" s="131">
        <v>116520528</v>
      </c>
      <c r="M693" s="142" t="s">
        <v>172</v>
      </c>
      <c r="N693" s="131" t="s">
        <v>123</v>
      </c>
      <c r="O693" s="51" t="s">
        <v>347</v>
      </c>
      <c r="P693" s="204" t="str">
        <f>IFERROR(VLOOKUP(C693,TD!$B$33:$F$37,2,0)," ")</f>
        <v>NA</v>
      </c>
      <c r="Q693" s="204" t="str">
        <f>IFERROR(VLOOKUP(C693,TD!$B$33:$F$37,3,0)," ")</f>
        <v>NA</v>
      </c>
      <c r="R693" s="204" t="str">
        <f>IFERROR(VLOOKUP(C693,TD!$B$33:$F$37,4,0)," ")</f>
        <v>NA</v>
      </c>
      <c r="S693" s="205" t="s">
        <v>406</v>
      </c>
      <c r="T693" s="186" t="str">
        <f>IFERROR(VLOOKUP(S693,TD!$J$34:$K$44,2,0)," ")</f>
        <v>N/A</v>
      </c>
      <c r="U693" s="206" t="str">
        <f>CONCATENATE(S693,"-",T693)</f>
        <v>N/A-N/A</v>
      </c>
      <c r="V693" s="205" t="s">
        <v>406</v>
      </c>
      <c r="W693" s="186" t="str">
        <f>IFERROR(VLOOKUP(V693,TD!$N$34:$O$46,2,0)," ")</f>
        <v>N/A</v>
      </c>
      <c r="X693" s="206" t="str">
        <f>CONCATENATE(V693,"_",W693)</f>
        <v>N/A_N/A</v>
      </c>
      <c r="Y693" s="206" t="str">
        <f>CONCATENATE(U693," ",X693)</f>
        <v>N/A-N/A N/A_N/A</v>
      </c>
      <c r="Z693" s="204" t="str">
        <f>CONCATENATE(P693,Q693,R693,S693,V693)</f>
        <v>NANANAN/AN/A</v>
      </c>
      <c r="AA693" s="204" t="str">
        <f>IFERROR(VLOOKUP(Y693,TD!$K$47:$L$65,2,0)," ")</f>
        <v>N/A</v>
      </c>
      <c r="AB693" s="131" t="s">
        <v>348</v>
      </c>
      <c r="AC693" s="207" t="s">
        <v>204</v>
      </c>
    </row>
    <row r="694" spans="2:29" ht="56" x14ac:dyDescent="0.35">
      <c r="B694" s="132">
        <v>20250735</v>
      </c>
      <c r="C694" s="133" t="s">
        <v>346</v>
      </c>
      <c r="D694" s="202" t="s">
        <v>166</v>
      </c>
      <c r="E694" s="205" t="s">
        <v>558</v>
      </c>
      <c r="F694" s="202" t="s">
        <v>559</v>
      </c>
      <c r="G694" s="202" t="s">
        <v>96</v>
      </c>
      <c r="H694" s="134" t="s">
        <v>560</v>
      </c>
      <c r="I694" s="203">
        <v>8</v>
      </c>
      <c r="J694" s="203">
        <v>4</v>
      </c>
      <c r="K694" s="135">
        <v>0</v>
      </c>
      <c r="L694" s="131">
        <v>166486111</v>
      </c>
      <c r="M694" s="142" t="s">
        <v>172</v>
      </c>
      <c r="N694" s="131" t="s">
        <v>123</v>
      </c>
      <c r="O694" s="51" t="s">
        <v>347</v>
      </c>
      <c r="P694" s="204" t="str">
        <f>IFERROR(VLOOKUP(C694,TD!$B$33:$F$37,2,0)," ")</f>
        <v>NA</v>
      </c>
      <c r="Q694" s="204" t="str">
        <f>IFERROR(VLOOKUP(C694,TD!$B$33:$F$37,3,0)," ")</f>
        <v>NA</v>
      </c>
      <c r="R694" s="204" t="str">
        <f>IFERROR(VLOOKUP(C694,TD!$B$33:$F$37,4,0)," ")</f>
        <v>NA</v>
      </c>
      <c r="S694" s="205" t="s">
        <v>406</v>
      </c>
      <c r="T694" s="186" t="str">
        <f>IFERROR(VLOOKUP(S694,TD!$J$34:$K$44,2,0)," ")</f>
        <v>N/A</v>
      </c>
      <c r="U694" s="206" t="str">
        <f>CONCATENATE(S694,"-",T694)</f>
        <v>N/A-N/A</v>
      </c>
      <c r="V694" s="205" t="s">
        <v>406</v>
      </c>
      <c r="W694" s="186" t="str">
        <f>IFERROR(VLOOKUP(V694,TD!$N$34:$O$46,2,0)," ")</f>
        <v>N/A</v>
      </c>
      <c r="X694" s="206" t="str">
        <f>CONCATENATE(V694,"_",W694)</f>
        <v>N/A_N/A</v>
      </c>
      <c r="Y694" s="206" t="str">
        <f>CONCATENATE(U694," ",X694)</f>
        <v>N/A-N/A N/A_N/A</v>
      </c>
      <c r="Z694" s="204" t="str">
        <f>CONCATENATE(P694,Q694,R694,S694,V694)</f>
        <v>NANANAN/AN/A</v>
      </c>
      <c r="AA694" s="204" t="str">
        <f>IFERROR(VLOOKUP(Y694,TD!$K$47:$L$65,2,0)," ")</f>
        <v>N/A</v>
      </c>
      <c r="AB694" s="131" t="s">
        <v>348</v>
      </c>
      <c r="AC694" s="207" t="s">
        <v>204</v>
      </c>
    </row>
    <row r="695" spans="2:29" ht="70" x14ac:dyDescent="0.35">
      <c r="B695" s="132">
        <v>20250736</v>
      </c>
      <c r="C695" s="133" t="s">
        <v>208</v>
      </c>
      <c r="D695" s="202" t="s">
        <v>166</v>
      </c>
      <c r="E695" s="205" t="s">
        <v>558</v>
      </c>
      <c r="F695" s="202" t="s">
        <v>952</v>
      </c>
      <c r="G695" s="202" t="s">
        <v>155</v>
      </c>
      <c r="H695" s="134" t="s">
        <v>609</v>
      </c>
      <c r="I695" s="203">
        <v>2</v>
      </c>
      <c r="J695" s="203">
        <v>6</v>
      </c>
      <c r="K695" s="135">
        <v>0</v>
      </c>
      <c r="L695" s="131">
        <v>42000000</v>
      </c>
      <c r="M695" s="142" t="s">
        <v>464</v>
      </c>
      <c r="N695" s="131" t="s">
        <v>113</v>
      </c>
      <c r="O695" s="51" t="s">
        <v>219</v>
      </c>
      <c r="P695" s="204" t="str">
        <f>IFERROR(VLOOKUP(C695,TD!$B$33:$F$37,2,0)," ")</f>
        <v>O230117</v>
      </c>
      <c r="Q695" s="204" t="str">
        <f>IFERROR(VLOOKUP(C695,TD!$B$33:$F$37,3,0)," ")</f>
        <v>4599</v>
      </c>
      <c r="R695" s="204">
        <f>IFERROR(VLOOKUP(C695,TD!$B$33:$F$37,4,0)," ")</f>
        <v>20240207</v>
      </c>
      <c r="S695" s="205" t="s">
        <v>185</v>
      </c>
      <c r="T695" s="186" t="str">
        <f>IFERROR(VLOOKUP(S695,TD!$J$34:$K$44,2,0)," ")</f>
        <v>Infraestructura física, mantenimiento y dotación (Sedes construidas, mantenidas reforzadas)</v>
      </c>
      <c r="U695" s="206" t="str">
        <f>CONCATENATE(S695,"-",T695)</f>
        <v>08-Infraestructura física, mantenimiento y dotación (Sedes construidas, mantenidas reforzadas)</v>
      </c>
      <c r="V695" s="205" t="s">
        <v>238</v>
      </c>
      <c r="W695" s="186" t="str">
        <f>IFERROR(VLOOKUP(V695,TD!$N$34:$O$46,2,0)," ")</f>
        <v>Sedes mantenidas</v>
      </c>
      <c r="X695" s="206" t="str">
        <f>CONCATENATE(V695,"_",W695)</f>
        <v>016_Sedes mantenidas</v>
      </c>
      <c r="Y695" s="206" t="str">
        <f>CONCATENATE(U695," ",X695)</f>
        <v>08-Infraestructura física, mantenimiento y dotación (Sedes construidas, mantenidas reforzadas) 016_Sedes mantenidas</v>
      </c>
      <c r="Z695" s="204" t="str">
        <f>CONCATENATE(P695,Q695,R695,S695,V695)</f>
        <v>O23011745992024020708016</v>
      </c>
      <c r="AA695" s="204" t="str">
        <f>IFERROR(VLOOKUP(Y695,TD!$K$47:$L$65,2,0)," ")</f>
        <v>PM/0131/0108/45990160207</v>
      </c>
      <c r="AB695" s="131" t="s">
        <v>138</v>
      </c>
      <c r="AC695" s="207" t="s">
        <v>204</v>
      </c>
    </row>
    <row r="696" spans="2:29" ht="70" x14ac:dyDescent="0.35">
      <c r="B696" s="132">
        <v>20250737</v>
      </c>
      <c r="C696" s="133" t="s">
        <v>346</v>
      </c>
      <c r="D696" s="202" t="s">
        <v>166</v>
      </c>
      <c r="E696" s="205" t="s">
        <v>558</v>
      </c>
      <c r="F696" s="202" t="s">
        <v>953</v>
      </c>
      <c r="G696" s="202" t="s">
        <v>157</v>
      </c>
      <c r="H696" s="134" t="s">
        <v>729</v>
      </c>
      <c r="I696" s="203">
        <v>4</v>
      </c>
      <c r="J696" s="203">
        <v>8</v>
      </c>
      <c r="K696" s="135">
        <v>0</v>
      </c>
      <c r="L696" s="131">
        <v>20500000</v>
      </c>
      <c r="M696" s="142" t="s">
        <v>172</v>
      </c>
      <c r="N696" s="131" t="s">
        <v>113</v>
      </c>
      <c r="O696" s="51" t="s">
        <v>347</v>
      </c>
      <c r="P696" s="204" t="str">
        <f>IFERROR(VLOOKUP(C696,TD!$B$33:$F$37,2,0)," ")</f>
        <v>NA</v>
      </c>
      <c r="Q696" s="204" t="str">
        <f>IFERROR(VLOOKUP(C696,TD!$B$33:$F$37,3,0)," ")</f>
        <v>NA</v>
      </c>
      <c r="R696" s="204" t="str">
        <f>IFERROR(VLOOKUP(C696,TD!$B$33:$F$37,4,0)," ")</f>
        <v>NA</v>
      </c>
      <c r="S696" s="205" t="s">
        <v>406</v>
      </c>
      <c r="T696" s="186" t="str">
        <f>IFERROR(VLOOKUP(S696,TD!$J$34:$K$44,2,0)," ")</f>
        <v>N/A</v>
      </c>
      <c r="U696" s="206" t="str">
        <f>CONCATENATE(S696,"-",T696)</f>
        <v>N/A-N/A</v>
      </c>
      <c r="V696" s="205" t="s">
        <v>406</v>
      </c>
      <c r="W696" s="186" t="str">
        <f>IFERROR(VLOOKUP(V696,TD!$N$34:$O$46,2,0)," ")</f>
        <v>N/A</v>
      </c>
      <c r="X696" s="206" t="str">
        <f>CONCATENATE(V696,"_",W696)</f>
        <v>N/A_N/A</v>
      </c>
      <c r="Y696" s="206" t="str">
        <f>CONCATENATE(U696," ",X696)</f>
        <v>N/A-N/A N/A_N/A</v>
      </c>
      <c r="Z696" s="204" t="str">
        <f>CONCATENATE(P696,Q696,R696,S696,V696)</f>
        <v>NANANAN/AN/A</v>
      </c>
      <c r="AA696" s="204" t="str">
        <f>IFERROR(VLOOKUP(Y696,TD!$K$47:$L$65,2,0)," ")</f>
        <v>N/A</v>
      </c>
      <c r="AB696" s="131" t="s">
        <v>348</v>
      </c>
      <c r="AC696" s="207" t="s">
        <v>204</v>
      </c>
    </row>
    <row r="697" spans="2:29" ht="84" x14ac:dyDescent="0.35">
      <c r="B697" s="132">
        <v>20250738</v>
      </c>
      <c r="C697" s="133" t="s">
        <v>346</v>
      </c>
      <c r="D697" s="202" t="s">
        <v>166</v>
      </c>
      <c r="E697" s="205" t="s">
        <v>558</v>
      </c>
      <c r="F697" s="202" t="s">
        <v>636</v>
      </c>
      <c r="G697" s="202" t="s">
        <v>157</v>
      </c>
      <c r="H697" s="134" t="s">
        <v>729</v>
      </c>
      <c r="I697" s="203">
        <v>3</v>
      </c>
      <c r="J697" s="203">
        <v>8</v>
      </c>
      <c r="K697" s="135">
        <v>0</v>
      </c>
      <c r="L697" s="131">
        <v>8714800</v>
      </c>
      <c r="M697" s="142" t="s">
        <v>172</v>
      </c>
      <c r="N697" s="131" t="s">
        <v>113</v>
      </c>
      <c r="O697" s="51" t="s">
        <v>347</v>
      </c>
      <c r="P697" s="204" t="str">
        <f>IFERROR(VLOOKUP(C697,TD!$B$33:$F$37,2,0)," ")</f>
        <v>NA</v>
      </c>
      <c r="Q697" s="204" t="str">
        <f>IFERROR(VLOOKUP(C697,TD!$B$33:$F$37,3,0)," ")</f>
        <v>NA</v>
      </c>
      <c r="R697" s="204" t="str">
        <f>IFERROR(VLOOKUP(C697,TD!$B$33:$F$37,4,0)," ")</f>
        <v>NA</v>
      </c>
      <c r="S697" s="205" t="s">
        <v>406</v>
      </c>
      <c r="T697" s="186" t="str">
        <f>IFERROR(VLOOKUP(S697,TD!$J$34:$K$44,2,0)," ")</f>
        <v>N/A</v>
      </c>
      <c r="U697" s="206" t="str">
        <f>CONCATENATE(S697,"-",T697)</f>
        <v>N/A-N/A</v>
      </c>
      <c r="V697" s="205" t="s">
        <v>406</v>
      </c>
      <c r="W697" s="186" t="str">
        <f>IFERROR(VLOOKUP(V697,TD!$N$34:$O$46,2,0)," ")</f>
        <v>N/A</v>
      </c>
      <c r="X697" s="206" t="str">
        <f>CONCATENATE(V697,"_",W697)</f>
        <v>N/A_N/A</v>
      </c>
      <c r="Y697" s="206" t="str">
        <f>CONCATENATE(U697," ",X697)</f>
        <v>N/A-N/A N/A_N/A</v>
      </c>
      <c r="Z697" s="204" t="str">
        <f>CONCATENATE(P697,Q697,R697,S697,V697)</f>
        <v>NANANAN/AN/A</v>
      </c>
      <c r="AA697" s="204" t="str">
        <f>IFERROR(VLOOKUP(Y697,TD!$K$47:$L$65,2,0)," ")</f>
        <v>N/A</v>
      </c>
      <c r="AB697" s="131" t="s">
        <v>348</v>
      </c>
      <c r="AC697" s="207" t="s">
        <v>204</v>
      </c>
    </row>
    <row r="698" spans="2:29" ht="140" x14ac:dyDescent="0.35">
      <c r="B698" s="77">
        <v>20250739</v>
      </c>
      <c r="C698" s="50" t="s">
        <v>346</v>
      </c>
      <c r="D698" s="184" t="s">
        <v>166</v>
      </c>
      <c r="E698" s="51" t="s">
        <v>558</v>
      </c>
      <c r="F698" s="184" t="s">
        <v>954</v>
      </c>
      <c r="G698" s="184" t="s">
        <v>137</v>
      </c>
      <c r="H698" s="93" t="s">
        <v>406</v>
      </c>
      <c r="I698" s="185" t="s">
        <v>406</v>
      </c>
      <c r="J698" s="185" t="s">
        <v>406</v>
      </c>
      <c r="K698" s="52" t="s">
        <v>406</v>
      </c>
      <c r="L698" s="53">
        <v>737336</v>
      </c>
      <c r="M698" s="142" t="s">
        <v>173</v>
      </c>
      <c r="N698" s="131" t="s">
        <v>128</v>
      </c>
      <c r="O698" s="51" t="s">
        <v>347</v>
      </c>
      <c r="P698" s="186" t="str">
        <f>IFERROR(VLOOKUP(C698,TD!$B$33:$F$37,2,0)," ")</f>
        <v>NA</v>
      </c>
      <c r="Q698" s="186" t="str">
        <f>IFERROR(VLOOKUP(C698,TD!$B$33:$F$37,3,0)," ")</f>
        <v>NA</v>
      </c>
      <c r="R698" s="186" t="str">
        <f>IFERROR(VLOOKUP(C698,TD!$B$33:$F$37,4,0)," ")</f>
        <v>NA</v>
      </c>
      <c r="S698" s="205" t="s">
        <v>406</v>
      </c>
      <c r="T698" s="186" t="str">
        <f>IFERROR(VLOOKUP(S698,TD!$J$34:$K$44,2,0)," ")</f>
        <v>N/A</v>
      </c>
      <c r="U698" s="187" t="str">
        <f>CONCATENATE(S698,"-",T698)</f>
        <v>N/A-N/A</v>
      </c>
      <c r="V698" s="205" t="s">
        <v>406</v>
      </c>
      <c r="W698" s="186" t="str">
        <f>IFERROR(VLOOKUP(V698,TD!$N$34:$O$46,2,0)," ")</f>
        <v>N/A</v>
      </c>
      <c r="X698" s="187" t="str">
        <f>CONCATENATE(V698,"_",W698)</f>
        <v>N/A_N/A</v>
      </c>
      <c r="Y698" s="187" t="str">
        <f>CONCATENATE(U698," ",X698)</f>
        <v>N/A-N/A N/A_N/A</v>
      </c>
      <c r="Z698" s="186" t="str">
        <f>CONCATENATE(P698,Q698,R698,S698,V698)</f>
        <v>NANANAN/AN/A</v>
      </c>
      <c r="AA698" s="186" t="str">
        <f>IFERROR(VLOOKUP(Y698,TD!$K$47:$L$65,2,0)," ")</f>
        <v>N/A</v>
      </c>
      <c r="AB698" s="53" t="s">
        <v>348</v>
      </c>
      <c r="AC698" s="188" t="s">
        <v>205</v>
      </c>
    </row>
    <row r="699" spans="2:29" ht="112" x14ac:dyDescent="0.35">
      <c r="B699" s="77">
        <v>20250740</v>
      </c>
      <c r="C699" s="50" t="s">
        <v>346</v>
      </c>
      <c r="D699" s="184" t="s">
        <v>166</v>
      </c>
      <c r="E699" s="51" t="s">
        <v>558</v>
      </c>
      <c r="F699" s="184" t="s">
        <v>955</v>
      </c>
      <c r="G699" s="184" t="s">
        <v>137</v>
      </c>
      <c r="H699" s="93" t="s">
        <v>406</v>
      </c>
      <c r="I699" s="185" t="s">
        <v>406</v>
      </c>
      <c r="J699" s="185" t="s">
        <v>406</v>
      </c>
      <c r="K699" s="52" t="s">
        <v>406</v>
      </c>
      <c r="L699" s="53">
        <v>1830230</v>
      </c>
      <c r="M699" s="142" t="s">
        <v>173</v>
      </c>
      <c r="N699" s="131" t="s">
        <v>128</v>
      </c>
      <c r="O699" s="51" t="s">
        <v>347</v>
      </c>
      <c r="P699" s="186" t="str">
        <f>IFERROR(VLOOKUP(C699,TD!$B$33:$F$37,2,0)," ")</f>
        <v>NA</v>
      </c>
      <c r="Q699" s="186" t="str">
        <f>IFERROR(VLOOKUP(C699,TD!$B$33:$F$37,3,0)," ")</f>
        <v>NA</v>
      </c>
      <c r="R699" s="186" t="str">
        <f>IFERROR(VLOOKUP(C699,TD!$B$33:$F$37,4,0)," ")</f>
        <v>NA</v>
      </c>
      <c r="S699" s="205" t="s">
        <v>406</v>
      </c>
      <c r="T699" s="186" t="str">
        <f>IFERROR(VLOOKUP(S699,TD!$J$34:$K$44,2,0)," ")</f>
        <v>N/A</v>
      </c>
      <c r="U699" s="187" t="str">
        <f>CONCATENATE(S699,"-",T699)</f>
        <v>N/A-N/A</v>
      </c>
      <c r="V699" s="205" t="s">
        <v>406</v>
      </c>
      <c r="W699" s="186" t="str">
        <f>IFERROR(VLOOKUP(V699,TD!$N$34:$O$46,2,0)," ")</f>
        <v>N/A</v>
      </c>
      <c r="X699" s="187" t="str">
        <f>CONCATENATE(V699,"_",W699)</f>
        <v>N/A_N/A</v>
      </c>
      <c r="Y699" s="187" t="str">
        <f>CONCATENATE(U699," ",X699)</f>
        <v>N/A-N/A N/A_N/A</v>
      </c>
      <c r="Z699" s="186" t="str">
        <f>CONCATENATE(P699,Q699,R699,S699,V699)</f>
        <v>NANANAN/AN/A</v>
      </c>
      <c r="AA699" s="186" t="str">
        <f>IFERROR(VLOOKUP(Y699,TD!$K$47:$L$65,2,0)," ")</f>
        <v>N/A</v>
      </c>
      <c r="AB699" s="53" t="s">
        <v>348</v>
      </c>
      <c r="AC699" s="188" t="s">
        <v>205</v>
      </c>
    </row>
    <row r="700" spans="2:29" ht="56" x14ac:dyDescent="0.35">
      <c r="B700" s="77">
        <v>20250741</v>
      </c>
      <c r="C700" s="50" t="s">
        <v>346</v>
      </c>
      <c r="D700" s="184" t="s">
        <v>166</v>
      </c>
      <c r="E700" s="51" t="s">
        <v>558</v>
      </c>
      <c r="F700" s="184" t="s">
        <v>956</v>
      </c>
      <c r="G700" s="184" t="s">
        <v>137</v>
      </c>
      <c r="H700" s="93" t="s">
        <v>406</v>
      </c>
      <c r="I700" s="185" t="s">
        <v>406</v>
      </c>
      <c r="J700" s="185" t="s">
        <v>406</v>
      </c>
      <c r="K700" s="52" t="s">
        <v>406</v>
      </c>
      <c r="L700" s="53">
        <v>855310</v>
      </c>
      <c r="M700" s="142" t="s">
        <v>173</v>
      </c>
      <c r="N700" s="131" t="s">
        <v>128</v>
      </c>
      <c r="O700" s="51" t="s">
        <v>347</v>
      </c>
      <c r="P700" s="186" t="str">
        <f>IFERROR(VLOOKUP(C700,TD!$B$33:$F$37,2,0)," ")</f>
        <v>NA</v>
      </c>
      <c r="Q700" s="186" t="str">
        <f>IFERROR(VLOOKUP(C700,TD!$B$33:$F$37,3,0)," ")</f>
        <v>NA</v>
      </c>
      <c r="R700" s="186" t="str">
        <f>IFERROR(VLOOKUP(C700,TD!$B$33:$F$37,4,0)," ")</f>
        <v>NA</v>
      </c>
      <c r="S700" s="205" t="s">
        <v>406</v>
      </c>
      <c r="T700" s="186" t="str">
        <f>IFERROR(VLOOKUP(S700,TD!$J$34:$K$44,2,0)," ")</f>
        <v>N/A</v>
      </c>
      <c r="U700" s="187" t="str">
        <f>CONCATENATE(S700,"-",T700)</f>
        <v>N/A-N/A</v>
      </c>
      <c r="V700" s="205" t="s">
        <v>406</v>
      </c>
      <c r="W700" s="186" t="str">
        <f>IFERROR(VLOOKUP(V700,TD!$N$34:$O$46,2,0)," ")</f>
        <v>N/A</v>
      </c>
      <c r="X700" s="187" t="str">
        <f>CONCATENATE(V700,"_",W700)</f>
        <v>N/A_N/A</v>
      </c>
      <c r="Y700" s="187" t="str">
        <f>CONCATENATE(U700," ",X700)</f>
        <v>N/A-N/A N/A_N/A</v>
      </c>
      <c r="Z700" s="186" t="str">
        <f>CONCATENATE(P700,Q700,R700,S700,V700)</f>
        <v>NANANAN/AN/A</v>
      </c>
      <c r="AA700" s="186" t="str">
        <f>IFERROR(VLOOKUP(Y700,TD!$K$47:$L$65,2,0)," ")</f>
        <v>N/A</v>
      </c>
      <c r="AB700" s="53" t="s">
        <v>348</v>
      </c>
      <c r="AC700" s="188" t="s">
        <v>205</v>
      </c>
    </row>
    <row r="701" spans="2:29" ht="126" x14ac:dyDescent="0.35">
      <c r="B701" s="324">
        <v>20250742</v>
      </c>
      <c r="C701" s="322" t="s">
        <v>209</v>
      </c>
      <c r="D701" s="330" t="s">
        <v>167</v>
      </c>
      <c r="E701" s="334" t="s">
        <v>505</v>
      </c>
      <c r="F701" s="330" t="s">
        <v>372</v>
      </c>
      <c r="G701" s="330" t="s">
        <v>156</v>
      </c>
      <c r="H701" s="337">
        <v>80111600</v>
      </c>
      <c r="I701" s="340">
        <v>10</v>
      </c>
      <c r="J701" s="340">
        <v>2</v>
      </c>
      <c r="K701" s="343">
        <v>0</v>
      </c>
      <c r="L701" s="346">
        <v>8000000</v>
      </c>
      <c r="M701" s="350" t="s">
        <v>464</v>
      </c>
      <c r="N701" s="346" t="s">
        <v>113</v>
      </c>
      <c r="O701" s="51" t="s">
        <v>225</v>
      </c>
      <c r="P701" s="356" t="str">
        <f>IFERROR(VLOOKUP(C701,TD!$B$33:$F$37,2,0)," ")</f>
        <v>O230117</v>
      </c>
      <c r="Q701" s="356" t="str">
        <f>IFERROR(VLOOKUP(C701,TD!$B$33:$F$37,3,0)," ")</f>
        <v>4503</v>
      </c>
      <c r="R701" s="356">
        <f>IFERROR(VLOOKUP(C701,TD!$B$33:$F$37,4,0)," ")</f>
        <v>20240255</v>
      </c>
      <c r="S701" s="51" t="s">
        <v>181</v>
      </c>
      <c r="T701" s="186" t="str">
        <f>IFERROR(VLOOKUP(S701,TD!$J$34:$K$44,2,0)," ")</f>
        <v>Servicio de inspecciones técnicas realizadas</v>
      </c>
      <c r="U701" s="187" t="str">
        <f>CONCATENATE(S701,"-",T701)</f>
        <v>06-Servicio de inspecciones técnicas realizadas</v>
      </c>
      <c r="V701" s="205" t="s">
        <v>234</v>
      </c>
      <c r="W701" s="186" t="str">
        <f>IFERROR(VLOOKUP(V701,TD!$N$34:$O$46,2,0)," ")</f>
        <v>Servicio prevención y control de incendios</v>
      </c>
      <c r="X701" s="187" t="str">
        <f>CONCATENATE(V701,"_",W701)</f>
        <v>035_Servicio prevención y control de incendios</v>
      </c>
      <c r="Y701" s="187" t="str">
        <f>CONCATENATE(U701," ",X701)</f>
        <v>06-Servicio de inspecciones técnicas realizadas 035_Servicio prevención y control de incendios</v>
      </c>
      <c r="Z701" s="356" t="str">
        <f>CONCATENATE(P701,Q701,R701,S701,V701)</f>
        <v>O23011745032024025506035</v>
      </c>
      <c r="AA701" s="356" t="str">
        <f>IFERROR(VLOOKUP(Y701,TD!$K$47:$L$65,2,0)," ")</f>
        <v>PM/0131/0106/45030350255</v>
      </c>
      <c r="AB701" s="53" t="s">
        <v>138</v>
      </c>
      <c r="AC701" s="334" t="s">
        <v>204</v>
      </c>
    </row>
    <row r="702" spans="2:29" ht="70" x14ac:dyDescent="0.35">
      <c r="B702" s="129">
        <v>20250743</v>
      </c>
      <c r="C702" s="129" t="s">
        <v>209</v>
      </c>
      <c r="D702" s="189" t="s">
        <v>167</v>
      </c>
      <c r="E702" s="190" t="s">
        <v>505</v>
      </c>
      <c r="F702" s="189" t="s">
        <v>1125</v>
      </c>
      <c r="G702" s="189" t="s">
        <v>155</v>
      </c>
      <c r="H702" s="130">
        <v>80111600</v>
      </c>
      <c r="I702" s="191">
        <v>9</v>
      </c>
      <c r="J702" s="191">
        <v>4</v>
      </c>
      <c r="K702" s="126">
        <v>0</v>
      </c>
      <c r="L702" s="125">
        <v>21000000</v>
      </c>
      <c r="M702" s="159" t="s">
        <v>464</v>
      </c>
      <c r="N702" s="125" t="s">
        <v>113</v>
      </c>
      <c r="O702" s="190" t="s">
        <v>221</v>
      </c>
      <c r="P702" s="192" t="str">
        <f>IFERROR(VLOOKUP(C702,TD!$B$33:$F$37,2,0)," ")</f>
        <v>O230117</v>
      </c>
      <c r="Q702" s="192" t="str">
        <f>IFERROR(VLOOKUP(C702,TD!$B$33:$F$37,3,0)," ")</f>
        <v>4503</v>
      </c>
      <c r="R702" s="192">
        <f>IFERROR(VLOOKUP(C702,TD!$B$33:$F$37,4,0)," ")</f>
        <v>20240255</v>
      </c>
      <c r="S702" s="190" t="s">
        <v>177</v>
      </c>
      <c r="T702" s="192" t="str">
        <f>IFERROR(VLOOKUP(S702,TD!$J$34:$K$44,2,0)," ")</f>
        <v>Servicio de capacitaciones en gestión del riesgo de incendios  a la ciudadania.</v>
      </c>
      <c r="U702" s="187" t="str">
        <f>CONCATENATE(S702,"-",T702)</f>
        <v>05-Servicio de capacitaciones en gestión del riesgo de incendios  a la ciudadania.</v>
      </c>
      <c r="V702" s="190" t="s">
        <v>233</v>
      </c>
      <c r="W702" s="192" t="str">
        <f>IFERROR(VLOOKUP(V702,TD!$N$34:$O$46,2,0)," ")</f>
        <v>Servicio de educación informal</v>
      </c>
      <c r="X702" s="187" t="str">
        <f>CONCATENATE(V702,"_",W702)</f>
        <v>002_Servicio de educación informal</v>
      </c>
      <c r="Y702" s="187" t="str">
        <f>CONCATENATE(U702," ",X702)</f>
        <v>05-Servicio de capacitaciones en gestión del riesgo de incendios  a la ciudadania. 002_Servicio de educación informal</v>
      </c>
      <c r="Z702" s="192" t="str">
        <f>CONCATENATE(P702,Q702,R702,S702,V702)</f>
        <v>O23011745032024025505002</v>
      </c>
      <c r="AA702" s="192" t="str">
        <f>IFERROR(VLOOKUP(Y702,TD!$K$47:$L$65,2,0)," ")</f>
        <v>PM/0131/0105/45030020255</v>
      </c>
      <c r="AB702" s="125" t="s">
        <v>138</v>
      </c>
      <c r="AC702" s="190" t="s">
        <v>204</v>
      </c>
    </row>
    <row r="703" spans="2:29" ht="56" x14ac:dyDescent="0.35">
      <c r="B703" s="322">
        <v>20250744</v>
      </c>
      <c r="C703" s="322" t="s">
        <v>209</v>
      </c>
      <c r="D703" s="330" t="s">
        <v>167</v>
      </c>
      <c r="E703" s="334" t="s">
        <v>505</v>
      </c>
      <c r="F703" s="330" t="s">
        <v>516</v>
      </c>
      <c r="G703" s="330" t="s">
        <v>155</v>
      </c>
      <c r="H703" s="337">
        <v>80111600</v>
      </c>
      <c r="I703" s="340">
        <v>7</v>
      </c>
      <c r="J703" s="340">
        <v>6</v>
      </c>
      <c r="K703" s="343">
        <v>0</v>
      </c>
      <c r="L703" s="346">
        <v>30000000</v>
      </c>
      <c r="M703" s="350" t="s">
        <v>464</v>
      </c>
      <c r="N703" s="346" t="s">
        <v>113</v>
      </c>
      <c r="O703" s="51" t="s">
        <v>225</v>
      </c>
      <c r="P703" s="356" t="str">
        <f>IFERROR(VLOOKUP(C703,TD!$B$33:$F$37,2,0)," ")</f>
        <v>O230117</v>
      </c>
      <c r="Q703" s="356" t="str">
        <f>IFERROR(VLOOKUP(C703,TD!$B$33:$F$37,3,0)," ")</f>
        <v>4503</v>
      </c>
      <c r="R703" s="356">
        <f>IFERROR(VLOOKUP(C703,TD!$B$33:$F$37,4,0)," ")</f>
        <v>20240255</v>
      </c>
      <c r="S703" s="51" t="s">
        <v>179</v>
      </c>
      <c r="T703" s="186" t="str">
        <f>IFERROR(VLOOKUP(S703,TD!$J$34:$K$44,2,0)," ")</f>
        <v>Infraestructura Tecnológica   (Sistemas de Información y Tecnologia)</v>
      </c>
      <c r="U703" s="187" t="str">
        <f>CONCATENATE(S703,"-",T703)</f>
        <v>11-Infraestructura Tecnológica   (Sistemas de Información y Tecnologia)</v>
      </c>
      <c r="V703" s="51" t="s">
        <v>235</v>
      </c>
      <c r="W703" s="186" t="str">
        <f>IFERROR(VLOOKUP(V703,TD!$N$34:$O$46,2,0)," ")</f>
        <v>"Servicio de monitoreo y seguimiento para la gestión del riesgo"</v>
      </c>
      <c r="X703" s="187" t="str">
        <f>CONCATENATE(V703,"_",W703)</f>
        <v>018_"Servicio de monitoreo y seguimiento para la gestión del riesgo"</v>
      </c>
      <c r="Y703" s="187" t="str">
        <f>CONCATENATE(U703," ",X703)</f>
        <v>11-Infraestructura Tecnológica   (Sistemas de Información y Tecnologia) 018_"Servicio de monitoreo y seguimiento para la gestión del riesgo"</v>
      </c>
      <c r="Z703" s="356" t="str">
        <f>CONCATENATE(P703,Q703,R703,S703,V703)</f>
        <v>O23011745032024025511018</v>
      </c>
      <c r="AA703" s="356" t="str">
        <f>IFERROR(VLOOKUP(Y703,TD!$K$47:$L$65,2,0)," ")</f>
        <v>PM/0131/0111/45030180255</v>
      </c>
      <c r="AB703" s="53" t="s">
        <v>138</v>
      </c>
      <c r="AC703" s="334" t="s">
        <v>204</v>
      </c>
    </row>
    <row r="704" spans="2:29" ht="56" x14ac:dyDescent="0.35">
      <c r="B704" s="322">
        <v>20250745</v>
      </c>
      <c r="C704" s="322" t="s">
        <v>209</v>
      </c>
      <c r="D704" s="330" t="s">
        <v>167</v>
      </c>
      <c r="E704" s="334" t="s">
        <v>505</v>
      </c>
      <c r="F704" s="184" t="s">
        <v>510</v>
      </c>
      <c r="G704" s="330" t="s">
        <v>155</v>
      </c>
      <c r="H704" s="337">
        <v>80111600</v>
      </c>
      <c r="I704" s="340">
        <v>8</v>
      </c>
      <c r="J704" s="340">
        <v>5</v>
      </c>
      <c r="K704" s="343">
        <v>0</v>
      </c>
      <c r="L704" s="346">
        <v>24000000</v>
      </c>
      <c r="M704" s="350" t="s">
        <v>464</v>
      </c>
      <c r="N704" s="346" t="s">
        <v>113</v>
      </c>
      <c r="O704" s="51" t="s">
        <v>221</v>
      </c>
      <c r="P704" s="356" t="str">
        <f>IFERROR(VLOOKUP(C704,TD!$B$33:$F$37,2,0)," ")</f>
        <v>O230117</v>
      </c>
      <c r="Q704" s="356" t="str">
        <f>IFERROR(VLOOKUP(C704,TD!$B$33:$F$37,3,0)," ")</f>
        <v>4503</v>
      </c>
      <c r="R704" s="356">
        <f>IFERROR(VLOOKUP(C704,TD!$B$33:$F$37,4,0)," ")</f>
        <v>20240255</v>
      </c>
      <c r="S704" s="51" t="s">
        <v>177</v>
      </c>
      <c r="T704" s="186" t="str">
        <f>IFERROR(VLOOKUP(S704,TD!$J$34:$K$44,2,0)," ")</f>
        <v>Servicio de capacitaciones en gestión del riesgo de incendios  a la ciudadania.</v>
      </c>
      <c r="U704" s="187" t="str">
        <f>CONCATENATE(S704,"-",T704)</f>
        <v>05-Servicio de capacitaciones en gestión del riesgo de incendios  a la ciudadania.</v>
      </c>
      <c r="V704" s="205" t="s">
        <v>233</v>
      </c>
      <c r="W704" s="186" t="str">
        <f>IFERROR(VLOOKUP(V704,TD!$N$34:$O$46,2,0)," ")</f>
        <v>Servicio de educación informal</v>
      </c>
      <c r="X704" s="187" t="str">
        <f>CONCATENATE(V704,"_",W704)</f>
        <v>002_Servicio de educación informal</v>
      </c>
      <c r="Y704" s="187" t="str">
        <f>CONCATENATE(U704," ",X704)</f>
        <v>05-Servicio de capacitaciones en gestión del riesgo de incendios  a la ciudadania. 002_Servicio de educación informal</v>
      </c>
      <c r="Z704" s="356" t="str">
        <f>CONCATENATE(P704,Q704,R704,S704,V704)</f>
        <v>O23011745032024025505002</v>
      </c>
      <c r="AA704" s="356" t="str">
        <f>IFERROR(VLOOKUP(Y704,TD!$K$47:$L$65,2,0)," ")</f>
        <v>PM/0131/0105/45030020255</v>
      </c>
      <c r="AB704" s="53" t="s">
        <v>120</v>
      </c>
      <c r="AC704" s="334" t="s">
        <v>204</v>
      </c>
    </row>
    <row r="705" spans="2:29" ht="98" x14ac:dyDescent="0.35">
      <c r="B705" s="50">
        <v>20250746</v>
      </c>
      <c r="C705" s="322" t="s">
        <v>209</v>
      </c>
      <c r="D705" s="330" t="s">
        <v>167</v>
      </c>
      <c r="E705" s="334" t="s">
        <v>505</v>
      </c>
      <c r="F705" s="330" t="s">
        <v>515</v>
      </c>
      <c r="G705" s="330" t="s">
        <v>155</v>
      </c>
      <c r="H705" s="337">
        <v>80111600</v>
      </c>
      <c r="I705" s="340">
        <v>6</v>
      </c>
      <c r="J705" s="340">
        <v>6</v>
      </c>
      <c r="K705" s="343">
        <v>0</v>
      </c>
      <c r="L705" s="346">
        <v>54000000</v>
      </c>
      <c r="M705" s="350" t="s">
        <v>464</v>
      </c>
      <c r="N705" s="346" t="s">
        <v>113</v>
      </c>
      <c r="O705" s="51" t="s">
        <v>225</v>
      </c>
      <c r="P705" s="356" t="str">
        <f>IFERROR(VLOOKUP(C705,TD!$B$33:$F$37,2,0)," ")</f>
        <v>O230117</v>
      </c>
      <c r="Q705" s="356" t="str">
        <f>IFERROR(VLOOKUP(C705,TD!$B$33:$F$37,3,0)," ")</f>
        <v>4503</v>
      </c>
      <c r="R705" s="356">
        <f>IFERROR(VLOOKUP(C705,TD!$B$33:$F$37,4,0)," ")</f>
        <v>20240255</v>
      </c>
      <c r="S705" s="51" t="s">
        <v>179</v>
      </c>
      <c r="T705" s="186" t="str">
        <f>IFERROR(VLOOKUP(S705,TD!$J$34:$K$44,2,0)," ")</f>
        <v>Infraestructura Tecnológica   (Sistemas de Información y Tecnologia)</v>
      </c>
      <c r="U705" s="187" t="str">
        <f>CONCATENATE(S705,"-",T705)</f>
        <v>11-Infraestructura Tecnológica   (Sistemas de Información y Tecnologia)</v>
      </c>
      <c r="V705" s="51" t="s">
        <v>235</v>
      </c>
      <c r="W705" s="186" t="str">
        <f>IFERROR(VLOOKUP(V705,TD!$N$34:$O$46,2,0)," ")</f>
        <v>"Servicio de monitoreo y seguimiento para la gestión del riesgo"</v>
      </c>
      <c r="X705" s="187" t="str">
        <f>CONCATENATE(V705,"_",W705)</f>
        <v>018_"Servicio de monitoreo y seguimiento para la gestión del riesgo"</v>
      </c>
      <c r="Y705" s="187" t="str">
        <f>CONCATENATE(U705," ",X705)</f>
        <v>11-Infraestructura Tecnológica   (Sistemas de Información y Tecnologia) 018_"Servicio de monitoreo y seguimiento para la gestión del riesgo"</v>
      </c>
      <c r="Z705" s="356" t="str">
        <f>CONCATENATE(P705,Q705,R705,S705,V705)</f>
        <v>O23011745032024025511018</v>
      </c>
      <c r="AA705" s="356" t="str">
        <f>IFERROR(VLOOKUP(Y705,TD!$K$47:$L$65,2,0)," ")</f>
        <v>PM/0131/0111/45030180255</v>
      </c>
      <c r="AB705" s="53" t="s">
        <v>138</v>
      </c>
      <c r="AC705" s="334" t="s">
        <v>204</v>
      </c>
    </row>
    <row r="706" spans="2:29" ht="98" x14ac:dyDescent="0.35">
      <c r="B706" s="50">
        <v>20250747</v>
      </c>
      <c r="C706" s="322" t="s">
        <v>209</v>
      </c>
      <c r="D706" s="330" t="s">
        <v>167</v>
      </c>
      <c r="E706" s="334" t="s">
        <v>505</v>
      </c>
      <c r="F706" s="184" t="s">
        <v>372</v>
      </c>
      <c r="G706" s="330" t="s">
        <v>156</v>
      </c>
      <c r="H706" s="337">
        <v>80111600</v>
      </c>
      <c r="I706" s="340">
        <v>10</v>
      </c>
      <c r="J706" s="340">
        <v>2</v>
      </c>
      <c r="K706" s="343">
        <v>0</v>
      </c>
      <c r="L706" s="346">
        <v>8000000</v>
      </c>
      <c r="M706" s="350" t="s">
        <v>464</v>
      </c>
      <c r="N706" s="346" t="s">
        <v>113</v>
      </c>
      <c r="O706" s="51" t="s">
        <v>221</v>
      </c>
      <c r="P706" s="356" t="str">
        <f>IFERROR(VLOOKUP(C706,TD!$B$33:$F$37,2,0)," ")</f>
        <v>O230117</v>
      </c>
      <c r="Q706" s="356" t="str">
        <f>IFERROR(VLOOKUP(C706,TD!$B$33:$F$37,3,0)," ")</f>
        <v>4503</v>
      </c>
      <c r="R706" s="356">
        <f>IFERROR(VLOOKUP(C706,TD!$B$33:$F$37,4,0)," ")</f>
        <v>20240255</v>
      </c>
      <c r="S706" s="51" t="s">
        <v>181</v>
      </c>
      <c r="T706" s="186" t="str">
        <f>IFERROR(VLOOKUP(S706,TD!$J$34:$K$44,2,0)," ")</f>
        <v>Servicio de inspecciones técnicas realizadas</v>
      </c>
      <c r="U706" s="187" t="str">
        <f>CONCATENATE(S706,"-",T706)</f>
        <v>06-Servicio de inspecciones técnicas realizadas</v>
      </c>
      <c r="V706" s="51" t="s">
        <v>234</v>
      </c>
      <c r="W706" s="186" t="str">
        <f>IFERROR(VLOOKUP(V706,TD!$N$34:$O$46,2,0)," ")</f>
        <v>Servicio prevención y control de incendios</v>
      </c>
      <c r="X706" s="187" t="str">
        <f>CONCATENATE(V706,"_",W706)</f>
        <v>035_Servicio prevención y control de incendios</v>
      </c>
      <c r="Y706" s="187" t="str">
        <f>CONCATENATE(U706," ",X706)</f>
        <v>06-Servicio de inspecciones técnicas realizadas 035_Servicio prevención y control de incendios</v>
      </c>
      <c r="Z706" s="356" t="str">
        <f>CONCATENATE(P706,Q706,R706,S706,V706)</f>
        <v>O23011745032024025506035</v>
      </c>
      <c r="AA706" s="356" t="str">
        <f>IFERROR(VLOOKUP(Y706,TD!$K$47:$L$65,2,0)," ")</f>
        <v>PM/0131/0106/45030350255</v>
      </c>
      <c r="AB706" s="53" t="s">
        <v>138</v>
      </c>
      <c r="AC706" s="334" t="s">
        <v>204</v>
      </c>
    </row>
    <row r="707" spans="2:29" ht="112" x14ac:dyDescent="0.35">
      <c r="B707" s="129">
        <v>20250749</v>
      </c>
      <c r="C707" s="129" t="s">
        <v>208</v>
      </c>
      <c r="D707" s="189" t="s">
        <v>162</v>
      </c>
      <c r="E707" s="190" t="s">
        <v>355</v>
      </c>
      <c r="F707" s="189" t="s">
        <v>408</v>
      </c>
      <c r="G707" s="189" t="s">
        <v>155</v>
      </c>
      <c r="H707" s="130">
        <v>80111600</v>
      </c>
      <c r="I707" s="191">
        <v>2</v>
      </c>
      <c r="J707" s="191">
        <v>11</v>
      </c>
      <c r="K707" s="126">
        <v>0</v>
      </c>
      <c r="L707" s="125">
        <v>37250000</v>
      </c>
      <c r="M707" s="159" t="s">
        <v>464</v>
      </c>
      <c r="N707" s="125" t="s">
        <v>113</v>
      </c>
      <c r="O707" s="190" t="s">
        <v>214</v>
      </c>
      <c r="P707" s="192" t="str">
        <f>IFERROR(VLOOKUP(C707,TD!$B$33:$F$37,2,0)," ")</f>
        <v>O230117</v>
      </c>
      <c r="Q707" s="192" t="str">
        <f>IFERROR(VLOOKUP(C707,TD!$B$33:$F$37,3,0)," ")</f>
        <v>4599</v>
      </c>
      <c r="R707" s="192">
        <f>IFERROR(VLOOKUP(C707,TD!$B$33:$F$37,4,0)," ")</f>
        <v>20240207</v>
      </c>
      <c r="S707" s="190" t="s">
        <v>179</v>
      </c>
      <c r="T707" s="192" t="str">
        <f>IFERROR(VLOOKUP(S707,TD!$J$34:$K$44,2,0)," ")</f>
        <v>Infraestructura Tecnológica   (Sistemas de Información y Tecnologia)</v>
      </c>
      <c r="U707" s="187" t="str">
        <f>CONCATENATE(S707,"-",T707)</f>
        <v>11-Infraestructura Tecnológica   (Sistemas de Información y Tecnologia)</v>
      </c>
      <c r="V707" s="190" t="s">
        <v>239</v>
      </c>
      <c r="W707" s="192" t="str">
        <f>IFERROR(VLOOKUP(V707,TD!$N$34:$O$46,2,0)," ")</f>
        <v>Servicios tecnológicos</v>
      </c>
      <c r="X707" s="187" t="str">
        <f>CONCATENATE(V707,"_",W707)</f>
        <v>007_Servicios tecnológicos</v>
      </c>
      <c r="Y707" s="187" t="str">
        <f>CONCATENATE(U707," ",X707)</f>
        <v>11-Infraestructura Tecnológica   (Sistemas de Información y Tecnologia) 007_Servicios tecnológicos</v>
      </c>
      <c r="Z707" s="192" t="str">
        <f>CONCATENATE(P707,Q707,R707,S707,V707)</f>
        <v>O23011745992024020711007</v>
      </c>
      <c r="AA707" s="192" t="str">
        <f>IFERROR(VLOOKUP(Y707,TD!$K$47:$L$65,2,0)," ")</f>
        <v>PM/0131/0111/45990070207</v>
      </c>
      <c r="AB707" s="125" t="s">
        <v>138</v>
      </c>
      <c r="AC707" s="190" t="s">
        <v>204</v>
      </c>
    </row>
    <row r="708" spans="2:29" ht="70" x14ac:dyDescent="0.35">
      <c r="B708" s="129">
        <v>20250750</v>
      </c>
      <c r="C708" s="129" t="s">
        <v>208</v>
      </c>
      <c r="D708" s="189" t="s">
        <v>162</v>
      </c>
      <c r="E708" s="190" t="s">
        <v>355</v>
      </c>
      <c r="F708" s="189" t="s">
        <v>793</v>
      </c>
      <c r="G708" s="189" t="s">
        <v>155</v>
      </c>
      <c r="H708" s="130">
        <v>80111600</v>
      </c>
      <c r="I708" s="191">
        <v>2</v>
      </c>
      <c r="J708" s="191">
        <v>11</v>
      </c>
      <c r="K708" s="126">
        <v>0</v>
      </c>
      <c r="L708" s="125">
        <v>47500000</v>
      </c>
      <c r="M708" s="159" t="s">
        <v>464</v>
      </c>
      <c r="N708" s="125" t="s">
        <v>113</v>
      </c>
      <c r="O708" s="190" t="s">
        <v>215</v>
      </c>
      <c r="P708" s="192" t="str">
        <f>IFERROR(VLOOKUP(C708,TD!$B$33:$F$37,2,0)," ")</f>
        <v>O230117</v>
      </c>
      <c r="Q708" s="192" t="str">
        <f>IFERROR(VLOOKUP(C708,TD!$B$33:$F$37,3,0)," ")</f>
        <v>4599</v>
      </c>
      <c r="R708" s="192">
        <f>IFERROR(VLOOKUP(C708,TD!$B$33:$F$37,4,0)," ")</f>
        <v>20240207</v>
      </c>
      <c r="S708" s="190" t="s">
        <v>179</v>
      </c>
      <c r="T708" s="192" t="str">
        <f>IFERROR(VLOOKUP(S708,TD!$J$34:$K$44,2,0)," ")</f>
        <v>Infraestructura Tecnológica   (Sistemas de Información y Tecnologia)</v>
      </c>
      <c r="U708" s="187" t="str">
        <f>CONCATENATE(S708,"-",T708)</f>
        <v>11-Infraestructura Tecnológica   (Sistemas de Información y Tecnologia)</v>
      </c>
      <c r="V708" s="190" t="s">
        <v>239</v>
      </c>
      <c r="W708" s="192" t="str">
        <f>IFERROR(VLOOKUP(V708,TD!$N$34:$O$46,2,0)," ")</f>
        <v>Servicios tecnológicos</v>
      </c>
      <c r="X708" s="187" t="str">
        <f>CONCATENATE(V708,"_",W708)</f>
        <v>007_Servicios tecnológicos</v>
      </c>
      <c r="Y708" s="187" t="str">
        <f>CONCATENATE(U708," ",X708)</f>
        <v>11-Infraestructura Tecnológica   (Sistemas de Información y Tecnologia) 007_Servicios tecnológicos</v>
      </c>
      <c r="Z708" s="192" t="str">
        <f>CONCATENATE(P708,Q708,R708,S708,V708)</f>
        <v>O23011745992024020711007</v>
      </c>
      <c r="AA708" s="192" t="str">
        <f>IFERROR(VLOOKUP(Y708,TD!$K$47:$L$65,2,0)," ")</f>
        <v>PM/0131/0111/45990070207</v>
      </c>
      <c r="AB708" s="125" t="s">
        <v>120</v>
      </c>
      <c r="AC708" s="190" t="s">
        <v>204</v>
      </c>
    </row>
    <row r="709" spans="2:29" ht="98" x14ac:dyDescent="0.35">
      <c r="B709" s="129">
        <v>20250751</v>
      </c>
      <c r="C709" s="129" t="s">
        <v>208</v>
      </c>
      <c r="D709" s="189" t="s">
        <v>162</v>
      </c>
      <c r="E709" s="190" t="s">
        <v>355</v>
      </c>
      <c r="F709" s="189" t="s">
        <v>409</v>
      </c>
      <c r="G709" s="189" t="s">
        <v>155</v>
      </c>
      <c r="H709" s="130">
        <v>80111600</v>
      </c>
      <c r="I709" s="191">
        <v>2</v>
      </c>
      <c r="J709" s="191">
        <v>11</v>
      </c>
      <c r="K709" s="126">
        <v>0</v>
      </c>
      <c r="L709" s="125">
        <v>33672000</v>
      </c>
      <c r="M709" s="159" t="s">
        <v>464</v>
      </c>
      <c r="N709" s="125" t="s">
        <v>113</v>
      </c>
      <c r="O709" s="190" t="s">
        <v>215</v>
      </c>
      <c r="P709" s="192" t="str">
        <f>IFERROR(VLOOKUP(C709,TD!$B$33:$F$37,2,0)," ")</f>
        <v>O230117</v>
      </c>
      <c r="Q709" s="192" t="str">
        <f>IFERROR(VLOOKUP(C709,TD!$B$33:$F$37,3,0)," ")</f>
        <v>4599</v>
      </c>
      <c r="R709" s="192">
        <f>IFERROR(VLOOKUP(C709,TD!$B$33:$F$37,4,0)," ")</f>
        <v>20240207</v>
      </c>
      <c r="S709" s="190" t="s">
        <v>179</v>
      </c>
      <c r="T709" s="192" t="str">
        <f>IFERROR(VLOOKUP(S709,TD!$J$34:$K$44,2,0)," ")</f>
        <v>Infraestructura Tecnológica   (Sistemas de Información y Tecnologia)</v>
      </c>
      <c r="U709" s="187" t="str">
        <f>CONCATENATE(S709,"-",T709)</f>
        <v>11-Infraestructura Tecnológica   (Sistemas de Información y Tecnologia)</v>
      </c>
      <c r="V709" s="190" t="s">
        <v>239</v>
      </c>
      <c r="W709" s="192" t="str">
        <f>IFERROR(VLOOKUP(V709,TD!$N$34:$O$46,2,0)," ")</f>
        <v>Servicios tecnológicos</v>
      </c>
      <c r="X709" s="187" t="str">
        <f>CONCATENATE(V709,"_",W709)</f>
        <v>007_Servicios tecnológicos</v>
      </c>
      <c r="Y709" s="187" t="str">
        <f>CONCATENATE(U709," ",X709)</f>
        <v>11-Infraestructura Tecnológica   (Sistemas de Información y Tecnologia) 007_Servicios tecnológicos</v>
      </c>
      <c r="Z709" s="192" t="str">
        <f>CONCATENATE(P709,Q709,R709,S709,V709)</f>
        <v>O23011745992024020711007</v>
      </c>
      <c r="AA709" s="192" t="str">
        <f>IFERROR(VLOOKUP(Y709,TD!$K$47:$L$65,2,0)," ")</f>
        <v>PM/0131/0111/45990070207</v>
      </c>
      <c r="AB709" s="125" t="s">
        <v>138</v>
      </c>
      <c r="AC709" s="190" t="s">
        <v>204</v>
      </c>
    </row>
    <row r="710" spans="2:29" ht="98" x14ac:dyDescent="0.35">
      <c r="B710" s="129">
        <v>20250752</v>
      </c>
      <c r="C710" s="129" t="s">
        <v>208</v>
      </c>
      <c r="D710" s="189" t="s">
        <v>162</v>
      </c>
      <c r="E710" s="190" t="s">
        <v>355</v>
      </c>
      <c r="F710" s="189" t="s">
        <v>772</v>
      </c>
      <c r="G710" s="189" t="s">
        <v>155</v>
      </c>
      <c r="H710" s="130">
        <v>80111600</v>
      </c>
      <c r="I710" s="191">
        <v>2</v>
      </c>
      <c r="J710" s="191">
        <v>11</v>
      </c>
      <c r="K710" s="126">
        <v>0</v>
      </c>
      <c r="L710" s="125">
        <v>39780000</v>
      </c>
      <c r="M710" s="159" t="s">
        <v>464</v>
      </c>
      <c r="N710" s="125" t="s">
        <v>113</v>
      </c>
      <c r="O710" s="190" t="s">
        <v>215</v>
      </c>
      <c r="P710" s="192" t="str">
        <f>IFERROR(VLOOKUP(C710,TD!$B$33:$F$37,2,0)," ")</f>
        <v>O230117</v>
      </c>
      <c r="Q710" s="192" t="str">
        <f>IFERROR(VLOOKUP(C710,TD!$B$33:$F$37,3,0)," ")</f>
        <v>4599</v>
      </c>
      <c r="R710" s="192">
        <f>IFERROR(VLOOKUP(C710,TD!$B$33:$F$37,4,0)," ")</f>
        <v>20240207</v>
      </c>
      <c r="S710" s="190" t="s">
        <v>179</v>
      </c>
      <c r="T710" s="192" t="str">
        <f>IFERROR(VLOOKUP(S710,TD!$J$34:$K$44,2,0)," ")</f>
        <v>Infraestructura Tecnológica   (Sistemas de Información y Tecnologia)</v>
      </c>
      <c r="U710" s="187" t="str">
        <f>CONCATENATE(S710,"-",T710)</f>
        <v>11-Infraestructura Tecnológica   (Sistemas de Información y Tecnologia)</v>
      </c>
      <c r="V710" s="190" t="s">
        <v>239</v>
      </c>
      <c r="W710" s="192" t="str">
        <f>IFERROR(VLOOKUP(V710,TD!$N$34:$O$46,2,0)," ")</f>
        <v>Servicios tecnológicos</v>
      </c>
      <c r="X710" s="187" t="str">
        <f>CONCATENATE(V710,"_",W710)</f>
        <v>007_Servicios tecnológicos</v>
      </c>
      <c r="Y710" s="187" t="str">
        <f>CONCATENATE(U710," ",X710)</f>
        <v>11-Infraestructura Tecnológica   (Sistemas de Información y Tecnologia) 007_Servicios tecnológicos</v>
      </c>
      <c r="Z710" s="192" t="str">
        <f>CONCATENATE(P710,Q710,R710,S710,V710)</f>
        <v>O23011745992024020711007</v>
      </c>
      <c r="AA710" s="192" t="str">
        <f>IFERROR(VLOOKUP(Y710,TD!$K$47:$L$65,2,0)," ")</f>
        <v>PM/0131/0111/45990070207</v>
      </c>
      <c r="AB710" s="125" t="s">
        <v>120</v>
      </c>
      <c r="AC710" s="190" t="s">
        <v>204</v>
      </c>
    </row>
    <row r="711" spans="2:29" ht="98" x14ac:dyDescent="0.35">
      <c r="B711" s="129">
        <v>20250753</v>
      </c>
      <c r="C711" s="129" t="s">
        <v>208</v>
      </c>
      <c r="D711" s="189" t="s">
        <v>162</v>
      </c>
      <c r="E711" s="190" t="s">
        <v>355</v>
      </c>
      <c r="F711" s="189" t="s">
        <v>775</v>
      </c>
      <c r="G711" s="189" t="s">
        <v>155</v>
      </c>
      <c r="H711" s="130">
        <v>80111600</v>
      </c>
      <c r="I711" s="191">
        <v>2</v>
      </c>
      <c r="J711" s="191">
        <v>11</v>
      </c>
      <c r="K711" s="126">
        <v>0</v>
      </c>
      <c r="L711" s="125">
        <v>22350000</v>
      </c>
      <c r="M711" s="159" t="s">
        <v>464</v>
      </c>
      <c r="N711" s="125" t="s">
        <v>113</v>
      </c>
      <c r="O711" s="190" t="s">
        <v>214</v>
      </c>
      <c r="P711" s="192" t="str">
        <f>IFERROR(VLOOKUP(C711,TD!$B$33:$F$37,2,0)," ")</f>
        <v>O230117</v>
      </c>
      <c r="Q711" s="192" t="str">
        <f>IFERROR(VLOOKUP(C711,TD!$B$33:$F$37,3,0)," ")</f>
        <v>4599</v>
      </c>
      <c r="R711" s="192">
        <f>IFERROR(VLOOKUP(C711,TD!$B$33:$F$37,4,0)," ")</f>
        <v>20240207</v>
      </c>
      <c r="S711" s="190" t="s">
        <v>179</v>
      </c>
      <c r="T711" s="192" t="str">
        <f>IFERROR(VLOOKUP(S711,TD!$J$34:$K$44,2,0)," ")</f>
        <v>Infraestructura Tecnológica   (Sistemas de Información y Tecnologia)</v>
      </c>
      <c r="U711" s="187" t="str">
        <f>CONCATENATE(S711,"-",T711)</f>
        <v>11-Infraestructura Tecnológica   (Sistemas de Información y Tecnologia)</v>
      </c>
      <c r="V711" s="190" t="s">
        <v>239</v>
      </c>
      <c r="W711" s="192" t="str">
        <f>IFERROR(VLOOKUP(V711,TD!$N$34:$O$46,2,0)," ")</f>
        <v>Servicios tecnológicos</v>
      </c>
      <c r="X711" s="187" t="str">
        <f>CONCATENATE(V711,"_",W711)</f>
        <v>007_Servicios tecnológicos</v>
      </c>
      <c r="Y711" s="187" t="str">
        <f>CONCATENATE(U711," ",X711)</f>
        <v>11-Infraestructura Tecnológica   (Sistemas de Información y Tecnologia) 007_Servicios tecnológicos</v>
      </c>
      <c r="Z711" s="192" t="str">
        <f>CONCATENATE(P711,Q711,R711,S711,V711)</f>
        <v>O23011745992024020711007</v>
      </c>
      <c r="AA711" s="192" t="str">
        <f>IFERROR(VLOOKUP(Y711,TD!$K$47:$L$65,2,0)," ")</f>
        <v>PM/0131/0111/45990070207</v>
      </c>
      <c r="AB711" s="125" t="s">
        <v>138</v>
      </c>
      <c r="AC711" s="190" t="s">
        <v>204</v>
      </c>
    </row>
    <row r="712" spans="2:29" ht="70" x14ac:dyDescent="0.35">
      <c r="B712" s="129">
        <v>20250754</v>
      </c>
      <c r="C712" s="129" t="s">
        <v>208</v>
      </c>
      <c r="D712" s="189" t="s">
        <v>162</v>
      </c>
      <c r="E712" s="190" t="s">
        <v>355</v>
      </c>
      <c r="F712" s="189" t="s">
        <v>794</v>
      </c>
      <c r="G712" s="189" t="s">
        <v>155</v>
      </c>
      <c r="H712" s="130">
        <v>80111600</v>
      </c>
      <c r="I712" s="191">
        <v>2</v>
      </c>
      <c r="J712" s="191">
        <v>11</v>
      </c>
      <c r="K712" s="126">
        <v>0</v>
      </c>
      <c r="L712" s="125">
        <v>32500000</v>
      </c>
      <c r="M712" s="159" t="s">
        <v>464</v>
      </c>
      <c r="N712" s="125" t="s">
        <v>113</v>
      </c>
      <c r="O712" s="190" t="s">
        <v>215</v>
      </c>
      <c r="P712" s="192" t="str">
        <f>IFERROR(VLOOKUP(C712,TD!$B$33:$F$37,2,0)," ")</f>
        <v>O230117</v>
      </c>
      <c r="Q712" s="192" t="str">
        <f>IFERROR(VLOOKUP(C712,TD!$B$33:$F$37,3,0)," ")</f>
        <v>4599</v>
      </c>
      <c r="R712" s="192">
        <f>IFERROR(VLOOKUP(C712,TD!$B$33:$F$37,4,0)," ")</f>
        <v>20240207</v>
      </c>
      <c r="S712" s="190" t="s">
        <v>179</v>
      </c>
      <c r="T712" s="192" t="str">
        <f>IFERROR(VLOOKUP(S712,TD!$J$34:$K$44,2,0)," ")</f>
        <v>Infraestructura Tecnológica   (Sistemas de Información y Tecnologia)</v>
      </c>
      <c r="U712" s="187" t="str">
        <f>CONCATENATE(S712,"-",T712)</f>
        <v>11-Infraestructura Tecnológica   (Sistemas de Información y Tecnologia)</v>
      </c>
      <c r="V712" s="190" t="s">
        <v>239</v>
      </c>
      <c r="W712" s="192" t="str">
        <f>IFERROR(VLOOKUP(V712,TD!$N$34:$O$46,2,0)," ")</f>
        <v>Servicios tecnológicos</v>
      </c>
      <c r="X712" s="187" t="str">
        <f>CONCATENATE(V712,"_",W712)</f>
        <v>007_Servicios tecnológicos</v>
      </c>
      <c r="Y712" s="187" t="str">
        <f>CONCATENATE(U712," ",X712)</f>
        <v>11-Infraestructura Tecnológica   (Sistemas de Información y Tecnologia) 007_Servicios tecnológicos</v>
      </c>
      <c r="Z712" s="192" t="str">
        <f>CONCATENATE(P712,Q712,R712,S712,V712)</f>
        <v>O23011745992024020711007</v>
      </c>
      <c r="AA712" s="192" t="str">
        <f>IFERROR(VLOOKUP(Y712,TD!$K$47:$L$65,2,0)," ")</f>
        <v>PM/0131/0111/45990070207</v>
      </c>
      <c r="AB712" s="125" t="s">
        <v>120</v>
      </c>
      <c r="AC712" s="190" t="s">
        <v>204</v>
      </c>
    </row>
    <row r="713" spans="2:29" ht="70" x14ac:dyDescent="0.35">
      <c r="B713" s="129">
        <v>20250755</v>
      </c>
      <c r="C713" s="129" t="s">
        <v>208</v>
      </c>
      <c r="D713" s="189" t="s">
        <v>162</v>
      </c>
      <c r="E713" s="190" t="s">
        <v>355</v>
      </c>
      <c r="F713" s="189" t="s">
        <v>777</v>
      </c>
      <c r="G713" s="189" t="s">
        <v>155</v>
      </c>
      <c r="H713" s="130">
        <v>80111600</v>
      </c>
      <c r="I713" s="191">
        <v>2</v>
      </c>
      <c r="J713" s="191">
        <v>11</v>
      </c>
      <c r="K713" s="126">
        <v>0</v>
      </c>
      <c r="L713" s="125">
        <v>37001667</v>
      </c>
      <c r="M713" s="159" t="s">
        <v>464</v>
      </c>
      <c r="N713" s="125" t="s">
        <v>113</v>
      </c>
      <c r="O713" s="190" t="s">
        <v>215</v>
      </c>
      <c r="P713" s="192" t="str">
        <f>IFERROR(VLOOKUP(C713,TD!$B$33:$F$37,2,0)," ")</f>
        <v>O230117</v>
      </c>
      <c r="Q713" s="192" t="str">
        <f>IFERROR(VLOOKUP(C713,TD!$B$33:$F$37,3,0)," ")</f>
        <v>4599</v>
      </c>
      <c r="R713" s="192">
        <f>IFERROR(VLOOKUP(C713,TD!$B$33:$F$37,4,0)," ")</f>
        <v>20240207</v>
      </c>
      <c r="S713" s="190" t="s">
        <v>179</v>
      </c>
      <c r="T713" s="192" t="str">
        <f>IFERROR(VLOOKUP(S713,TD!$J$34:$K$44,2,0)," ")</f>
        <v>Infraestructura Tecnológica   (Sistemas de Información y Tecnologia)</v>
      </c>
      <c r="U713" s="187" t="str">
        <f>CONCATENATE(S713,"-",T713)</f>
        <v>11-Infraestructura Tecnológica   (Sistemas de Información y Tecnologia)</v>
      </c>
      <c r="V713" s="190" t="s">
        <v>239</v>
      </c>
      <c r="W713" s="192" t="str">
        <f>IFERROR(VLOOKUP(V713,TD!$N$34:$O$46,2,0)," ")</f>
        <v>Servicios tecnológicos</v>
      </c>
      <c r="X713" s="187" t="str">
        <f>CONCATENATE(V713,"_",W713)</f>
        <v>007_Servicios tecnológicos</v>
      </c>
      <c r="Y713" s="187" t="str">
        <f>CONCATENATE(U713," ",X713)</f>
        <v>11-Infraestructura Tecnológica   (Sistemas de Información y Tecnologia) 007_Servicios tecnológicos</v>
      </c>
      <c r="Z713" s="192" t="str">
        <f>CONCATENATE(P713,Q713,R713,S713,V713)</f>
        <v>O23011745992024020711007</v>
      </c>
      <c r="AA713" s="192" t="str">
        <f>IFERROR(VLOOKUP(Y713,TD!$K$47:$L$65,2,0)," ")</f>
        <v>PM/0131/0111/45990070207</v>
      </c>
      <c r="AB713" s="125" t="s">
        <v>138</v>
      </c>
      <c r="AC713" s="190" t="s">
        <v>204</v>
      </c>
    </row>
    <row r="714" spans="2:29" ht="70" x14ac:dyDescent="0.35">
      <c r="B714" s="129">
        <v>20250756</v>
      </c>
      <c r="C714" s="129" t="s">
        <v>208</v>
      </c>
      <c r="D714" s="189" t="s">
        <v>162</v>
      </c>
      <c r="E714" s="190" t="s">
        <v>355</v>
      </c>
      <c r="F714" s="189" t="s">
        <v>806</v>
      </c>
      <c r="G714" s="189" t="s">
        <v>155</v>
      </c>
      <c r="H714" s="130">
        <v>80111600</v>
      </c>
      <c r="I714" s="191">
        <v>2</v>
      </c>
      <c r="J714" s="191">
        <v>5</v>
      </c>
      <c r="K714" s="126">
        <v>0</v>
      </c>
      <c r="L714" s="125">
        <v>28000000</v>
      </c>
      <c r="M714" s="159" t="s">
        <v>464</v>
      </c>
      <c r="N714" s="125" t="s">
        <v>113</v>
      </c>
      <c r="O714" s="190" t="s">
        <v>214</v>
      </c>
      <c r="P714" s="192" t="str">
        <f>IFERROR(VLOOKUP(C714,TD!$B$33:$F$37,2,0)," ")</f>
        <v>O230117</v>
      </c>
      <c r="Q714" s="192" t="str">
        <f>IFERROR(VLOOKUP(C714,TD!$B$33:$F$37,3,0)," ")</f>
        <v>4599</v>
      </c>
      <c r="R714" s="192">
        <f>IFERROR(VLOOKUP(C714,TD!$B$33:$F$37,4,0)," ")</f>
        <v>20240207</v>
      </c>
      <c r="S714" s="190" t="s">
        <v>179</v>
      </c>
      <c r="T714" s="192" t="str">
        <f>IFERROR(VLOOKUP(S714,TD!$J$34:$K$44,2,0)," ")</f>
        <v>Infraestructura Tecnológica   (Sistemas de Información y Tecnologia)</v>
      </c>
      <c r="U714" s="187" t="str">
        <f>CONCATENATE(S714,"-",T714)</f>
        <v>11-Infraestructura Tecnológica   (Sistemas de Información y Tecnologia)</v>
      </c>
      <c r="V714" s="190" t="s">
        <v>239</v>
      </c>
      <c r="W714" s="192" t="str">
        <f>IFERROR(VLOOKUP(V714,TD!$N$34:$O$46,2,0)," ")</f>
        <v>Servicios tecnológicos</v>
      </c>
      <c r="X714" s="187" t="str">
        <f>CONCATENATE(V714,"_",W714)</f>
        <v>007_Servicios tecnológicos</v>
      </c>
      <c r="Y714" s="187" t="str">
        <f>CONCATENATE(U714," ",X714)</f>
        <v>11-Infraestructura Tecnológica   (Sistemas de Información y Tecnologia) 007_Servicios tecnológicos</v>
      </c>
      <c r="Z714" s="192" t="str">
        <f>CONCATENATE(P714,Q714,R714,S714,V714)</f>
        <v>O23011745992024020711007</v>
      </c>
      <c r="AA714" s="192" t="str">
        <f>IFERROR(VLOOKUP(Y714,TD!$K$47:$L$65,2,0)," ")</f>
        <v>PM/0131/0111/45990070207</v>
      </c>
      <c r="AB714" s="125" t="s">
        <v>138</v>
      </c>
      <c r="AC714" s="190" t="s">
        <v>204</v>
      </c>
    </row>
    <row r="715" spans="2:29" ht="70" x14ac:dyDescent="0.35">
      <c r="B715" s="129">
        <v>20250757</v>
      </c>
      <c r="C715" s="129" t="s">
        <v>208</v>
      </c>
      <c r="D715" s="189" t="s">
        <v>162</v>
      </c>
      <c r="E715" s="190" t="s">
        <v>355</v>
      </c>
      <c r="F715" s="189" t="s">
        <v>792</v>
      </c>
      <c r="G715" s="189" t="s">
        <v>155</v>
      </c>
      <c r="H715" s="130">
        <v>80111600</v>
      </c>
      <c r="I715" s="191">
        <v>2</v>
      </c>
      <c r="J715" s="191">
        <v>11</v>
      </c>
      <c r="K715" s="126">
        <v>0</v>
      </c>
      <c r="L715" s="125">
        <v>20468000</v>
      </c>
      <c r="M715" s="159" t="s">
        <v>464</v>
      </c>
      <c r="N715" s="125" t="s">
        <v>113</v>
      </c>
      <c r="O715" s="190" t="s">
        <v>215</v>
      </c>
      <c r="P715" s="192" t="str">
        <f>IFERROR(VLOOKUP(C715,TD!$B$33:$F$37,2,0)," ")</f>
        <v>O230117</v>
      </c>
      <c r="Q715" s="192" t="str">
        <f>IFERROR(VLOOKUP(C715,TD!$B$33:$F$37,3,0)," ")</f>
        <v>4599</v>
      </c>
      <c r="R715" s="192">
        <f>IFERROR(VLOOKUP(C715,TD!$B$33:$F$37,4,0)," ")</f>
        <v>20240207</v>
      </c>
      <c r="S715" s="190" t="s">
        <v>179</v>
      </c>
      <c r="T715" s="192" t="str">
        <f>IFERROR(VLOOKUP(S715,TD!$J$34:$K$44,2,0)," ")</f>
        <v>Infraestructura Tecnológica   (Sistemas de Información y Tecnologia)</v>
      </c>
      <c r="U715" s="187" t="str">
        <f>CONCATENATE(S715,"-",T715)</f>
        <v>11-Infraestructura Tecnológica   (Sistemas de Información y Tecnologia)</v>
      </c>
      <c r="V715" s="190" t="s">
        <v>239</v>
      </c>
      <c r="W715" s="192" t="str">
        <f>IFERROR(VLOOKUP(V715,TD!$N$34:$O$46,2,0)," ")</f>
        <v>Servicios tecnológicos</v>
      </c>
      <c r="X715" s="187" t="str">
        <f>CONCATENATE(V715,"_",W715)</f>
        <v>007_Servicios tecnológicos</v>
      </c>
      <c r="Y715" s="187" t="str">
        <f>CONCATENATE(U715," ",X715)</f>
        <v>11-Infraestructura Tecnológica   (Sistemas de Información y Tecnologia) 007_Servicios tecnológicos</v>
      </c>
      <c r="Z715" s="192" t="str">
        <f>CONCATENATE(P715,Q715,R715,S715,V715)</f>
        <v>O23011745992024020711007</v>
      </c>
      <c r="AA715" s="192" t="str">
        <f>IFERROR(VLOOKUP(Y715,TD!$K$47:$L$65,2,0)," ")</f>
        <v>PM/0131/0111/45990070207</v>
      </c>
      <c r="AB715" s="125" t="s">
        <v>138</v>
      </c>
      <c r="AC715" s="190" t="s">
        <v>204</v>
      </c>
    </row>
    <row r="716" spans="2:29" ht="70" x14ac:dyDescent="0.35">
      <c r="B716" s="129">
        <v>20250758</v>
      </c>
      <c r="C716" s="129" t="s">
        <v>208</v>
      </c>
      <c r="D716" s="189" t="s">
        <v>162</v>
      </c>
      <c r="E716" s="190" t="s">
        <v>355</v>
      </c>
      <c r="F716" s="189" t="s">
        <v>771</v>
      </c>
      <c r="G716" s="189" t="s">
        <v>155</v>
      </c>
      <c r="H716" s="130">
        <v>80111600</v>
      </c>
      <c r="I716" s="191">
        <v>2</v>
      </c>
      <c r="J716" s="191">
        <v>11</v>
      </c>
      <c r="K716" s="126">
        <v>0</v>
      </c>
      <c r="L716" s="125">
        <v>29500000</v>
      </c>
      <c r="M716" s="159" t="s">
        <v>464</v>
      </c>
      <c r="N716" s="125" t="s">
        <v>113</v>
      </c>
      <c r="O716" s="190" t="s">
        <v>216</v>
      </c>
      <c r="P716" s="192" t="str">
        <f>IFERROR(VLOOKUP(C716,TD!$B$33:$F$37,2,0)," ")</f>
        <v>O230117</v>
      </c>
      <c r="Q716" s="192" t="str">
        <f>IFERROR(VLOOKUP(C716,TD!$B$33:$F$37,3,0)," ")</f>
        <v>4599</v>
      </c>
      <c r="R716" s="192">
        <f>IFERROR(VLOOKUP(C716,TD!$B$33:$F$37,4,0)," ")</f>
        <v>20240207</v>
      </c>
      <c r="S716" s="190" t="s">
        <v>179</v>
      </c>
      <c r="T716" s="192" t="str">
        <f>IFERROR(VLOOKUP(S716,TD!$J$34:$K$44,2,0)," ")</f>
        <v>Infraestructura Tecnológica   (Sistemas de Información y Tecnologia)</v>
      </c>
      <c r="U716" s="187" t="str">
        <f>CONCATENATE(S716,"-",T716)</f>
        <v>11-Infraestructura Tecnológica   (Sistemas de Información y Tecnologia)</v>
      </c>
      <c r="V716" s="190" t="s">
        <v>239</v>
      </c>
      <c r="W716" s="192" t="str">
        <f>IFERROR(VLOOKUP(V716,TD!$N$34:$O$46,2,0)," ")</f>
        <v>Servicios tecnológicos</v>
      </c>
      <c r="X716" s="187" t="str">
        <f>CONCATENATE(V716,"_",W716)</f>
        <v>007_Servicios tecnológicos</v>
      </c>
      <c r="Y716" s="187" t="str">
        <f>CONCATENATE(U716," ",X716)</f>
        <v>11-Infraestructura Tecnológica   (Sistemas de Información y Tecnologia) 007_Servicios tecnológicos</v>
      </c>
      <c r="Z716" s="192" t="str">
        <f>CONCATENATE(P716,Q716,R716,S716,V716)</f>
        <v>O23011745992024020711007</v>
      </c>
      <c r="AA716" s="192" t="str">
        <f>IFERROR(VLOOKUP(Y716,TD!$K$47:$L$65,2,0)," ")</f>
        <v>PM/0131/0111/45990070207</v>
      </c>
      <c r="AB716" s="125" t="s">
        <v>138</v>
      </c>
      <c r="AC716" s="190" t="s">
        <v>204</v>
      </c>
    </row>
    <row r="717" spans="2:29" ht="56" x14ac:dyDescent="0.35">
      <c r="B717" s="129">
        <v>20250759</v>
      </c>
      <c r="C717" s="129" t="s">
        <v>208</v>
      </c>
      <c r="D717" s="189" t="s">
        <v>162</v>
      </c>
      <c r="E717" s="190" t="s">
        <v>355</v>
      </c>
      <c r="F717" s="189" t="s">
        <v>964</v>
      </c>
      <c r="G717" s="189" t="s">
        <v>155</v>
      </c>
      <c r="H717" s="130">
        <v>80111600</v>
      </c>
      <c r="I717" s="191">
        <v>2</v>
      </c>
      <c r="J717" s="191">
        <v>11</v>
      </c>
      <c r="K717" s="126">
        <v>0</v>
      </c>
      <c r="L717" s="125">
        <v>5200000</v>
      </c>
      <c r="M717" s="159" t="s">
        <v>464</v>
      </c>
      <c r="N717" s="125" t="s">
        <v>113</v>
      </c>
      <c r="O717" s="190" t="s">
        <v>215</v>
      </c>
      <c r="P717" s="192" t="str">
        <f>IFERROR(VLOOKUP(C717,TD!$B$33:$F$37,2,0)," ")</f>
        <v>O230117</v>
      </c>
      <c r="Q717" s="192" t="str">
        <f>IFERROR(VLOOKUP(C717,TD!$B$33:$F$37,3,0)," ")</f>
        <v>4599</v>
      </c>
      <c r="R717" s="192">
        <f>IFERROR(VLOOKUP(C717,TD!$B$33:$F$37,4,0)," ")</f>
        <v>20240207</v>
      </c>
      <c r="S717" s="190" t="s">
        <v>179</v>
      </c>
      <c r="T717" s="192" t="str">
        <f>IFERROR(VLOOKUP(S717,TD!$J$34:$K$44,2,0)," ")</f>
        <v>Infraestructura Tecnológica   (Sistemas de Información y Tecnologia)</v>
      </c>
      <c r="U717" s="187" t="str">
        <f>CONCATENATE(S717,"-",T717)</f>
        <v>11-Infraestructura Tecnológica   (Sistemas de Información y Tecnologia)</v>
      </c>
      <c r="V717" s="190" t="s">
        <v>239</v>
      </c>
      <c r="W717" s="192" t="str">
        <f>IFERROR(VLOOKUP(V717,TD!$N$34:$O$46,2,0)," ")</f>
        <v>Servicios tecnológicos</v>
      </c>
      <c r="X717" s="187" t="str">
        <f>CONCATENATE(V717,"_",W717)</f>
        <v>007_Servicios tecnológicos</v>
      </c>
      <c r="Y717" s="187" t="str">
        <f>CONCATENATE(U717," ",X717)</f>
        <v>11-Infraestructura Tecnológica   (Sistemas de Información y Tecnologia) 007_Servicios tecnológicos</v>
      </c>
      <c r="Z717" s="192" t="str">
        <f>CONCATENATE(P717,Q717,R717,S717,V717)</f>
        <v>O23011745992024020711007</v>
      </c>
      <c r="AA717" s="192" t="str">
        <f>IFERROR(VLOOKUP(Y717,TD!$K$47:$L$65,2,0)," ")</f>
        <v>PM/0131/0111/45990070207</v>
      </c>
      <c r="AB717" s="125" t="s">
        <v>120</v>
      </c>
      <c r="AC717" s="190" t="s">
        <v>205</v>
      </c>
    </row>
    <row r="718" spans="2:29" ht="56" x14ac:dyDescent="0.35">
      <c r="B718" s="129">
        <v>20250761</v>
      </c>
      <c r="C718" s="129" t="s">
        <v>208</v>
      </c>
      <c r="D718" s="189" t="s">
        <v>162</v>
      </c>
      <c r="E718" s="190" t="s">
        <v>355</v>
      </c>
      <c r="F718" s="189" t="s">
        <v>965</v>
      </c>
      <c r="G718" s="189" t="s">
        <v>155</v>
      </c>
      <c r="H718" s="130">
        <v>80111600</v>
      </c>
      <c r="I718" s="191">
        <v>2</v>
      </c>
      <c r="J718" s="191">
        <v>11</v>
      </c>
      <c r="K718" s="126">
        <v>0</v>
      </c>
      <c r="L718" s="125">
        <v>3483333</v>
      </c>
      <c r="M718" s="159" t="s">
        <v>464</v>
      </c>
      <c r="N718" s="125" t="s">
        <v>113</v>
      </c>
      <c r="O718" s="190" t="s">
        <v>214</v>
      </c>
      <c r="P718" s="192" t="str">
        <f>IFERROR(VLOOKUP(C718,TD!$B$33:$F$37,2,0)," ")</f>
        <v>O230117</v>
      </c>
      <c r="Q718" s="192" t="str">
        <f>IFERROR(VLOOKUP(C718,TD!$B$33:$F$37,3,0)," ")</f>
        <v>4599</v>
      </c>
      <c r="R718" s="192">
        <f>IFERROR(VLOOKUP(C718,TD!$B$33:$F$37,4,0)," ")</f>
        <v>20240207</v>
      </c>
      <c r="S718" s="190" t="s">
        <v>179</v>
      </c>
      <c r="T718" s="192" t="str">
        <f>IFERROR(VLOOKUP(S718,TD!$J$34:$K$44,2,0)," ")</f>
        <v>Infraestructura Tecnológica   (Sistemas de Información y Tecnologia)</v>
      </c>
      <c r="U718" s="187" t="str">
        <f>CONCATENATE(S718,"-",T718)</f>
        <v>11-Infraestructura Tecnológica   (Sistemas de Información y Tecnologia)</v>
      </c>
      <c r="V718" s="190" t="s">
        <v>239</v>
      </c>
      <c r="W718" s="192" t="str">
        <f>IFERROR(VLOOKUP(V718,TD!$N$34:$O$46,2,0)," ")</f>
        <v>Servicios tecnológicos</v>
      </c>
      <c r="X718" s="187" t="str">
        <f>CONCATENATE(V718,"_",W718)</f>
        <v>007_Servicios tecnológicos</v>
      </c>
      <c r="Y718" s="187" t="str">
        <f>CONCATENATE(U718," ",X718)</f>
        <v>11-Infraestructura Tecnológica   (Sistemas de Información y Tecnologia) 007_Servicios tecnológicos</v>
      </c>
      <c r="Z718" s="192" t="str">
        <f>CONCATENATE(P718,Q718,R718,S718,V718)</f>
        <v>O23011745992024020711007</v>
      </c>
      <c r="AA718" s="192" t="str">
        <f>IFERROR(VLOOKUP(Y718,TD!$K$47:$L$65,2,0)," ")</f>
        <v>PM/0131/0111/45990070207</v>
      </c>
      <c r="AB718" s="125" t="s">
        <v>138</v>
      </c>
      <c r="AC718" s="190" t="s">
        <v>205</v>
      </c>
    </row>
    <row r="719" spans="2:29" ht="56" x14ac:dyDescent="0.35">
      <c r="B719" s="129">
        <v>20250762</v>
      </c>
      <c r="C719" s="129" t="s">
        <v>208</v>
      </c>
      <c r="D719" s="189" t="s">
        <v>162</v>
      </c>
      <c r="E719" s="190" t="s">
        <v>355</v>
      </c>
      <c r="F719" s="189" t="s">
        <v>966</v>
      </c>
      <c r="G719" s="189" t="s">
        <v>155</v>
      </c>
      <c r="H719" s="130">
        <v>80111600</v>
      </c>
      <c r="I719" s="191">
        <v>2</v>
      </c>
      <c r="J719" s="191">
        <v>7</v>
      </c>
      <c r="K719" s="126">
        <v>0</v>
      </c>
      <c r="L719" s="125">
        <v>8633333</v>
      </c>
      <c r="M719" s="159" t="s">
        <v>464</v>
      </c>
      <c r="N719" s="125" t="s">
        <v>113</v>
      </c>
      <c r="O719" s="190" t="s">
        <v>215</v>
      </c>
      <c r="P719" s="192" t="str">
        <f>IFERROR(VLOOKUP(C719,TD!$B$33:$F$37,2,0)," ")</f>
        <v>O230117</v>
      </c>
      <c r="Q719" s="192" t="str">
        <f>IFERROR(VLOOKUP(C719,TD!$B$33:$F$37,3,0)," ")</f>
        <v>4599</v>
      </c>
      <c r="R719" s="192">
        <f>IFERROR(VLOOKUP(C719,TD!$B$33:$F$37,4,0)," ")</f>
        <v>20240207</v>
      </c>
      <c r="S719" s="190" t="s">
        <v>179</v>
      </c>
      <c r="T719" s="192" t="str">
        <f>IFERROR(VLOOKUP(S719,TD!$J$34:$K$44,2,0)," ")</f>
        <v>Infraestructura Tecnológica   (Sistemas de Información y Tecnologia)</v>
      </c>
      <c r="U719" s="187" t="str">
        <f>CONCATENATE(S719,"-",T719)</f>
        <v>11-Infraestructura Tecnológica   (Sistemas de Información y Tecnologia)</v>
      </c>
      <c r="V719" s="190" t="s">
        <v>239</v>
      </c>
      <c r="W719" s="192" t="str">
        <f>IFERROR(VLOOKUP(V719,TD!$N$34:$O$46,2,0)," ")</f>
        <v>Servicios tecnológicos</v>
      </c>
      <c r="X719" s="187" t="str">
        <f>CONCATENATE(V719,"_",W719)</f>
        <v>007_Servicios tecnológicos</v>
      </c>
      <c r="Y719" s="187" t="str">
        <f>CONCATENATE(U719," ",X719)</f>
        <v>11-Infraestructura Tecnológica   (Sistemas de Información y Tecnologia) 007_Servicios tecnológicos</v>
      </c>
      <c r="Z719" s="192" t="str">
        <f>CONCATENATE(P719,Q719,R719,S719,V719)</f>
        <v>O23011745992024020711007</v>
      </c>
      <c r="AA719" s="192" t="str">
        <f>IFERROR(VLOOKUP(Y719,TD!$K$47:$L$65,2,0)," ")</f>
        <v>PM/0131/0111/45990070207</v>
      </c>
      <c r="AB719" s="125" t="s">
        <v>120</v>
      </c>
      <c r="AC719" s="190" t="s">
        <v>205</v>
      </c>
    </row>
    <row r="720" spans="2:29" ht="56" x14ac:dyDescent="0.35">
      <c r="B720" s="129">
        <v>20250763</v>
      </c>
      <c r="C720" s="129" t="s">
        <v>208</v>
      </c>
      <c r="D720" s="189" t="s">
        <v>162</v>
      </c>
      <c r="E720" s="190" t="s">
        <v>355</v>
      </c>
      <c r="F720" s="189" t="s">
        <v>967</v>
      </c>
      <c r="G720" s="189" t="s">
        <v>96</v>
      </c>
      <c r="H720" s="130" t="s">
        <v>968</v>
      </c>
      <c r="I720" s="191">
        <v>9</v>
      </c>
      <c r="J720" s="191">
        <v>12</v>
      </c>
      <c r="K720" s="126">
        <v>0</v>
      </c>
      <c r="L720" s="125">
        <v>242005000</v>
      </c>
      <c r="M720" s="159" t="s">
        <v>464</v>
      </c>
      <c r="N720" s="125" t="s">
        <v>90</v>
      </c>
      <c r="O720" s="190" t="s">
        <v>216</v>
      </c>
      <c r="P720" s="192" t="str">
        <f>IFERROR(VLOOKUP(C720,TD!$B$33:$F$37,2,0)," ")</f>
        <v>O230117</v>
      </c>
      <c r="Q720" s="192" t="str">
        <f>IFERROR(VLOOKUP(C720,TD!$B$33:$F$37,3,0)," ")</f>
        <v>4599</v>
      </c>
      <c r="R720" s="192">
        <f>IFERROR(VLOOKUP(C720,TD!$B$33:$F$37,4,0)," ")</f>
        <v>20240207</v>
      </c>
      <c r="S720" s="190" t="s">
        <v>179</v>
      </c>
      <c r="T720" s="192" t="str">
        <f>IFERROR(VLOOKUP(S720,TD!$J$34:$K$44,2,0)," ")</f>
        <v>Infraestructura Tecnológica   (Sistemas de Información y Tecnologia)</v>
      </c>
      <c r="U720" s="187" t="str">
        <f>CONCATENATE(S720,"-",T720)</f>
        <v>11-Infraestructura Tecnológica   (Sistemas de Información y Tecnologia)</v>
      </c>
      <c r="V720" s="190" t="s">
        <v>239</v>
      </c>
      <c r="W720" s="192" t="str">
        <f>IFERROR(VLOOKUP(V720,TD!$N$34:$O$46,2,0)," ")</f>
        <v>Servicios tecnológicos</v>
      </c>
      <c r="X720" s="187" t="str">
        <f>CONCATENATE(V720,"_",W720)</f>
        <v>007_Servicios tecnológicos</v>
      </c>
      <c r="Y720" s="187" t="str">
        <f>CONCATENATE(U720," ",X720)</f>
        <v>11-Infraestructura Tecnológica   (Sistemas de Información y Tecnologia) 007_Servicios tecnológicos</v>
      </c>
      <c r="Z720" s="192" t="str">
        <f>CONCATENATE(P720,Q720,R720,S720,V720)</f>
        <v>O23011745992024020711007</v>
      </c>
      <c r="AA720" s="192" t="str">
        <f>IFERROR(VLOOKUP(Y720,TD!$K$47:$L$65,2,0)," ")</f>
        <v>PM/0131/0111/45990070207</v>
      </c>
      <c r="AB720" s="125" t="s">
        <v>130</v>
      </c>
      <c r="AC720" s="190" t="s">
        <v>204</v>
      </c>
    </row>
    <row r="721" spans="2:29" ht="70" x14ac:dyDescent="0.35">
      <c r="B721" s="129">
        <v>20250764</v>
      </c>
      <c r="C721" s="129" t="s">
        <v>208</v>
      </c>
      <c r="D721" s="189" t="s">
        <v>162</v>
      </c>
      <c r="E721" s="190" t="s">
        <v>355</v>
      </c>
      <c r="F721" s="189" t="s">
        <v>969</v>
      </c>
      <c r="G721" s="189" t="s">
        <v>157</v>
      </c>
      <c r="H721" s="130" t="s">
        <v>970</v>
      </c>
      <c r="I721" s="191">
        <v>7</v>
      </c>
      <c r="J721" s="191">
        <v>12</v>
      </c>
      <c r="K721" s="126">
        <v>0</v>
      </c>
      <c r="L721" s="125">
        <v>5901600</v>
      </c>
      <c r="M721" s="159" t="s">
        <v>464</v>
      </c>
      <c r="N721" s="125" t="s">
        <v>113</v>
      </c>
      <c r="O721" s="190" t="s">
        <v>214</v>
      </c>
      <c r="P721" s="192" t="str">
        <f>IFERROR(VLOOKUP(C721,TD!$B$33:$F$37,2,0)," ")</f>
        <v>O230117</v>
      </c>
      <c r="Q721" s="192" t="str">
        <f>IFERROR(VLOOKUP(C721,TD!$B$33:$F$37,3,0)," ")</f>
        <v>4599</v>
      </c>
      <c r="R721" s="192">
        <f>IFERROR(VLOOKUP(C721,TD!$B$33:$F$37,4,0)," ")</f>
        <v>20240207</v>
      </c>
      <c r="S721" s="190" t="s">
        <v>179</v>
      </c>
      <c r="T721" s="192" t="str">
        <f>IFERROR(VLOOKUP(S721,TD!$J$34:$K$44,2,0)," ")</f>
        <v>Infraestructura Tecnológica   (Sistemas de Información y Tecnologia)</v>
      </c>
      <c r="U721" s="187" t="str">
        <f>CONCATENATE(S721,"-",T721)</f>
        <v>11-Infraestructura Tecnológica   (Sistemas de Información y Tecnologia)</v>
      </c>
      <c r="V721" s="190" t="s">
        <v>239</v>
      </c>
      <c r="W721" s="192" t="str">
        <f>IFERROR(VLOOKUP(V721,TD!$N$34:$O$46,2,0)," ")</f>
        <v>Servicios tecnológicos</v>
      </c>
      <c r="X721" s="187" t="str">
        <f>CONCATENATE(V721,"_",W721)</f>
        <v>007_Servicios tecnológicos</v>
      </c>
      <c r="Y721" s="187" t="str">
        <f>CONCATENATE(U721," ",X721)</f>
        <v>11-Infraestructura Tecnológica   (Sistemas de Información y Tecnologia) 007_Servicios tecnológicos</v>
      </c>
      <c r="Z721" s="192" t="str">
        <f>CONCATENATE(P721,Q721,R721,S721,V721)</f>
        <v>O23011745992024020711007</v>
      </c>
      <c r="AA721" s="192" t="str">
        <f>IFERROR(VLOOKUP(Y721,TD!$K$47:$L$65,2,0)," ")</f>
        <v>PM/0131/0111/45990070207</v>
      </c>
      <c r="AB721" s="125" t="s">
        <v>125</v>
      </c>
      <c r="AC721" s="190" t="s">
        <v>204</v>
      </c>
    </row>
    <row r="722" spans="2:29" ht="56" x14ac:dyDescent="0.35">
      <c r="B722" s="129">
        <v>20250765</v>
      </c>
      <c r="C722" s="129" t="s">
        <v>346</v>
      </c>
      <c r="D722" s="189" t="s">
        <v>162</v>
      </c>
      <c r="E722" s="190" t="s">
        <v>355</v>
      </c>
      <c r="F722" s="189" t="s">
        <v>1218</v>
      </c>
      <c r="G722" s="189" t="s">
        <v>109</v>
      </c>
      <c r="H722" s="130">
        <v>43222600</v>
      </c>
      <c r="I722" s="191">
        <v>10</v>
      </c>
      <c r="J722" s="191">
        <v>6</v>
      </c>
      <c r="K722" s="126">
        <v>0</v>
      </c>
      <c r="L722" s="125">
        <v>200000000</v>
      </c>
      <c r="M722" s="159" t="s">
        <v>172</v>
      </c>
      <c r="N722" s="125" t="s">
        <v>95</v>
      </c>
      <c r="O722" s="190" t="s">
        <v>347</v>
      </c>
      <c r="P722" s="192" t="str">
        <f>IFERROR(VLOOKUP(C722,TD!$B$33:$F$37,2,0)," ")</f>
        <v>NA</v>
      </c>
      <c r="Q722" s="192" t="str">
        <f>IFERROR(VLOOKUP(C722,TD!$B$33:$F$37,3,0)," ")</f>
        <v>NA</v>
      </c>
      <c r="R722" s="192" t="str">
        <f>IFERROR(VLOOKUP(C722,TD!$B$33:$F$37,4,0)," ")</f>
        <v>NA</v>
      </c>
      <c r="S722" s="190" t="s">
        <v>406</v>
      </c>
      <c r="T722" s="192" t="str">
        <f>IFERROR(VLOOKUP(S722,TD!$J$34:$K$44,2,0)," ")</f>
        <v>N/A</v>
      </c>
      <c r="U722" s="187" t="str">
        <f>CONCATENATE(S722,"-",T722)</f>
        <v>N/A-N/A</v>
      </c>
      <c r="V722" s="190" t="s">
        <v>406</v>
      </c>
      <c r="W722" s="192" t="str">
        <f>IFERROR(VLOOKUP(V722,TD!$N$34:$O$46,2,0)," ")</f>
        <v>N/A</v>
      </c>
      <c r="X722" s="187" t="str">
        <f>CONCATENATE(V722,"_",W722)</f>
        <v>N/A_N/A</v>
      </c>
      <c r="Y722" s="187" t="str">
        <f>CONCATENATE(U722," ",X722)</f>
        <v>N/A-N/A N/A_N/A</v>
      </c>
      <c r="Z722" s="192" t="str">
        <f>CONCATENATE(P722,Q722,R722,S722,V722)</f>
        <v>NANANAN/AN/A</v>
      </c>
      <c r="AA722" s="192" t="str">
        <f>IFERROR(VLOOKUP(Y722,TD!$K$47:$L$65,2,0)," ")</f>
        <v>N/A</v>
      </c>
      <c r="AB722" s="125" t="s">
        <v>348</v>
      </c>
      <c r="AC722" s="190" t="s">
        <v>204</v>
      </c>
    </row>
    <row r="723" spans="2:29" ht="56" x14ac:dyDescent="0.35">
      <c r="B723" s="129">
        <v>20250766</v>
      </c>
      <c r="C723" s="129" t="s">
        <v>346</v>
      </c>
      <c r="D723" s="189" t="s">
        <v>162</v>
      </c>
      <c r="E723" s="190" t="s">
        <v>355</v>
      </c>
      <c r="F723" s="189" t="s">
        <v>801</v>
      </c>
      <c r="G723" s="189" t="s">
        <v>149</v>
      </c>
      <c r="H723" s="130">
        <v>43222635</v>
      </c>
      <c r="I723" s="191">
        <v>7</v>
      </c>
      <c r="J723" s="191">
        <v>8</v>
      </c>
      <c r="K723" s="126">
        <v>0</v>
      </c>
      <c r="L723" s="125">
        <v>118825489</v>
      </c>
      <c r="M723" s="159" t="s">
        <v>172</v>
      </c>
      <c r="N723" s="125" t="s">
        <v>90</v>
      </c>
      <c r="O723" s="190" t="s">
        <v>347</v>
      </c>
      <c r="P723" s="192" t="str">
        <f>IFERROR(VLOOKUP(C723,TD!$B$33:$F$37,2,0)," ")</f>
        <v>NA</v>
      </c>
      <c r="Q723" s="192" t="str">
        <f>IFERROR(VLOOKUP(C723,TD!$B$33:$F$37,3,0)," ")</f>
        <v>NA</v>
      </c>
      <c r="R723" s="192" t="str">
        <f>IFERROR(VLOOKUP(C723,TD!$B$33:$F$37,4,0)," ")</f>
        <v>NA</v>
      </c>
      <c r="S723" s="190" t="s">
        <v>406</v>
      </c>
      <c r="T723" s="192" t="str">
        <f>IFERROR(VLOOKUP(S723,TD!$J$34:$K$44,2,0)," ")</f>
        <v>N/A</v>
      </c>
      <c r="U723" s="187" t="str">
        <f>CONCATENATE(S723,"-",T723)</f>
        <v>N/A-N/A</v>
      </c>
      <c r="V723" s="190" t="s">
        <v>406</v>
      </c>
      <c r="W723" s="192" t="str">
        <f>IFERROR(VLOOKUP(V723,TD!$N$34:$O$46,2,0)," ")</f>
        <v>N/A</v>
      </c>
      <c r="X723" s="187" t="str">
        <f>CONCATENATE(V723,"_",W723)</f>
        <v>N/A_N/A</v>
      </c>
      <c r="Y723" s="187" t="str">
        <f>CONCATENATE(U723," ",X723)</f>
        <v>N/A-N/A N/A_N/A</v>
      </c>
      <c r="Z723" s="192" t="str">
        <f>CONCATENATE(P723,Q723,R723,S723,V723)</f>
        <v>NANANAN/AN/A</v>
      </c>
      <c r="AA723" s="192" t="str">
        <f>IFERROR(VLOOKUP(Y723,TD!$K$47:$L$65,2,0)," ")</f>
        <v>N/A</v>
      </c>
      <c r="AB723" s="125" t="s">
        <v>444</v>
      </c>
      <c r="AC723" s="190" t="s">
        <v>204</v>
      </c>
    </row>
    <row r="724" spans="2:29" ht="56" x14ac:dyDescent="0.35">
      <c r="B724" s="129">
        <v>20250767</v>
      </c>
      <c r="C724" s="129" t="s">
        <v>346</v>
      </c>
      <c r="D724" s="189" t="s">
        <v>162</v>
      </c>
      <c r="E724" s="190" t="s">
        <v>355</v>
      </c>
      <c r="F724" s="189" t="s">
        <v>971</v>
      </c>
      <c r="G724" s="189" t="s">
        <v>154</v>
      </c>
      <c r="H724" s="130" t="s">
        <v>1141</v>
      </c>
      <c r="I724" s="191">
        <v>10</v>
      </c>
      <c r="J724" s="191">
        <v>8</v>
      </c>
      <c r="K724" s="126">
        <v>0</v>
      </c>
      <c r="L724" s="125">
        <v>240000000</v>
      </c>
      <c r="M724" s="159" t="s">
        <v>172</v>
      </c>
      <c r="N724" s="125" t="s">
        <v>95</v>
      </c>
      <c r="O724" s="190" t="s">
        <v>347</v>
      </c>
      <c r="P724" s="192" t="str">
        <f>IFERROR(VLOOKUP(C724,TD!$B$33:$F$37,2,0)," ")</f>
        <v>NA</v>
      </c>
      <c r="Q724" s="192" t="str">
        <f>IFERROR(VLOOKUP(C724,TD!$B$33:$F$37,3,0)," ")</f>
        <v>NA</v>
      </c>
      <c r="R724" s="192" t="str">
        <f>IFERROR(VLOOKUP(C724,TD!$B$33:$F$37,4,0)," ")</f>
        <v>NA</v>
      </c>
      <c r="S724" s="190" t="s">
        <v>406</v>
      </c>
      <c r="T724" s="192" t="str">
        <f>IFERROR(VLOOKUP(S724,TD!$J$34:$K$44,2,0)," ")</f>
        <v>N/A</v>
      </c>
      <c r="U724" s="187" t="str">
        <f>CONCATENATE(S724,"-",T724)</f>
        <v>N/A-N/A</v>
      </c>
      <c r="V724" s="190" t="s">
        <v>406</v>
      </c>
      <c r="W724" s="192" t="str">
        <f>IFERROR(VLOOKUP(V724,TD!$N$34:$O$46,2,0)," ")</f>
        <v>N/A</v>
      </c>
      <c r="X724" s="187" t="str">
        <f>CONCATENATE(V724,"_",W724)</f>
        <v>N/A_N/A</v>
      </c>
      <c r="Y724" s="187" t="str">
        <f>CONCATENATE(U724," ",X724)</f>
        <v>N/A-N/A N/A_N/A</v>
      </c>
      <c r="Z724" s="192" t="str">
        <f>CONCATENATE(P724,Q724,R724,S724,V724)</f>
        <v>NANANAN/AN/A</v>
      </c>
      <c r="AA724" s="192" t="str">
        <f>IFERROR(VLOOKUP(Y724,TD!$K$47:$L$65,2,0)," ")</f>
        <v>N/A</v>
      </c>
      <c r="AB724" s="125" t="s">
        <v>348</v>
      </c>
      <c r="AC724" s="190" t="s">
        <v>204</v>
      </c>
    </row>
    <row r="725" spans="2:29" ht="70" x14ac:dyDescent="0.35">
      <c r="B725" s="145">
        <v>20250768</v>
      </c>
      <c r="C725" s="145" t="s">
        <v>208</v>
      </c>
      <c r="D725" s="218" t="s">
        <v>46</v>
      </c>
      <c r="E725" s="220" t="s">
        <v>465</v>
      </c>
      <c r="F725" s="218" t="s">
        <v>975</v>
      </c>
      <c r="G725" s="218" t="s">
        <v>155</v>
      </c>
      <c r="H725" s="180">
        <v>80111600</v>
      </c>
      <c r="I725" s="219">
        <v>7</v>
      </c>
      <c r="J725" s="219">
        <v>2</v>
      </c>
      <c r="K725" s="182">
        <v>0</v>
      </c>
      <c r="L725" s="144">
        <v>13000000</v>
      </c>
      <c r="M725" s="149" t="s">
        <v>464</v>
      </c>
      <c r="N725" s="144" t="s">
        <v>113</v>
      </c>
      <c r="O725" s="190" t="s">
        <v>219</v>
      </c>
      <c r="P725" s="221" t="str">
        <f>IFERROR(VLOOKUP(C725,TD!$B$33:$F$37,2,0)," ")</f>
        <v>O230117</v>
      </c>
      <c r="Q725" s="221" t="str">
        <f>IFERROR(VLOOKUP(C725,TD!$B$33:$F$37,3,0)," ")</f>
        <v>4599</v>
      </c>
      <c r="R725" s="221">
        <f>IFERROR(VLOOKUP(C725,TD!$B$33:$F$37,4,0)," ")</f>
        <v>20240207</v>
      </c>
      <c r="S725" s="51" t="s">
        <v>185</v>
      </c>
      <c r="T725" s="192" t="str">
        <f>IFERROR(VLOOKUP(S725,TD!$J$34:$K$44,2,0)," ")</f>
        <v>Infraestructura física, mantenimiento y dotación (Sedes construidas, mantenidas reforzadas)</v>
      </c>
      <c r="U725" s="187" t="str">
        <f>CONCATENATE(S725,"-",T725)</f>
        <v>08-Infraestructura física, mantenimiento y dotación (Sedes construidas, mantenidas reforzadas)</v>
      </c>
      <c r="V725" s="51" t="s">
        <v>238</v>
      </c>
      <c r="W725" s="192" t="str">
        <f>IFERROR(VLOOKUP(V725,TD!$N$34:$O$46,2,0)," ")</f>
        <v>Sedes mantenidas</v>
      </c>
      <c r="X725" s="187" t="str">
        <f>CONCATENATE(V725,"_",W725)</f>
        <v>016_Sedes mantenidas</v>
      </c>
      <c r="Y725" s="187" t="str">
        <f>CONCATENATE(U725," ",X725)</f>
        <v>08-Infraestructura física, mantenimiento y dotación (Sedes construidas, mantenidas reforzadas) 016_Sedes mantenidas</v>
      </c>
      <c r="Z725" s="221" t="str">
        <f>CONCATENATE(P725,Q725,R725,S725,V725)</f>
        <v>O23011745992024020708016</v>
      </c>
      <c r="AA725" s="221" t="str">
        <f>IFERROR(VLOOKUP(Y725,TD!$K$47:$L$65,2,0)," ")</f>
        <v>PM/0131/0108/45990160207</v>
      </c>
      <c r="AB725" s="144" t="s">
        <v>120</v>
      </c>
      <c r="AC725" s="220" t="s">
        <v>205</v>
      </c>
    </row>
    <row r="726" spans="2:29" ht="70" x14ac:dyDescent="0.35">
      <c r="B726" s="145">
        <v>20250769</v>
      </c>
      <c r="C726" s="145" t="s">
        <v>208</v>
      </c>
      <c r="D726" s="218" t="s">
        <v>46</v>
      </c>
      <c r="E726" s="220" t="s">
        <v>465</v>
      </c>
      <c r="F726" s="218" t="s">
        <v>976</v>
      </c>
      <c r="G726" s="218" t="s">
        <v>155</v>
      </c>
      <c r="H726" s="180">
        <v>80111600</v>
      </c>
      <c r="I726" s="219">
        <v>7</v>
      </c>
      <c r="J726" s="219">
        <v>2</v>
      </c>
      <c r="K726" s="182">
        <v>0</v>
      </c>
      <c r="L726" s="144">
        <v>10000000</v>
      </c>
      <c r="M726" s="149" t="s">
        <v>464</v>
      </c>
      <c r="N726" s="144" t="s">
        <v>113</v>
      </c>
      <c r="O726" s="190" t="s">
        <v>219</v>
      </c>
      <c r="P726" s="221" t="str">
        <f>IFERROR(VLOOKUP(C726,TD!$B$33:$F$37,2,0)," ")</f>
        <v>O230117</v>
      </c>
      <c r="Q726" s="221" t="str">
        <f>IFERROR(VLOOKUP(C726,TD!$B$33:$F$37,3,0)," ")</f>
        <v>4599</v>
      </c>
      <c r="R726" s="221">
        <f>IFERROR(VLOOKUP(C726,TD!$B$33:$F$37,4,0)," ")</f>
        <v>20240207</v>
      </c>
      <c r="S726" s="51" t="s">
        <v>185</v>
      </c>
      <c r="T726" s="192" t="str">
        <f>IFERROR(VLOOKUP(S726,TD!$J$34:$K$44,2,0)," ")</f>
        <v>Infraestructura física, mantenimiento y dotación (Sedes construidas, mantenidas reforzadas)</v>
      </c>
      <c r="U726" s="187" t="str">
        <f>CONCATENATE(S726,"-",T726)</f>
        <v>08-Infraestructura física, mantenimiento y dotación (Sedes construidas, mantenidas reforzadas)</v>
      </c>
      <c r="V726" s="51" t="s">
        <v>238</v>
      </c>
      <c r="W726" s="192" t="str">
        <f>IFERROR(VLOOKUP(V726,TD!$N$34:$O$46,2,0)," ")</f>
        <v>Sedes mantenidas</v>
      </c>
      <c r="X726" s="187" t="str">
        <f>CONCATENATE(V726,"_",W726)</f>
        <v>016_Sedes mantenidas</v>
      </c>
      <c r="Y726" s="187" t="str">
        <f>CONCATENATE(U726," ",X726)</f>
        <v>08-Infraestructura física, mantenimiento y dotación (Sedes construidas, mantenidas reforzadas) 016_Sedes mantenidas</v>
      </c>
      <c r="Z726" s="221" t="str">
        <f>CONCATENATE(P726,Q726,R726,S726,V726)</f>
        <v>O23011745992024020708016</v>
      </c>
      <c r="AA726" s="221" t="str">
        <f>IFERROR(VLOOKUP(Y726,TD!$K$47:$L$65,2,0)," ")</f>
        <v>PM/0131/0108/45990160207</v>
      </c>
      <c r="AB726" s="144" t="s">
        <v>120</v>
      </c>
      <c r="AC726" s="220" t="s">
        <v>205</v>
      </c>
    </row>
    <row r="727" spans="2:29" ht="56" x14ac:dyDescent="0.35">
      <c r="B727" s="145">
        <v>20250771</v>
      </c>
      <c r="C727" s="50" t="s">
        <v>209</v>
      </c>
      <c r="D727" s="218" t="s">
        <v>165</v>
      </c>
      <c r="E727" s="51" t="s">
        <v>484</v>
      </c>
      <c r="F727" s="218" t="s">
        <v>977</v>
      </c>
      <c r="G727" s="218" t="s">
        <v>155</v>
      </c>
      <c r="H727" s="180">
        <v>80111600</v>
      </c>
      <c r="I727" s="219">
        <v>8</v>
      </c>
      <c r="J727" s="219">
        <v>5</v>
      </c>
      <c r="K727" s="182">
        <v>0</v>
      </c>
      <c r="L727" s="144">
        <v>34000000</v>
      </c>
      <c r="M727" s="149" t="s">
        <v>464</v>
      </c>
      <c r="N727" s="144" t="s">
        <v>113</v>
      </c>
      <c r="O727" s="220" t="s">
        <v>229</v>
      </c>
      <c r="P727" s="221" t="str">
        <f>IFERROR(VLOOKUP(C727,TD!$B$33:$F$37,2,0)," ")</f>
        <v>O230117</v>
      </c>
      <c r="Q727" s="221" t="str">
        <f>IFERROR(VLOOKUP(C727,TD!$B$33:$F$37,3,0)," ")</f>
        <v>4503</v>
      </c>
      <c r="R727" s="221">
        <f>IFERROR(VLOOKUP(C727,TD!$B$33:$F$37,4,0)," ")</f>
        <v>20240255</v>
      </c>
      <c r="S727" s="51" t="s">
        <v>183</v>
      </c>
      <c r="T727" s="192" t="str">
        <f>IFERROR(VLOOKUP(S727,TD!$J$34:$K$44,2,0)," ")</f>
        <v>Servicio de formación en gestión del riesgo de incendios para el personal UAECOB</v>
      </c>
      <c r="U727" s="187" t="str">
        <f>CONCATENATE(S727,"-",T727)</f>
        <v>07-Servicio de formación en gestión del riesgo de incendios para el personal UAECOB</v>
      </c>
      <c r="V727" s="51" t="s">
        <v>233</v>
      </c>
      <c r="W727" s="192" t="str">
        <f>IFERROR(VLOOKUP(V727,TD!$N$34:$O$46,2,0)," ")</f>
        <v>Servicio de educación informal</v>
      </c>
      <c r="X727" s="187" t="str">
        <f>CONCATENATE(V727,"_",W727)</f>
        <v>002_Servicio de educación informal</v>
      </c>
      <c r="Y727" s="187" t="str">
        <f>CONCATENATE(U727," ",X727)</f>
        <v>07-Servicio de formación en gestión del riesgo de incendios para el personal UAECOB 002_Servicio de educación informal</v>
      </c>
      <c r="Z727" s="221" t="str">
        <f>CONCATENATE(P727,Q727,R727,S727,V727)</f>
        <v>O23011745032024025507002</v>
      </c>
      <c r="AA727" s="221" t="str">
        <f>IFERROR(VLOOKUP(Y727,TD!$K$47:$L$65,2,0)," ")</f>
        <v>PM/0131/0107/45030020255</v>
      </c>
      <c r="AB727" s="144" t="s">
        <v>138</v>
      </c>
      <c r="AC727" s="220" t="s">
        <v>204</v>
      </c>
    </row>
    <row r="728" spans="2:29" ht="70" x14ac:dyDescent="0.35">
      <c r="B728" s="145">
        <v>20250772</v>
      </c>
      <c r="C728" s="145" t="s">
        <v>209</v>
      </c>
      <c r="D728" s="184" t="s">
        <v>165</v>
      </c>
      <c r="E728" s="51" t="s">
        <v>484</v>
      </c>
      <c r="F728" s="184" t="s">
        <v>978</v>
      </c>
      <c r="G728" s="184" t="s">
        <v>155</v>
      </c>
      <c r="H728" s="93">
        <v>80111600</v>
      </c>
      <c r="I728" s="185">
        <v>8</v>
      </c>
      <c r="J728" s="185">
        <v>5</v>
      </c>
      <c r="K728" s="52">
        <v>0</v>
      </c>
      <c r="L728" s="53">
        <v>34000000</v>
      </c>
      <c r="M728" s="149" t="s">
        <v>464</v>
      </c>
      <c r="N728" s="144" t="s">
        <v>113</v>
      </c>
      <c r="O728" s="220" t="s">
        <v>229</v>
      </c>
      <c r="P728" s="186" t="str">
        <f>IFERROR(VLOOKUP(C728,TD!$B$33:$F$37,2,0)," ")</f>
        <v>O230117</v>
      </c>
      <c r="Q728" s="186" t="str">
        <f>IFERROR(VLOOKUP(C728,TD!$B$33:$F$37,3,0)," ")</f>
        <v>4503</v>
      </c>
      <c r="R728" s="186">
        <f>IFERROR(VLOOKUP(C728,TD!$B$33:$F$37,4,0)," ")</f>
        <v>20240255</v>
      </c>
      <c r="S728" s="51" t="s">
        <v>183</v>
      </c>
      <c r="T728" s="192" t="str">
        <f>IFERROR(VLOOKUP(S728,TD!$J$34:$K$44,2,0)," ")</f>
        <v>Servicio de formación en gestión del riesgo de incendios para el personal UAECOB</v>
      </c>
      <c r="U728" s="187" t="str">
        <f>CONCATENATE(S728,"-",T728)</f>
        <v>07-Servicio de formación en gestión del riesgo de incendios para el personal UAECOB</v>
      </c>
      <c r="V728" s="51" t="s">
        <v>233</v>
      </c>
      <c r="W728" s="192" t="str">
        <f>IFERROR(VLOOKUP(V728,TD!$N$34:$O$46,2,0)," ")</f>
        <v>Servicio de educación informal</v>
      </c>
      <c r="X728" s="187" t="str">
        <f>CONCATENATE(V728,"_",W728)</f>
        <v>002_Servicio de educación informal</v>
      </c>
      <c r="Y728" s="187" t="str">
        <f>CONCATENATE(U728," ",X728)</f>
        <v>07-Servicio de formación en gestión del riesgo de incendios para el personal UAECOB 002_Servicio de educación informal</v>
      </c>
      <c r="Z728" s="186" t="str">
        <f>CONCATENATE(P728,Q728,R728,S728,V728)</f>
        <v>O23011745032024025507002</v>
      </c>
      <c r="AA728" s="186" t="str">
        <f>IFERROR(VLOOKUP(Y728,TD!$K$47:$L$65,2,0)," ")</f>
        <v>PM/0131/0107/45030020255</v>
      </c>
      <c r="AB728" s="144" t="s">
        <v>138</v>
      </c>
      <c r="AC728" s="51" t="s">
        <v>204</v>
      </c>
    </row>
    <row r="729" spans="2:29" ht="56" x14ac:dyDescent="0.35">
      <c r="B729" s="50">
        <v>20250773</v>
      </c>
      <c r="C729" s="145" t="s">
        <v>209</v>
      </c>
      <c r="D729" s="184" t="s">
        <v>165</v>
      </c>
      <c r="E729" s="51" t="s">
        <v>484</v>
      </c>
      <c r="F729" s="184" t="s">
        <v>982</v>
      </c>
      <c r="G729" s="184" t="s">
        <v>155</v>
      </c>
      <c r="H729" s="93">
        <v>80111600</v>
      </c>
      <c r="I729" s="185">
        <v>4</v>
      </c>
      <c r="J729" s="185">
        <v>10</v>
      </c>
      <c r="K729" s="52">
        <v>0</v>
      </c>
      <c r="L729" s="53">
        <v>13650000</v>
      </c>
      <c r="M729" s="149" t="s">
        <v>464</v>
      </c>
      <c r="N729" s="144" t="s">
        <v>113</v>
      </c>
      <c r="O729" s="220" t="s">
        <v>229</v>
      </c>
      <c r="P729" s="186" t="str">
        <f>IFERROR(VLOOKUP(C729,TD!$B$33:$F$37,2,0)," ")</f>
        <v>O230117</v>
      </c>
      <c r="Q729" s="186" t="str">
        <f>IFERROR(VLOOKUP(C729,TD!$B$33:$F$37,3,0)," ")</f>
        <v>4503</v>
      </c>
      <c r="R729" s="186">
        <f>IFERROR(VLOOKUP(C729,TD!$B$33:$F$37,4,0)," ")</f>
        <v>20240255</v>
      </c>
      <c r="S729" s="51" t="s">
        <v>183</v>
      </c>
      <c r="T729" s="192" t="str">
        <f>IFERROR(VLOOKUP(S729,TD!$J$34:$K$44,2,0)," ")</f>
        <v>Servicio de formación en gestión del riesgo de incendios para el personal UAECOB</v>
      </c>
      <c r="U729" s="187" t="str">
        <f>CONCATENATE(S729,"-",T729)</f>
        <v>07-Servicio de formación en gestión del riesgo de incendios para el personal UAECOB</v>
      </c>
      <c r="V729" s="51" t="s">
        <v>233</v>
      </c>
      <c r="W729" s="192" t="str">
        <f>IFERROR(VLOOKUP(V729,TD!$N$34:$O$46,2,0)," ")</f>
        <v>Servicio de educación informal</v>
      </c>
      <c r="X729" s="187" t="str">
        <f>CONCATENATE(V729,"_",W729)</f>
        <v>002_Servicio de educación informal</v>
      </c>
      <c r="Y729" s="187" t="str">
        <f>CONCATENATE(U729," ",X729)</f>
        <v>07-Servicio de formación en gestión del riesgo de incendios para el personal UAECOB 002_Servicio de educación informal</v>
      </c>
      <c r="Z729" s="186" t="str">
        <f>CONCATENATE(P729,Q729,R729,S729,V729)</f>
        <v>O23011745032024025507002</v>
      </c>
      <c r="AA729" s="186" t="str">
        <f>IFERROR(VLOOKUP(Y729,TD!$K$47:$L$65,2,0)," ")</f>
        <v>PM/0131/0107/45030020255</v>
      </c>
      <c r="AB729" s="53" t="s">
        <v>120</v>
      </c>
      <c r="AC729" s="51" t="s">
        <v>205</v>
      </c>
    </row>
    <row r="730" spans="2:29" ht="70" x14ac:dyDescent="0.35">
      <c r="B730" s="223">
        <v>20250774</v>
      </c>
      <c r="C730" s="223" t="s">
        <v>208</v>
      </c>
      <c r="D730" s="224" t="s">
        <v>164</v>
      </c>
      <c r="E730" s="225" t="s">
        <v>389</v>
      </c>
      <c r="F730" s="184" t="s">
        <v>882</v>
      </c>
      <c r="G730" s="224" t="s">
        <v>155</v>
      </c>
      <c r="H730" s="93">
        <v>80111600</v>
      </c>
      <c r="I730" s="185">
        <v>8</v>
      </c>
      <c r="J730" s="185">
        <v>5</v>
      </c>
      <c r="K730" s="52">
        <v>0</v>
      </c>
      <c r="L730" s="53">
        <v>29750000</v>
      </c>
      <c r="M730" s="146" t="s">
        <v>464</v>
      </c>
      <c r="N730" s="147" t="s">
        <v>113</v>
      </c>
      <c r="O730" s="225" t="s">
        <v>219</v>
      </c>
      <c r="P730" s="226" t="str">
        <f>IFERROR(VLOOKUP(C730,TD!$B$33:$F$37,2,0)," ")</f>
        <v>O230117</v>
      </c>
      <c r="Q730" s="226" t="str">
        <f>IFERROR(VLOOKUP(C730,TD!$B$33:$F$37,3,0)," ")</f>
        <v>4599</v>
      </c>
      <c r="R730" s="226">
        <f>IFERROR(VLOOKUP(C730,TD!$B$33:$F$37,4,0)," ")</f>
        <v>20240207</v>
      </c>
      <c r="S730" s="225" t="s">
        <v>185</v>
      </c>
      <c r="T730" s="192" t="str">
        <f>IFERROR(VLOOKUP(S730,TD!$J$34:$K$44,2,0)," ")</f>
        <v>Infraestructura física, mantenimiento y dotación (Sedes construidas, mantenidas reforzadas)</v>
      </c>
      <c r="U730" s="187" t="str">
        <f>CONCATENATE(S730,"-",T730)</f>
        <v>08-Infraestructura física, mantenimiento y dotación (Sedes construidas, mantenidas reforzadas)</v>
      </c>
      <c r="V730" s="51" t="s">
        <v>238</v>
      </c>
      <c r="W730" s="192" t="str">
        <f>IFERROR(VLOOKUP(V730,TD!$N$34:$O$46,2,0)," ")</f>
        <v>Sedes mantenidas</v>
      </c>
      <c r="X730" s="187" t="str">
        <f>CONCATENATE(V730,"_",W730)</f>
        <v>016_Sedes mantenidas</v>
      </c>
      <c r="Y730" s="187" t="str">
        <f>CONCATENATE(U730," ",X730)</f>
        <v>08-Infraestructura física, mantenimiento y dotación (Sedes construidas, mantenidas reforzadas) 016_Sedes mantenidas</v>
      </c>
      <c r="Z730" s="226" t="str">
        <f>CONCATENATE(P730,Q730,R730,S730,V730)</f>
        <v>O23011745992024020708016</v>
      </c>
      <c r="AA730" s="226" t="str">
        <f>IFERROR(VLOOKUP(Y730,TD!$K$47:$L$65,2,0)," ")</f>
        <v>PM/0131/0108/45990160207</v>
      </c>
      <c r="AB730" s="147" t="s">
        <v>138</v>
      </c>
      <c r="AC730" s="225" t="s">
        <v>204</v>
      </c>
    </row>
    <row r="731" spans="2:29" ht="98" x14ac:dyDescent="0.35">
      <c r="B731" s="145">
        <v>20250775</v>
      </c>
      <c r="C731" s="148" t="s">
        <v>208</v>
      </c>
      <c r="D731" s="224" t="s">
        <v>164</v>
      </c>
      <c r="E731" s="225" t="s">
        <v>389</v>
      </c>
      <c r="F731" s="184" t="s">
        <v>456</v>
      </c>
      <c r="G731" s="218" t="s">
        <v>155</v>
      </c>
      <c r="H731" s="93">
        <v>80111600</v>
      </c>
      <c r="I731" s="185">
        <v>8</v>
      </c>
      <c r="J731" s="185">
        <v>5</v>
      </c>
      <c r="K731" s="52">
        <v>0</v>
      </c>
      <c r="L731" s="53">
        <v>54000000</v>
      </c>
      <c r="M731" s="146" t="s">
        <v>464</v>
      </c>
      <c r="N731" s="147" t="s">
        <v>113</v>
      </c>
      <c r="O731" s="225" t="s">
        <v>219</v>
      </c>
      <c r="P731" s="221" t="str">
        <f>IFERROR(VLOOKUP(C731,TD!$B$33:$F$37,2,0)," ")</f>
        <v>O230117</v>
      </c>
      <c r="Q731" s="221" t="str">
        <f>IFERROR(VLOOKUP(C731,TD!$B$33:$F$37,3,0)," ")</f>
        <v>4599</v>
      </c>
      <c r="R731" s="221">
        <f>IFERROR(VLOOKUP(C731,TD!$B$33:$F$37,4,0)," ")</f>
        <v>20240207</v>
      </c>
      <c r="S731" s="225" t="s">
        <v>185</v>
      </c>
      <c r="T731" s="192" t="str">
        <f>IFERROR(VLOOKUP(S731,TD!$J$34:$K$44,2,0)," ")</f>
        <v>Infraestructura física, mantenimiento y dotación (Sedes construidas, mantenidas reforzadas)</v>
      </c>
      <c r="U731" s="187" t="str">
        <f>CONCATENATE(S731,"-",T731)</f>
        <v>08-Infraestructura física, mantenimiento y dotación (Sedes construidas, mantenidas reforzadas)</v>
      </c>
      <c r="V731" s="51" t="s">
        <v>238</v>
      </c>
      <c r="W731" s="192" t="str">
        <f>IFERROR(VLOOKUP(V731,TD!$N$34:$O$46,2,0)," ")</f>
        <v>Sedes mantenidas</v>
      </c>
      <c r="X731" s="187" t="str">
        <f>CONCATENATE(V731,"_",W731)</f>
        <v>016_Sedes mantenidas</v>
      </c>
      <c r="Y731" s="187" t="str">
        <f>CONCATENATE(U731," ",X731)</f>
        <v>08-Infraestructura física, mantenimiento y dotación (Sedes construidas, mantenidas reforzadas) 016_Sedes mantenidas</v>
      </c>
      <c r="Z731" s="221" t="str">
        <f>CONCATENATE(P731,Q731,R731,S731,V731)</f>
        <v>O23011745992024020708016</v>
      </c>
      <c r="AA731" s="221" t="str">
        <f>IFERROR(VLOOKUP(Y731,TD!$K$47:$L$65,2,0)," ")</f>
        <v>PM/0131/0108/45990160207</v>
      </c>
      <c r="AB731" s="147" t="s">
        <v>138</v>
      </c>
      <c r="AC731" s="220" t="s">
        <v>204</v>
      </c>
    </row>
    <row r="732" spans="2:29" ht="70" x14ac:dyDescent="0.35">
      <c r="B732" s="145">
        <v>20250776</v>
      </c>
      <c r="C732" s="148" t="s">
        <v>208</v>
      </c>
      <c r="D732" s="224" t="s">
        <v>164</v>
      </c>
      <c r="E732" s="225" t="s">
        <v>389</v>
      </c>
      <c r="F732" s="184" t="s">
        <v>457</v>
      </c>
      <c r="G732" s="218" t="s">
        <v>155</v>
      </c>
      <c r="H732" s="93">
        <v>80111600</v>
      </c>
      <c r="I732" s="185">
        <v>8</v>
      </c>
      <c r="J732" s="185">
        <v>5</v>
      </c>
      <c r="K732" s="52">
        <v>0</v>
      </c>
      <c r="L732" s="53">
        <f>52250000-29400000+6550000</f>
        <v>29400000</v>
      </c>
      <c r="M732" s="146" t="s">
        <v>464</v>
      </c>
      <c r="N732" s="147" t="s">
        <v>113</v>
      </c>
      <c r="O732" s="225" t="s">
        <v>219</v>
      </c>
      <c r="P732" s="221" t="str">
        <f>IFERROR(VLOOKUP(C732,TD!$B$33:$F$37,2,0)," ")</f>
        <v>O230117</v>
      </c>
      <c r="Q732" s="221" t="str">
        <f>IFERROR(VLOOKUP(C732,TD!$B$33:$F$37,3,0)," ")</f>
        <v>4599</v>
      </c>
      <c r="R732" s="221">
        <f>IFERROR(VLOOKUP(C732,TD!$B$33:$F$37,4,0)," ")</f>
        <v>20240207</v>
      </c>
      <c r="S732" s="225" t="s">
        <v>185</v>
      </c>
      <c r="T732" s="192" t="str">
        <f>IFERROR(VLOOKUP(S732,TD!$J$34:$K$44,2,0)," ")</f>
        <v>Infraestructura física, mantenimiento y dotación (Sedes construidas, mantenidas reforzadas)</v>
      </c>
      <c r="U732" s="187" t="str">
        <f>CONCATENATE(S732,"-",T732)</f>
        <v>08-Infraestructura física, mantenimiento y dotación (Sedes construidas, mantenidas reforzadas)</v>
      </c>
      <c r="V732" s="51" t="s">
        <v>238</v>
      </c>
      <c r="W732" s="192" t="str">
        <f>IFERROR(VLOOKUP(V732,TD!$N$34:$O$46,2,0)," ")</f>
        <v>Sedes mantenidas</v>
      </c>
      <c r="X732" s="187" t="str">
        <f>CONCATENATE(V732,"_",W732)</f>
        <v>016_Sedes mantenidas</v>
      </c>
      <c r="Y732" s="187" t="str">
        <f>CONCATENATE(U732," ",X732)</f>
        <v>08-Infraestructura física, mantenimiento y dotación (Sedes construidas, mantenidas reforzadas) 016_Sedes mantenidas</v>
      </c>
      <c r="Z732" s="221" t="str">
        <f>CONCATENATE(P732,Q732,R732,S732,V732)</f>
        <v>O23011745992024020708016</v>
      </c>
      <c r="AA732" s="221" t="str">
        <f>IFERROR(VLOOKUP(Y732,TD!$K$47:$L$65,2,0)," ")</f>
        <v>PM/0131/0108/45990160207</v>
      </c>
      <c r="AB732" s="147" t="s">
        <v>138</v>
      </c>
      <c r="AC732" s="220" t="s">
        <v>204</v>
      </c>
    </row>
    <row r="733" spans="2:29" ht="196" x14ac:dyDescent="0.35">
      <c r="B733" s="145">
        <v>20250777</v>
      </c>
      <c r="C733" s="148" t="s">
        <v>208</v>
      </c>
      <c r="D733" s="224" t="s">
        <v>164</v>
      </c>
      <c r="E733" s="225" t="s">
        <v>389</v>
      </c>
      <c r="F733" s="184" t="s">
        <v>803</v>
      </c>
      <c r="G733" s="218" t="s">
        <v>155</v>
      </c>
      <c r="H733" s="93">
        <v>80111600</v>
      </c>
      <c r="I733" s="185">
        <v>8</v>
      </c>
      <c r="J733" s="185">
        <v>5</v>
      </c>
      <c r="K733" s="52">
        <v>0</v>
      </c>
      <c r="L733" s="53">
        <v>44000000</v>
      </c>
      <c r="M733" s="146" t="s">
        <v>464</v>
      </c>
      <c r="N733" s="147" t="s">
        <v>113</v>
      </c>
      <c r="O733" s="225" t="s">
        <v>219</v>
      </c>
      <c r="P733" s="221" t="str">
        <f>IFERROR(VLOOKUP(C733,TD!$B$33:$F$37,2,0)," ")</f>
        <v>O230117</v>
      </c>
      <c r="Q733" s="221" t="str">
        <f>IFERROR(VLOOKUP(C733,TD!$B$33:$F$37,3,0)," ")</f>
        <v>4599</v>
      </c>
      <c r="R733" s="221">
        <f>IFERROR(VLOOKUP(C733,TD!$B$33:$F$37,4,0)," ")</f>
        <v>20240207</v>
      </c>
      <c r="S733" s="225" t="s">
        <v>185</v>
      </c>
      <c r="T733" s="192" t="str">
        <f>IFERROR(VLOOKUP(S733,TD!$J$34:$K$44,2,0)," ")</f>
        <v>Infraestructura física, mantenimiento y dotación (Sedes construidas, mantenidas reforzadas)</v>
      </c>
      <c r="U733" s="187" t="str">
        <f>CONCATENATE(S733,"-",T733)</f>
        <v>08-Infraestructura física, mantenimiento y dotación (Sedes construidas, mantenidas reforzadas)</v>
      </c>
      <c r="V733" s="51" t="s">
        <v>238</v>
      </c>
      <c r="W733" s="192" t="str">
        <f>IFERROR(VLOOKUP(V733,TD!$N$34:$O$46,2,0)," ")</f>
        <v>Sedes mantenidas</v>
      </c>
      <c r="X733" s="187" t="str">
        <f>CONCATENATE(V733,"_",W733)</f>
        <v>016_Sedes mantenidas</v>
      </c>
      <c r="Y733" s="187" t="str">
        <f>CONCATENATE(U733," ",X733)</f>
        <v>08-Infraestructura física, mantenimiento y dotación (Sedes construidas, mantenidas reforzadas) 016_Sedes mantenidas</v>
      </c>
      <c r="Z733" s="221" t="str">
        <f>CONCATENATE(P733,Q733,R733,S733,V733)</f>
        <v>O23011745992024020708016</v>
      </c>
      <c r="AA733" s="221" t="str">
        <f>IFERROR(VLOOKUP(Y733,TD!$K$47:$L$65,2,0)," ")</f>
        <v>PM/0131/0108/45990160207</v>
      </c>
      <c r="AB733" s="144" t="s">
        <v>120</v>
      </c>
      <c r="AC733" s="220" t="s">
        <v>204</v>
      </c>
    </row>
    <row r="734" spans="2:29" ht="56" x14ac:dyDescent="0.35">
      <c r="B734" s="145">
        <v>20250778</v>
      </c>
      <c r="C734" s="148" t="s">
        <v>208</v>
      </c>
      <c r="D734" s="224" t="s">
        <v>164</v>
      </c>
      <c r="E734" s="225" t="s">
        <v>389</v>
      </c>
      <c r="F734" s="202" t="s">
        <v>707</v>
      </c>
      <c r="G734" s="218" t="s">
        <v>155</v>
      </c>
      <c r="H734" s="93">
        <v>80111600</v>
      </c>
      <c r="I734" s="185">
        <v>8</v>
      </c>
      <c r="J734" s="185">
        <v>5</v>
      </c>
      <c r="K734" s="52">
        <v>0</v>
      </c>
      <c r="L734" s="53">
        <f>82500000-45000000</f>
        <v>37500000</v>
      </c>
      <c r="M734" s="146" t="s">
        <v>464</v>
      </c>
      <c r="N734" s="147" t="s">
        <v>113</v>
      </c>
      <c r="O734" s="225" t="s">
        <v>219</v>
      </c>
      <c r="P734" s="221" t="str">
        <f>IFERROR(VLOOKUP(C734,TD!$B$33:$F$37,2,0)," ")</f>
        <v>O230117</v>
      </c>
      <c r="Q734" s="221" t="str">
        <f>IFERROR(VLOOKUP(C734,TD!$B$33:$F$37,3,0)," ")</f>
        <v>4599</v>
      </c>
      <c r="R734" s="221">
        <f>IFERROR(VLOOKUP(C734,TD!$B$33:$F$37,4,0)," ")</f>
        <v>20240207</v>
      </c>
      <c r="S734" s="225" t="s">
        <v>185</v>
      </c>
      <c r="T734" s="192" t="str">
        <f>IFERROR(VLOOKUP(S734,TD!$J$34:$K$44,2,0)," ")</f>
        <v>Infraestructura física, mantenimiento y dotación (Sedes construidas, mantenidas reforzadas)</v>
      </c>
      <c r="U734" s="187" t="str">
        <f>CONCATENATE(S734,"-",T734)</f>
        <v>08-Infraestructura física, mantenimiento y dotación (Sedes construidas, mantenidas reforzadas)</v>
      </c>
      <c r="V734" s="51" t="s">
        <v>238</v>
      </c>
      <c r="W734" s="192" t="str">
        <f>IFERROR(VLOOKUP(V734,TD!$N$34:$O$46,2,0)," ")</f>
        <v>Sedes mantenidas</v>
      </c>
      <c r="X734" s="187" t="str">
        <f>CONCATENATE(V734,"_",W734)</f>
        <v>016_Sedes mantenidas</v>
      </c>
      <c r="Y734" s="187" t="str">
        <f>CONCATENATE(U734," ",X734)</f>
        <v>08-Infraestructura física, mantenimiento y dotación (Sedes construidas, mantenidas reforzadas) 016_Sedes mantenidas</v>
      </c>
      <c r="Z734" s="221" t="str">
        <f>CONCATENATE(P734,Q734,R734,S734,V734)</f>
        <v>O23011745992024020708016</v>
      </c>
      <c r="AA734" s="221" t="str">
        <f>IFERROR(VLOOKUP(Y734,TD!$K$47:$L$65,2,0)," ")</f>
        <v>PM/0131/0108/45990160207</v>
      </c>
      <c r="AB734" s="144" t="s">
        <v>120</v>
      </c>
      <c r="AC734" s="220" t="s">
        <v>204</v>
      </c>
    </row>
    <row r="735" spans="2:29" ht="56" x14ac:dyDescent="0.35">
      <c r="B735" s="143">
        <v>20250779</v>
      </c>
      <c r="C735" s="325" t="s">
        <v>208</v>
      </c>
      <c r="D735" s="224" t="s">
        <v>164</v>
      </c>
      <c r="E735" s="225" t="s">
        <v>389</v>
      </c>
      <c r="F735" s="202" t="s">
        <v>707</v>
      </c>
      <c r="G735" s="213" t="s">
        <v>155</v>
      </c>
      <c r="H735" s="134">
        <v>80111600</v>
      </c>
      <c r="I735" s="203">
        <v>8</v>
      </c>
      <c r="J735" s="203">
        <v>5</v>
      </c>
      <c r="K735" s="135">
        <v>0</v>
      </c>
      <c r="L735" s="131">
        <v>25500000</v>
      </c>
      <c r="M735" s="348" t="s">
        <v>464</v>
      </c>
      <c r="N735" s="353" t="s">
        <v>113</v>
      </c>
      <c r="O735" s="332" t="s">
        <v>219</v>
      </c>
      <c r="P735" s="216" t="str">
        <f>IFERROR(VLOOKUP(C735,TD!$B$33:$F$37,2,0)," ")</f>
        <v>O230117</v>
      </c>
      <c r="Q735" s="216" t="str">
        <f>IFERROR(VLOOKUP(C735,TD!$B$33:$F$37,3,0)," ")</f>
        <v>4599</v>
      </c>
      <c r="R735" s="216">
        <f>IFERROR(VLOOKUP(C735,TD!$B$33:$F$37,4,0)," ")</f>
        <v>20240207</v>
      </c>
      <c r="S735" s="332" t="s">
        <v>185</v>
      </c>
      <c r="T735" s="211" t="str">
        <f>IFERROR(VLOOKUP(S735,TD!$J$34:$K$44,2,0)," ")</f>
        <v>Infraestructura física, mantenimiento y dotación (Sedes construidas, mantenidas reforzadas)</v>
      </c>
      <c r="U735" s="206" t="str">
        <f>CONCATENATE(S735,"-",T735)</f>
        <v>08-Infraestructura física, mantenimiento y dotación (Sedes construidas, mantenidas reforzadas)</v>
      </c>
      <c r="V735" s="205" t="s">
        <v>238</v>
      </c>
      <c r="W735" s="211" t="str">
        <f>IFERROR(VLOOKUP(V735,TD!$N$34:$O$46,2,0)," ")</f>
        <v>Sedes mantenidas</v>
      </c>
      <c r="X735" s="206" t="str">
        <f>CONCATENATE(V735,"_",W735)</f>
        <v>016_Sedes mantenidas</v>
      </c>
      <c r="Y735" s="206" t="str">
        <f>CONCATENATE(U735," ",X735)</f>
        <v>08-Infraestructura física, mantenimiento y dotación (Sedes construidas, mantenidas reforzadas) 016_Sedes mantenidas</v>
      </c>
      <c r="Z735" s="216" t="str">
        <f>CONCATENATE(P735,Q735,R735,S735,V735)</f>
        <v>O23011745992024020708016</v>
      </c>
      <c r="AA735" s="216" t="str">
        <f>IFERROR(VLOOKUP(Y735,TD!$K$47:$L$65,2,0)," ")</f>
        <v>PM/0131/0108/45990160207</v>
      </c>
      <c r="AB735" s="178" t="s">
        <v>120</v>
      </c>
      <c r="AC735" s="217" t="s">
        <v>204</v>
      </c>
    </row>
    <row r="736" spans="2:29" ht="56" x14ac:dyDescent="0.35">
      <c r="B736" s="143">
        <v>20250780</v>
      </c>
      <c r="C736" s="325" t="s">
        <v>208</v>
      </c>
      <c r="D736" s="328" t="s">
        <v>164</v>
      </c>
      <c r="E736" s="332" t="s">
        <v>389</v>
      </c>
      <c r="F736" s="202" t="s">
        <v>1328</v>
      </c>
      <c r="G736" s="213" t="s">
        <v>155</v>
      </c>
      <c r="H736" s="134">
        <v>80111600</v>
      </c>
      <c r="I736" s="203">
        <v>8</v>
      </c>
      <c r="J736" s="203">
        <v>5</v>
      </c>
      <c r="K736" s="135">
        <v>0</v>
      </c>
      <c r="L736" s="131">
        <v>7500000</v>
      </c>
      <c r="M736" s="348" t="s">
        <v>464</v>
      </c>
      <c r="N736" s="353" t="s">
        <v>113</v>
      </c>
      <c r="O736" s="332" t="s">
        <v>219</v>
      </c>
      <c r="P736" s="216" t="str">
        <f>IFERROR(VLOOKUP(C736,TD!$B$33:$F$37,2,0)," ")</f>
        <v>O230117</v>
      </c>
      <c r="Q736" s="216" t="str">
        <f>IFERROR(VLOOKUP(C736,TD!$B$33:$F$37,3,0)," ")</f>
        <v>4599</v>
      </c>
      <c r="R736" s="216">
        <f>IFERROR(VLOOKUP(C736,TD!$B$33:$F$37,4,0)," ")</f>
        <v>20240207</v>
      </c>
      <c r="S736" s="332" t="s">
        <v>185</v>
      </c>
      <c r="T736" s="211" t="str">
        <f>IFERROR(VLOOKUP(S736,TD!$J$34:$K$44,2,0)," ")</f>
        <v>Infraestructura física, mantenimiento y dotación (Sedes construidas, mantenidas reforzadas)</v>
      </c>
      <c r="U736" s="206" t="str">
        <f>CONCATENATE(S736,"-",T736)</f>
        <v>08-Infraestructura física, mantenimiento y dotación (Sedes construidas, mantenidas reforzadas)</v>
      </c>
      <c r="V736" s="205" t="s">
        <v>238</v>
      </c>
      <c r="W736" s="211" t="str">
        <f>IFERROR(VLOOKUP(V736,TD!$N$34:$O$46,2,0)," ")</f>
        <v>Sedes mantenidas</v>
      </c>
      <c r="X736" s="206" t="str">
        <f>CONCATENATE(V736,"_",W736)</f>
        <v>016_Sedes mantenidas</v>
      </c>
      <c r="Y736" s="206" t="str">
        <f>CONCATENATE(U736," ",X736)</f>
        <v>08-Infraestructura física, mantenimiento y dotación (Sedes construidas, mantenidas reforzadas) 016_Sedes mantenidas</v>
      </c>
      <c r="Z736" s="216" t="str">
        <f>CONCATENATE(P736,Q736,R736,S736,V736)</f>
        <v>O23011745992024020708016</v>
      </c>
      <c r="AA736" s="216" t="str">
        <f>IFERROR(VLOOKUP(Y736,TD!$K$47:$L$65,2,0)," ")</f>
        <v>PM/0131/0108/45990160207</v>
      </c>
      <c r="AB736" s="178" t="s">
        <v>120</v>
      </c>
      <c r="AC736" s="217" t="s">
        <v>205</v>
      </c>
    </row>
    <row r="737" spans="2:29" ht="70" x14ac:dyDescent="0.35">
      <c r="B737" s="160">
        <v>20250781</v>
      </c>
      <c r="C737" s="325" t="s">
        <v>208</v>
      </c>
      <c r="D737" s="224" t="s">
        <v>164</v>
      </c>
      <c r="E737" s="225" t="s">
        <v>389</v>
      </c>
      <c r="F737" s="184" t="s">
        <v>708</v>
      </c>
      <c r="G737" s="218" t="s">
        <v>155</v>
      </c>
      <c r="H737" s="93">
        <v>80111600</v>
      </c>
      <c r="I737" s="185">
        <v>8</v>
      </c>
      <c r="J737" s="185">
        <v>5</v>
      </c>
      <c r="K737" s="52">
        <v>0</v>
      </c>
      <c r="L737" s="53">
        <v>42000000</v>
      </c>
      <c r="M737" s="348" t="s">
        <v>464</v>
      </c>
      <c r="N737" s="353" t="s">
        <v>113</v>
      </c>
      <c r="O737" s="332" t="s">
        <v>219</v>
      </c>
      <c r="P737" s="216" t="str">
        <f>IFERROR(VLOOKUP(C737,TD!$B$33:$F$37,2,0)," ")</f>
        <v>O230117</v>
      </c>
      <c r="Q737" s="216" t="str">
        <f>IFERROR(VLOOKUP(C737,TD!$B$33:$F$37,3,0)," ")</f>
        <v>4599</v>
      </c>
      <c r="R737" s="216">
        <f>IFERROR(VLOOKUP(C737,TD!$B$33:$F$37,4,0)," ")</f>
        <v>20240207</v>
      </c>
      <c r="S737" s="332" t="s">
        <v>185</v>
      </c>
      <c r="T737" s="211" t="str">
        <f>IFERROR(VLOOKUP(S737,TD!$J$34:$K$44,2,0)," ")</f>
        <v>Infraestructura física, mantenimiento y dotación (Sedes construidas, mantenidas reforzadas)</v>
      </c>
      <c r="U737" s="206" t="str">
        <f>CONCATENATE(S737,"-",T737)</f>
        <v>08-Infraestructura física, mantenimiento y dotación (Sedes construidas, mantenidas reforzadas)</v>
      </c>
      <c r="V737" s="205" t="s">
        <v>238</v>
      </c>
      <c r="W737" s="211" t="str">
        <f>IFERROR(VLOOKUP(V737,TD!$N$34:$O$46,2,0)," ")</f>
        <v>Sedes mantenidas</v>
      </c>
      <c r="X737" s="206" t="str">
        <f>CONCATENATE(V737,"_",W737)</f>
        <v>016_Sedes mantenidas</v>
      </c>
      <c r="Y737" s="206" t="str">
        <f>CONCATENATE(U737," ",X737)</f>
        <v>08-Infraestructura física, mantenimiento y dotación (Sedes construidas, mantenidas reforzadas) 016_Sedes mantenidas</v>
      </c>
      <c r="Z737" s="216" t="str">
        <f>CONCATENATE(P737,Q737,R737,S737,V737)</f>
        <v>O23011745992024020708016</v>
      </c>
      <c r="AA737" s="216" t="str">
        <f>IFERROR(VLOOKUP(Y737,TD!$K$47:$L$65,2,0)," ")</f>
        <v>PM/0131/0108/45990160207</v>
      </c>
      <c r="AB737" s="178" t="s">
        <v>120</v>
      </c>
      <c r="AC737" s="217" t="s">
        <v>204</v>
      </c>
    </row>
    <row r="738" spans="2:29" ht="84" x14ac:dyDescent="0.35">
      <c r="B738" s="143">
        <v>20250782</v>
      </c>
      <c r="C738" s="325" t="s">
        <v>208</v>
      </c>
      <c r="D738" s="224" t="s">
        <v>164</v>
      </c>
      <c r="E738" s="225" t="s">
        <v>389</v>
      </c>
      <c r="F738" s="202" t="s">
        <v>707</v>
      </c>
      <c r="G738" s="218" t="s">
        <v>155</v>
      </c>
      <c r="H738" s="134">
        <v>80111600</v>
      </c>
      <c r="I738" s="203">
        <v>8</v>
      </c>
      <c r="J738" s="203">
        <v>5</v>
      </c>
      <c r="K738" s="135">
        <v>0</v>
      </c>
      <c r="L738" s="131">
        <f>71500000-39000000</f>
        <v>32500000</v>
      </c>
      <c r="M738" s="348" t="s">
        <v>464</v>
      </c>
      <c r="N738" s="353" t="s">
        <v>113</v>
      </c>
      <c r="O738" s="332" t="s">
        <v>219</v>
      </c>
      <c r="P738" s="216" t="str">
        <f>IFERROR(VLOOKUP(C738,TD!$B$33:$F$37,2,0)," ")</f>
        <v>O230117</v>
      </c>
      <c r="Q738" s="216" t="str">
        <f>IFERROR(VLOOKUP(C738,TD!$B$33:$F$37,3,0)," ")</f>
        <v>4599</v>
      </c>
      <c r="R738" s="216">
        <f>IFERROR(VLOOKUP(C738,TD!$B$33:$F$37,4,0)," ")</f>
        <v>20240207</v>
      </c>
      <c r="S738" s="332" t="s">
        <v>185</v>
      </c>
      <c r="T738" s="211" t="str">
        <f>IFERROR(VLOOKUP(S738,TD!$J$34:$K$44,2,0)," ")</f>
        <v>Infraestructura física, mantenimiento y dotación (Sedes construidas, mantenidas reforzadas)</v>
      </c>
      <c r="U738" s="206" t="str">
        <f>CONCATENATE(S738,"-",T738)</f>
        <v>08-Infraestructura física, mantenimiento y dotación (Sedes construidas, mantenidas reforzadas)</v>
      </c>
      <c r="V738" s="205" t="s">
        <v>238</v>
      </c>
      <c r="W738" s="211" t="str">
        <f>IFERROR(VLOOKUP(V738,TD!$N$34:$O$46,2,0)," ")</f>
        <v>Sedes mantenidas</v>
      </c>
      <c r="X738" s="206" t="str">
        <f>CONCATENATE(V738,"_",W738)</f>
        <v>016_Sedes mantenidas</v>
      </c>
      <c r="Y738" s="206" t="str">
        <f>CONCATENATE(U738," ",X738)</f>
        <v>08-Infraestructura física, mantenimiento y dotación (Sedes construidas, mantenidas reforzadas) 016_Sedes mantenidas</v>
      </c>
      <c r="Z738" s="216" t="str">
        <f>CONCATENATE(P738,Q738,R738,S738,V738)</f>
        <v>O23011745992024020708016</v>
      </c>
      <c r="AA738" s="216" t="str">
        <f>IFERROR(VLOOKUP(Y738,TD!$K$47:$L$65,2,0)," ")</f>
        <v>PM/0131/0108/45990160207</v>
      </c>
      <c r="AB738" s="178" t="s">
        <v>120</v>
      </c>
      <c r="AC738" s="217" t="s">
        <v>204</v>
      </c>
    </row>
    <row r="739" spans="2:29" ht="84" x14ac:dyDescent="0.35">
      <c r="B739" s="143">
        <v>20250783</v>
      </c>
      <c r="C739" s="325" t="s">
        <v>208</v>
      </c>
      <c r="D739" s="224" t="s">
        <v>164</v>
      </c>
      <c r="E739" s="225" t="s">
        <v>389</v>
      </c>
      <c r="F739" s="202" t="s">
        <v>707</v>
      </c>
      <c r="G739" s="218" t="s">
        <v>155</v>
      </c>
      <c r="H739" s="134">
        <v>80111600</v>
      </c>
      <c r="I739" s="203">
        <v>8</v>
      </c>
      <c r="J739" s="203">
        <v>3</v>
      </c>
      <c r="K739" s="135">
        <v>0</v>
      </c>
      <c r="L739" s="131">
        <v>30000000</v>
      </c>
      <c r="M739" s="348" t="s">
        <v>464</v>
      </c>
      <c r="N739" s="353" t="s">
        <v>113</v>
      </c>
      <c r="O739" s="332" t="s">
        <v>219</v>
      </c>
      <c r="P739" s="216" t="str">
        <f>IFERROR(VLOOKUP(C739,TD!$B$33:$F$37,2,0)," ")</f>
        <v>O230117</v>
      </c>
      <c r="Q739" s="216" t="str">
        <f>IFERROR(VLOOKUP(C739,TD!$B$33:$F$37,3,0)," ")</f>
        <v>4599</v>
      </c>
      <c r="R739" s="216">
        <f>IFERROR(VLOOKUP(C739,TD!$B$33:$F$37,4,0)," ")</f>
        <v>20240207</v>
      </c>
      <c r="S739" s="332" t="s">
        <v>185</v>
      </c>
      <c r="T739" s="211" t="str">
        <f>IFERROR(VLOOKUP(S739,TD!$J$34:$K$44,2,0)," ")</f>
        <v>Infraestructura física, mantenimiento y dotación (Sedes construidas, mantenidas reforzadas)</v>
      </c>
      <c r="U739" s="206" t="str">
        <f>CONCATENATE(S739,"-",T739)</f>
        <v>08-Infraestructura física, mantenimiento y dotación (Sedes construidas, mantenidas reforzadas)</v>
      </c>
      <c r="V739" s="205" t="s">
        <v>238</v>
      </c>
      <c r="W739" s="211" t="str">
        <f>IFERROR(VLOOKUP(V739,TD!$N$34:$O$46,2,0)," ")</f>
        <v>Sedes mantenidas</v>
      </c>
      <c r="X739" s="206" t="str">
        <f>CONCATENATE(V739,"_",W739)</f>
        <v>016_Sedes mantenidas</v>
      </c>
      <c r="Y739" s="206" t="str">
        <f>CONCATENATE(U739," ",X739)</f>
        <v>08-Infraestructura física, mantenimiento y dotación (Sedes construidas, mantenidas reforzadas) 016_Sedes mantenidas</v>
      </c>
      <c r="Z739" s="216" t="str">
        <f>CONCATENATE(P739,Q739,R739,S739,V739)</f>
        <v>O23011745992024020708016</v>
      </c>
      <c r="AA739" s="216" t="str">
        <f>IFERROR(VLOOKUP(Y739,TD!$K$47:$L$65,2,0)," ")</f>
        <v>PM/0131/0108/45990160207</v>
      </c>
      <c r="AB739" s="178" t="s">
        <v>120</v>
      </c>
      <c r="AC739" s="217" t="s">
        <v>204</v>
      </c>
    </row>
    <row r="740" spans="2:29" ht="84" x14ac:dyDescent="0.35">
      <c r="B740" s="143">
        <v>20250784</v>
      </c>
      <c r="C740" s="325" t="s">
        <v>208</v>
      </c>
      <c r="D740" s="224" t="s">
        <v>164</v>
      </c>
      <c r="E740" s="225" t="s">
        <v>389</v>
      </c>
      <c r="F740" s="202" t="s">
        <v>707</v>
      </c>
      <c r="G740" s="213" t="s">
        <v>155</v>
      </c>
      <c r="H740" s="134">
        <v>80111600</v>
      </c>
      <c r="I740" s="203">
        <v>8</v>
      </c>
      <c r="J740" s="203">
        <v>3</v>
      </c>
      <c r="K740" s="135">
        <v>0</v>
      </c>
      <c r="L740" s="131">
        <v>45000000</v>
      </c>
      <c r="M740" s="348" t="s">
        <v>464</v>
      </c>
      <c r="N740" s="353" t="s">
        <v>113</v>
      </c>
      <c r="O740" s="332" t="s">
        <v>219</v>
      </c>
      <c r="P740" s="216" t="str">
        <f>IFERROR(VLOOKUP(C740,TD!$B$33:$F$37,2,0)," ")</f>
        <v>O230117</v>
      </c>
      <c r="Q740" s="216" t="str">
        <f>IFERROR(VLOOKUP(C740,TD!$B$33:$F$37,3,0)," ")</f>
        <v>4599</v>
      </c>
      <c r="R740" s="216">
        <f>IFERROR(VLOOKUP(C740,TD!$B$33:$F$37,4,0)," ")</f>
        <v>20240207</v>
      </c>
      <c r="S740" s="332" t="s">
        <v>185</v>
      </c>
      <c r="T740" s="211" t="str">
        <f>IFERROR(VLOOKUP(S740,TD!$J$34:$K$44,2,0)," ")</f>
        <v>Infraestructura física, mantenimiento y dotación (Sedes construidas, mantenidas reforzadas)</v>
      </c>
      <c r="U740" s="206" t="str">
        <f>CONCATENATE(S740,"-",T740)</f>
        <v>08-Infraestructura física, mantenimiento y dotación (Sedes construidas, mantenidas reforzadas)</v>
      </c>
      <c r="V740" s="205" t="s">
        <v>238</v>
      </c>
      <c r="W740" s="211" t="str">
        <f>IFERROR(VLOOKUP(V740,TD!$N$34:$O$46,2,0)," ")</f>
        <v>Sedes mantenidas</v>
      </c>
      <c r="X740" s="206" t="str">
        <f>CONCATENATE(V740,"_",W740)</f>
        <v>016_Sedes mantenidas</v>
      </c>
      <c r="Y740" s="206" t="str">
        <f>CONCATENATE(U740," ",X740)</f>
        <v>08-Infraestructura física, mantenimiento y dotación (Sedes construidas, mantenidas reforzadas) 016_Sedes mantenidas</v>
      </c>
      <c r="Z740" s="216" t="str">
        <f>CONCATENATE(P740,Q740,R740,S740,V740)</f>
        <v>O23011745992024020708016</v>
      </c>
      <c r="AA740" s="216" t="str">
        <f>IFERROR(VLOOKUP(Y740,TD!$K$47:$L$65,2,0)," ")</f>
        <v>PM/0131/0108/45990160207</v>
      </c>
      <c r="AB740" s="178" t="s">
        <v>120</v>
      </c>
      <c r="AC740" s="217" t="s">
        <v>204</v>
      </c>
    </row>
    <row r="741" spans="2:29" ht="56" x14ac:dyDescent="0.35">
      <c r="B741" s="143">
        <v>20250785</v>
      </c>
      <c r="C741" s="325" t="s">
        <v>208</v>
      </c>
      <c r="D741" s="224" t="s">
        <v>164</v>
      </c>
      <c r="E741" s="225" t="s">
        <v>389</v>
      </c>
      <c r="F741" s="202" t="s">
        <v>709</v>
      </c>
      <c r="G741" s="218" t="s">
        <v>155</v>
      </c>
      <c r="H741" s="134">
        <v>80111600</v>
      </c>
      <c r="I741" s="203">
        <v>8</v>
      </c>
      <c r="J741" s="203">
        <v>3</v>
      </c>
      <c r="K741" s="135">
        <v>0</v>
      </c>
      <c r="L741" s="131">
        <v>37200000</v>
      </c>
      <c r="M741" s="348" t="s">
        <v>464</v>
      </c>
      <c r="N741" s="353" t="s">
        <v>113</v>
      </c>
      <c r="O741" s="332" t="s">
        <v>219</v>
      </c>
      <c r="P741" s="216" t="str">
        <f>IFERROR(VLOOKUP(C741,TD!$B$33:$F$37,2,0)," ")</f>
        <v>O230117</v>
      </c>
      <c r="Q741" s="216" t="str">
        <f>IFERROR(VLOOKUP(C741,TD!$B$33:$F$37,3,0)," ")</f>
        <v>4599</v>
      </c>
      <c r="R741" s="216">
        <f>IFERROR(VLOOKUP(C741,TD!$B$33:$F$37,4,0)," ")</f>
        <v>20240207</v>
      </c>
      <c r="S741" s="332" t="s">
        <v>185</v>
      </c>
      <c r="T741" s="211" t="str">
        <f>IFERROR(VLOOKUP(S741,TD!$J$34:$K$44,2,0)," ")</f>
        <v>Infraestructura física, mantenimiento y dotación (Sedes construidas, mantenidas reforzadas)</v>
      </c>
      <c r="U741" s="206" t="str">
        <f>CONCATENATE(S741,"-",T741)</f>
        <v>08-Infraestructura física, mantenimiento y dotación (Sedes construidas, mantenidas reforzadas)</v>
      </c>
      <c r="V741" s="205" t="s">
        <v>238</v>
      </c>
      <c r="W741" s="211" t="str">
        <f>IFERROR(VLOOKUP(V741,TD!$N$34:$O$46,2,0)," ")</f>
        <v>Sedes mantenidas</v>
      </c>
      <c r="X741" s="206" t="str">
        <f>CONCATENATE(V741,"_",W741)</f>
        <v>016_Sedes mantenidas</v>
      </c>
      <c r="Y741" s="206" t="str">
        <f>CONCATENATE(U741," ",X741)</f>
        <v>08-Infraestructura física, mantenimiento y dotación (Sedes construidas, mantenidas reforzadas) 016_Sedes mantenidas</v>
      </c>
      <c r="Z741" s="216" t="str">
        <f>CONCATENATE(P741,Q741,R741,S741,V741)</f>
        <v>O23011745992024020708016</v>
      </c>
      <c r="AA741" s="216" t="str">
        <f>IFERROR(VLOOKUP(Y741,TD!$K$47:$L$65,2,0)," ")</f>
        <v>PM/0131/0108/45990160207</v>
      </c>
      <c r="AB741" s="178" t="s">
        <v>138</v>
      </c>
      <c r="AC741" s="217" t="s">
        <v>204</v>
      </c>
    </row>
    <row r="742" spans="2:29" ht="56" x14ac:dyDescent="0.35">
      <c r="B742" s="143">
        <v>20250786</v>
      </c>
      <c r="C742" s="325" t="s">
        <v>208</v>
      </c>
      <c r="D742" s="224" t="s">
        <v>164</v>
      </c>
      <c r="E742" s="225" t="s">
        <v>389</v>
      </c>
      <c r="F742" s="202" t="s">
        <v>709</v>
      </c>
      <c r="G742" s="218" t="s">
        <v>155</v>
      </c>
      <c r="H742" s="134">
        <v>80111600</v>
      </c>
      <c r="I742" s="203">
        <v>8</v>
      </c>
      <c r="J742" s="203">
        <v>3</v>
      </c>
      <c r="K742" s="135">
        <v>0</v>
      </c>
      <c r="L742" s="131">
        <v>23750000</v>
      </c>
      <c r="M742" s="142" t="s">
        <v>464</v>
      </c>
      <c r="N742" s="353" t="s">
        <v>113</v>
      </c>
      <c r="O742" s="332" t="s">
        <v>219</v>
      </c>
      <c r="P742" s="216" t="str">
        <f>IFERROR(VLOOKUP(C742,TD!$B$33:$F$37,2,0)," ")</f>
        <v>O230117</v>
      </c>
      <c r="Q742" s="216" t="str">
        <f>IFERROR(VLOOKUP(C742,TD!$B$33:$F$37,3,0)," ")</f>
        <v>4599</v>
      </c>
      <c r="R742" s="216">
        <f>IFERROR(VLOOKUP(C742,TD!$B$33:$F$37,4,0)," ")</f>
        <v>20240207</v>
      </c>
      <c r="S742" s="332" t="s">
        <v>185</v>
      </c>
      <c r="T742" s="211" t="str">
        <f>IFERROR(VLOOKUP(S742,TD!$J$34:$K$44,2,0)," ")</f>
        <v>Infraestructura física, mantenimiento y dotación (Sedes construidas, mantenidas reforzadas)</v>
      </c>
      <c r="U742" s="206" t="str">
        <f>CONCATENATE(S742,"-",T742)</f>
        <v>08-Infraestructura física, mantenimiento y dotación (Sedes construidas, mantenidas reforzadas)</v>
      </c>
      <c r="V742" s="205" t="s">
        <v>238</v>
      </c>
      <c r="W742" s="211" t="str">
        <f>IFERROR(VLOOKUP(V742,TD!$N$34:$O$46,2,0)," ")</f>
        <v>Sedes mantenidas</v>
      </c>
      <c r="X742" s="206" t="str">
        <f>CONCATENATE(V742,"_",W742)</f>
        <v>016_Sedes mantenidas</v>
      </c>
      <c r="Y742" s="206" t="str">
        <f>CONCATENATE(U742," ",X742)</f>
        <v>08-Infraestructura física, mantenimiento y dotación (Sedes construidas, mantenidas reforzadas) 016_Sedes mantenidas</v>
      </c>
      <c r="Z742" s="216" t="str">
        <f>CONCATENATE(P742,Q742,R742,S742,V742)</f>
        <v>O23011745992024020708016</v>
      </c>
      <c r="AA742" s="216" t="str">
        <f>IFERROR(VLOOKUP(Y742,TD!$K$47:$L$65,2,0)," ")</f>
        <v>PM/0131/0108/45990160207</v>
      </c>
      <c r="AB742" s="178" t="s">
        <v>138</v>
      </c>
      <c r="AC742" s="217" t="s">
        <v>204</v>
      </c>
    </row>
    <row r="743" spans="2:29" ht="56" x14ac:dyDescent="0.35">
      <c r="B743" s="143">
        <v>20250787</v>
      </c>
      <c r="C743" s="325" t="s">
        <v>208</v>
      </c>
      <c r="D743" s="224" t="s">
        <v>164</v>
      </c>
      <c r="E743" s="225" t="s">
        <v>389</v>
      </c>
      <c r="F743" s="202" t="s">
        <v>709</v>
      </c>
      <c r="G743" s="218" t="s">
        <v>155</v>
      </c>
      <c r="H743" s="134">
        <v>80111600</v>
      </c>
      <c r="I743" s="203">
        <v>8</v>
      </c>
      <c r="J743" s="203">
        <v>3</v>
      </c>
      <c r="K743" s="135">
        <v>0</v>
      </c>
      <c r="L743" s="131">
        <v>34100000</v>
      </c>
      <c r="M743" s="348" t="s">
        <v>464</v>
      </c>
      <c r="N743" s="353" t="s">
        <v>113</v>
      </c>
      <c r="O743" s="332" t="s">
        <v>219</v>
      </c>
      <c r="P743" s="216" t="str">
        <f>IFERROR(VLOOKUP(C743,TD!$B$33:$F$37,2,0)," ")</f>
        <v>O230117</v>
      </c>
      <c r="Q743" s="216" t="str">
        <f>IFERROR(VLOOKUP(C743,TD!$B$33:$F$37,3,0)," ")</f>
        <v>4599</v>
      </c>
      <c r="R743" s="216">
        <f>IFERROR(VLOOKUP(C743,TD!$B$33:$F$37,4,0)," ")</f>
        <v>20240207</v>
      </c>
      <c r="S743" s="332" t="s">
        <v>185</v>
      </c>
      <c r="T743" s="211" t="str">
        <f>IFERROR(VLOOKUP(S743,TD!$J$34:$K$44,2,0)," ")</f>
        <v>Infraestructura física, mantenimiento y dotación (Sedes construidas, mantenidas reforzadas)</v>
      </c>
      <c r="U743" s="206" t="str">
        <f>CONCATENATE(S743,"-",T743)</f>
        <v>08-Infraestructura física, mantenimiento y dotación (Sedes construidas, mantenidas reforzadas)</v>
      </c>
      <c r="V743" s="205" t="s">
        <v>238</v>
      </c>
      <c r="W743" s="211" t="str">
        <f>IFERROR(VLOOKUP(V743,TD!$N$34:$O$46,2,0)," ")</f>
        <v>Sedes mantenidas</v>
      </c>
      <c r="X743" s="206" t="str">
        <f>CONCATENATE(V743,"_",W743)</f>
        <v>016_Sedes mantenidas</v>
      </c>
      <c r="Y743" s="206" t="str">
        <f>CONCATENATE(U743," ",X743)</f>
        <v>08-Infraestructura física, mantenimiento y dotación (Sedes construidas, mantenidas reforzadas) 016_Sedes mantenidas</v>
      </c>
      <c r="Z743" s="216" t="str">
        <f>CONCATENATE(P743,Q743,R743,S743,V743)</f>
        <v>O23011745992024020708016</v>
      </c>
      <c r="AA743" s="216" t="str">
        <f>IFERROR(VLOOKUP(Y743,TD!$K$47:$L$65,2,0)," ")</f>
        <v>PM/0131/0108/45990160207</v>
      </c>
      <c r="AB743" s="178" t="s">
        <v>138</v>
      </c>
      <c r="AC743" s="217" t="s">
        <v>204</v>
      </c>
    </row>
    <row r="744" spans="2:29" ht="56" x14ac:dyDescent="0.35">
      <c r="B744" s="143">
        <v>20250788</v>
      </c>
      <c r="C744" s="325" t="s">
        <v>208</v>
      </c>
      <c r="D744" s="224" t="s">
        <v>164</v>
      </c>
      <c r="E744" s="225" t="s">
        <v>389</v>
      </c>
      <c r="F744" s="202" t="s">
        <v>709</v>
      </c>
      <c r="G744" s="218" t="s">
        <v>155</v>
      </c>
      <c r="H744" s="134">
        <v>80111600</v>
      </c>
      <c r="I744" s="203">
        <v>8</v>
      </c>
      <c r="J744" s="203">
        <v>3</v>
      </c>
      <c r="K744" s="135">
        <v>0</v>
      </c>
      <c r="L744" s="131">
        <v>26660000</v>
      </c>
      <c r="M744" s="348" t="s">
        <v>464</v>
      </c>
      <c r="N744" s="353" t="s">
        <v>113</v>
      </c>
      <c r="O744" s="332" t="s">
        <v>219</v>
      </c>
      <c r="P744" s="216" t="str">
        <f>IFERROR(VLOOKUP(C744,TD!$B$33:$F$37,2,0)," ")</f>
        <v>O230117</v>
      </c>
      <c r="Q744" s="216" t="str">
        <f>IFERROR(VLOOKUP(C744,TD!$B$33:$F$37,3,0)," ")</f>
        <v>4599</v>
      </c>
      <c r="R744" s="216">
        <f>IFERROR(VLOOKUP(C744,TD!$B$33:$F$37,4,0)," ")</f>
        <v>20240207</v>
      </c>
      <c r="S744" s="332" t="s">
        <v>185</v>
      </c>
      <c r="T744" s="211" t="str">
        <f>IFERROR(VLOOKUP(S744,TD!$J$34:$K$44,2,0)," ")</f>
        <v>Infraestructura física, mantenimiento y dotación (Sedes construidas, mantenidas reforzadas)</v>
      </c>
      <c r="U744" s="206" t="str">
        <f>CONCATENATE(S744,"-",T744)</f>
        <v>08-Infraestructura física, mantenimiento y dotación (Sedes construidas, mantenidas reforzadas)</v>
      </c>
      <c r="V744" s="205" t="s">
        <v>238</v>
      </c>
      <c r="W744" s="211" t="str">
        <f>IFERROR(VLOOKUP(V744,TD!$N$34:$O$46,2,0)," ")</f>
        <v>Sedes mantenidas</v>
      </c>
      <c r="X744" s="206" t="str">
        <f>CONCATENATE(V744,"_",W744)</f>
        <v>016_Sedes mantenidas</v>
      </c>
      <c r="Y744" s="206" t="str">
        <f>CONCATENATE(U744," ",X744)</f>
        <v>08-Infraestructura física, mantenimiento y dotación (Sedes construidas, mantenidas reforzadas) 016_Sedes mantenidas</v>
      </c>
      <c r="Z744" s="216" t="str">
        <f>CONCATENATE(P744,Q744,R744,S744,V744)</f>
        <v>O23011745992024020708016</v>
      </c>
      <c r="AA744" s="216" t="str">
        <f>IFERROR(VLOOKUP(Y744,TD!$K$47:$L$65,2,0)," ")</f>
        <v>PM/0131/0108/45990160207</v>
      </c>
      <c r="AB744" s="178" t="s">
        <v>138</v>
      </c>
      <c r="AC744" s="217" t="s">
        <v>204</v>
      </c>
    </row>
    <row r="745" spans="2:29" ht="70" x14ac:dyDescent="0.35">
      <c r="B745" s="143">
        <v>20250789</v>
      </c>
      <c r="C745" s="325" t="s">
        <v>208</v>
      </c>
      <c r="D745" s="224" t="s">
        <v>164</v>
      </c>
      <c r="E745" s="225" t="s">
        <v>389</v>
      </c>
      <c r="F745" s="202" t="s">
        <v>388</v>
      </c>
      <c r="G745" s="218" t="s">
        <v>155</v>
      </c>
      <c r="H745" s="134">
        <v>80111600</v>
      </c>
      <c r="I745" s="203">
        <v>8</v>
      </c>
      <c r="J745" s="203">
        <v>3</v>
      </c>
      <c r="K745" s="135">
        <v>0</v>
      </c>
      <c r="L745" s="131">
        <f>91850000-50100000</f>
        <v>41750000</v>
      </c>
      <c r="M745" s="348" t="s">
        <v>464</v>
      </c>
      <c r="N745" s="353" t="s">
        <v>113</v>
      </c>
      <c r="O745" s="332" t="s">
        <v>219</v>
      </c>
      <c r="P745" s="216" t="str">
        <f>IFERROR(VLOOKUP(C745,TD!$B$33:$F$37,2,0)," ")</f>
        <v>O230117</v>
      </c>
      <c r="Q745" s="216" t="str">
        <f>IFERROR(VLOOKUP(C745,TD!$B$33:$F$37,3,0)," ")</f>
        <v>4599</v>
      </c>
      <c r="R745" s="216">
        <f>IFERROR(VLOOKUP(C745,TD!$B$33:$F$37,4,0)," ")</f>
        <v>20240207</v>
      </c>
      <c r="S745" s="332" t="s">
        <v>185</v>
      </c>
      <c r="T745" s="211" t="str">
        <f>IFERROR(VLOOKUP(S745,TD!$J$34:$K$44,2,0)," ")</f>
        <v>Infraestructura física, mantenimiento y dotación (Sedes construidas, mantenidas reforzadas)</v>
      </c>
      <c r="U745" s="206" t="str">
        <f>CONCATENATE(S745,"-",T745)</f>
        <v>08-Infraestructura física, mantenimiento y dotación (Sedes construidas, mantenidas reforzadas)</v>
      </c>
      <c r="V745" s="205" t="s">
        <v>238</v>
      </c>
      <c r="W745" s="211" t="str">
        <f>IFERROR(VLOOKUP(V745,TD!$N$34:$O$46,2,0)," ")</f>
        <v>Sedes mantenidas</v>
      </c>
      <c r="X745" s="206" t="str">
        <f>CONCATENATE(V745,"_",W745)</f>
        <v>016_Sedes mantenidas</v>
      </c>
      <c r="Y745" s="206" t="str">
        <f>CONCATENATE(U745," ",X745)</f>
        <v>08-Infraestructura física, mantenimiento y dotación (Sedes construidas, mantenidas reforzadas) 016_Sedes mantenidas</v>
      </c>
      <c r="Z745" s="216" t="str">
        <f>CONCATENATE(P745,Q745,R745,S745,V745)</f>
        <v>O23011745992024020708016</v>
      </c>
      <c r="AA745" s="216" t="str">
        <f>IFERROR(VLOOKUP(Y745,TD!$K$47:$L$65,2,0)," ")</f>
        <v>PM/0131/0108/45990160207</v>
      </c>
      <c r="AB745" s="178" t="s">
        <v>138</v>
      </c>
      <c r="AC745" s="217" t="s">
        <v>204</v>
      </c>
    </row>
    <row r="746" spans="2:29" ht="70" x14ac:dyDescent="0.35">
      <c r="B746" s="143">
        <v>20250790</v>
      </c>
      <c r="C746" s="325" t="s">
        <v>208</v>
      </c>
      <c r="D746" s="224" t="s">
        <v>164</v>
      </c>
      <c r="E746" s="225" t="s">
        <v>389</v>
      </c>
      <c r="F746" s="202" t="s">
        <v>458</v>
      </c>
      <c r="G746" s="213" t="s">
        <v>155</v>
      </c>
      <c r="H746" s="134">
        <v>80111600</v>
      </c>
      <c r="I746" s="203">
        <v>8</v>
      </c>
      <c r="J746" s="203">
        <v>3</v>
      </c>
      <c r="K746" s="135">
        <v>0</v>
      </c>
      <c r="L746" s="141">
        <f>94665000+1845208</f>
        <v>96510208</v>
      </c>
      <c r="M746" s="348" t="s">
        <v>464</v>
      </c>
      <c r="N746" s="353" t="s">
        <v>113</v>
      </c>
      <c r="O746" s="332" t="s">
        <v>219</v>
      </c>
      <c r="P746" s="216" t="str">
        <f>IFERROR(VLOOKUP(C746,TD!$B$33:$F$37,2,0)," ")</f>
        <v>O230117</v>
      </c>
      <c r="Q746" s="216" t="str">
        <f>IFERROR(VLOOKUP(C746,TD!$B$33:$F$37,3,0)," ")</f>
        <v>4599</v>
      </c>
      <c r="R746" s="216">
        <f>IFERROR(VLOOKUP(C746,TD!$B$33:$F$37,4,0)," ")</f>
        <v>20240207</v>
      </c>
      <c r="S746" s="332" t="s">
        <v>185</v>
      </c>
      <c r="T746" s="211" t="str">
        <f>IFERROR(VLOOKUP(S746,TD!$J$34:$K$44,2,0)," ")</f>
        <v>Infraestructura física, mantenimiento y dotación (Sedes construidas, mantenidas reforzadas)</v>
      </c>
      <c r="U746" s="206" t="str">
        <f>CONCATENATE(S746,"-",T746)</f>
        <v>08-Infraestructura física, mantenimiento y dotación (Sedes construidas, mantenidas reforzadas)</v>
      </c>
      <c r="V746" s="205" t="s">
        <v>238</v>
      </c>
      <c r="W746" s="211" t="str">
        <f>IFERROR(VLOOKUP(V746,TD!$N$34:$O$46,2,0)," ")</f>
        <v>Sedes mantenidas</v>
      </c>
      <c r="X746" s="206" t="str">
        <f>CONCATENATE(V746,"_",W746)</f>
        <v>016_Sedes mantenidas</v>
      </c>
      <c r="Y746" s="206" t="str">
        <f>CONCATENATE(U746," ",X746)</f>
        <v>08-Infraestructura física, mantenimiento y dotación (Sedes construidas, mantenidas reforzadas) 016_Sedes mantenidas</v>
      </c>
      <c r="Z746" s="216" t="str">
        <f>CONCATENATE(P746,Q746,R746,S746,V746)</f>
        <v>O23011745992024020708016</v>
      </c>
      <c r="AA746" s="216" t="str">
        <f>IFERROR(VLOOKUP(Y746,TD!$K$47:$L$65,2,0)," ")</f>
        <v>PM/0131/0108/45990160207</v>
      </c>
      <c r="AB746" s="178" t="s">
        <v>120</v>
      </c>
      <c r="AC746" s="217" t="s">
        <v>204</v>
      </c>
    </row>
    <row r="747" spans="2:29" ht="70" x14ac:dyDescent="0.35">
      <c r="B747" s="160">
        <v>20250791</v>
      </c>
      <c r="C747" s="148" t="s">
        <v>208</v>
      </c>
      <c r="D747" s="224" t="s">
        <v>164</v>
      </c>
      <c r="E747" s="225" t="s">
        <v>389</v>
      </c>
      <c r="F747" s="184" t="s">
        <v>710</v>
      </c>
      <c r="G747" s="218" t="s">
        <v>156</v>
      </c>
      <c r="H747" s="93">
        <v>80111600</v>
      </c>
      <c r="I747" s="185">
        <v>8</v>
      </c>
      <c r="J747" s="185">
        <v>3</v>
      </c>
      <c r="K747" s="52">
        <v>0</v>
      </c>
      <c r="L747" s="53">
        <v>13600000</v>
      </c>
      <c r="M747" s="348" t="s">
        <v>464</v>
      </c>
      <c r="N747" s="147" t="s">
        <v>113</v>
      </c>
      <c r="O747" s="225" t="s">
        <v>219</v>
      </c>
      <c r="P747" s="221" t="str">
        <f>IFERROR(VLOOKUP(C747,TD!$B$33:$F$37,2,0)," ")</f>
        <v>O230117</v>
      </c>
      <c r="Q747" s="221" t="str">
        <f>IFERROR(VLOOKUP(C747,TD!$B$33:$F$37,3,0)," ")</f>
        <v>4599</v>
      </c>
      <c r="R747" s="221">
        <f>IFERROR(VLOOKUP(C747,TD!$B$33:$F$37,4,0)," ")</f>
        <v>20240207</v>
      </c>
      <c r="S747" s="332" t="s">
        <v>185</v>
      </c>
      <c r="T747" s="211" t="str">
        <f>IFERROR(VLOOKUP(S747,TD!$J$34:$K$44,2,0)," ")</f>
        <v>Infraestructura física, mantenimiento y dotación (Sedes construidas, mantenidas reforzadas)</v>
      </c>
      <c r="U747" s="206" t="str">
        <f>CONCATENATE(S747,"-",T747)</f>
        <v>08-Infraestructura física, mantenimiento y dotación (Sedes construidas, mantenidas reforzadas)</v>
      </c>
      <c r="V747" s="205" t="s">
        <v>238</v>
      </c>
      <c r="W747" s="211" t="str">
        <f>IFERROR(VLOOKUP(V747,TD!$N$34:$O$46,2,0)," ")</f>
        <v>Sedes mantenidas</v>
      </c>
      <c r="X747" s="187" t="str">
        <f>CONCATENATE(V747,"_",W747)</f>
        <v>016_Sedes mantenidas</v>
      </c>
      <c r="Y747" s="187" t="str">
        <f>CONCATENATE(U747," ",X747)</f>
        <v>08-Infraestructura física, mantenimiento y dotación (Sedes construidas, mantenidas reforzadas) 016_Sedes mantenidas</v>
      </c>
      <c r="Z747" s="221" t="str">
        <f>CONCATENATE(P747,Q747,R747,S747,V747)</f>
        <v>O23011745992024020708016</v>
      </c>
      <c r="AA747" s="221" t="str">
        <f>IFERROR(VLOOKUP(Y747,TD!$K$47:$L$65,2,0)," ")</f>
        <v>PM/0131/0108/45990160207</v>
      </c>
      <c r="AB747" s="144" t="s">
        <v>138</v>
      </c>
      <c r="AC747" s="222" t="s">
        <v>204</v>
      </c>
    </row>
    <row r="748" spans="2:29" ht="70" x14ac:dyDescent="0.35">
      <c r="B748" s="143">
        <v>20250792</v>
      </c>
      <c r="C748" s="148" t="s">
        <v>208</v>
      </c>
      <c r="D748" s="224" t="s">
        <v>164</v>
      </c>
      <c r="E748" s="225" t="s">
        <v>389</v>
      </c>
      <c r="F748" s="202" t="s">
        <v>459</v>
      </c>
      <c r="G748" s="213" t="s">
        <v>156</v>
      </c>
      <c r="H748" s="134">
        <v>80111600</v>
      </c>
      <c r="I748" s="203">
        <v>8</v>
      </c>
      <c r="J748" s="203">
        <v>3</v>
      </c>
      <c r="K748" s="135">
        <v>0</v>
      </c>
      <c r="L748" s="131">
        <v>13600000</v>
      </c>
      <c r="M748" s="348" t="s">
        <v>464</v>
      </c>
      <c r="N748" s="353" t="s">
        <v>113</v>
      </c>
      <c r="O748" s="225" t="s">
        <v>219</v>
      </c>
      <c r="P748" s="216" t="str">
        <f>IFERROR(VLOOKUP(C748,TD!$B$33:$F$37,2,0)," ")</f>
        <v>O230117</v>
      </c>
      <c r="Q748" s="216" t="str">
        <f>IFERROR(VLOOKUP(C748,TD!$B$33:$F$37,3,0)," ")</f>
        <v>4599</v>
      </c>
      <c r="R748" s="216">
        <f>IFERROR(VLOOKUP(C748,TD!$B$33:$F$37,4,0)," ")</f>
        <v>20240207</v>
      </c>
      <c r="S748" s="332" t="s">
        <v>185</v>
      </c>
      <c r="T748" s="211" t="str">
        <f>IFERROR(VLOOKUP(S748,TD!$J$34:$K$44,2,0)," ")</f>
        <v>Infraestructura física, mantenimiento y dotación (Sedes construidas, mantenidas reforzadas)</v>
      </c>
      <c r="U748" s="206" t="str">
        <f>CONCATENATE(S748,"-",T748)</f>
        <v>08-Infraestructura física, mantenimiento y dotación (Sedes construidas, mantenidas reforzadas)</v>
      </c>
      <c r="V748" s="205" t="s">
        <v>238</v>
      </c>
      <c r="W748" s="211" t="str">
        <f>IFERROR(VLOOKUP(V748,TD!$N$34:$O$46,2,0)," ")</f>
        <v>Sedes mantenidas</v>
      </c>
      <c r="X748" s="206" t="str">
        <f>CONCATENATE(V748,"_",W748)</f>
        <v>016_Sedes mantenidas</v>
      </c>
      <c r="Y748" s="206" t="str">
        <f>CONCATENATE(U748," ",X748)</f>
        <v>08-Infraestructura física, mantenimiento y dotación (Sedes construidas, mantenidas reforzadas) 016_Sedes mantenidas</v>
      </c>
      <c r="Z748" s="216" t="str">
        <f>CONCATENATE(P748,Q748,R748,S748,V748)</f>
        <v>O23011745992024020708016</v>
      </c>
      <c r="AA748" s="216" t="str">
        <f>IFERROR(VLOOKUP(Y748,TD!$K$47:$L$65,2,0)," ")</f>
        <v>PM/0131/0108/45990160207</v>
      </c>
      <c r="AB748" s="178" t="s">
        <v>138</v>
      </c>
      <c r="AC748" s="217" t="s">
        <v>204</v>
      </c>
    </row>
    <row r="749" spans="2:29" ht="84" x14ac:dyDescent="0.35">
      <c r="B749" s="143">
        <v>20250793</v>
      </c>
      <c r="C749" s="325" t="s">
        <v>208</v>
      </c>
      <c r="D749" s="328" t="s">
        <v>164</v>
      </c>
      <c r="E749" s="332" t="s">
        <v>389</v>
      </c>
      <c r="F749" s="202" t="s">
        <v>459</v>
      </c>
      <c r="G749" s="213" t="s">
        <v>156</v>
      </c>
      <c r="H749" s="134">
        <v>80111600</v>
      </c>
      <c r="I749" s="203">
        <v>8</v>
      </c>
      <c r="J749" s="203">
        <v>3</v>
      </c>
      <c r="K749" s="135">
        <v>0</v>
      </c>
      <c r="L749" s="131">
        <v>13600000</v>
      </c>
      <c r="M749" s="348" t="s">
        <v>464</v>
      </c>
      <c r="N749" s="353" t="s">
        <v>113</v>
      </c>
      <c r="O749" s="225" t="s">
        <v>219</v>
      </c>
      <c r="P749" s="216" t="str">
        <f>IFERROR(VLOOKUP(C749,TD!$B$33:$F$37,2,0)," ")</f>
        <v>O230117</v>
      </c>
      <c r="Q749" s="216" t="str">
        <f>IFERROR(VLOOKUP(C749,TD!$B$33:$F$37,3,0)," ")</f>
        <v>4599</v>
      </c>
      <c r="R749" s="216">
        <f>IFERROR(VLOOKUP(C749,TD!$B$33:$F$37,4,0)," ")</f>
        <v>20240207</v>
      </c>
      <c r="S749" s="332" t="s">
        <v>185</v>
      </c>
      <c r="T749" s="211" t="str">
        <f>IFERROR(VLOOKUP(S749,TD!$J$34:$K$44,2,0)," ")</f>
        <v>Infraestructura física, mantenimiento y dotación (Sedes construidas, mantenidas reforzadas)</v>
      </c>
      <c r="U749" s="206" t="str">
        <f>CONCATENATE(S749,"-",T749)</f>
        <v>08-Infraestructura física, mantenimiento y dotación (Sedes construidas, mantenidas reforzadas)</v>
      </c>
      <c r="V749" s="205" t="s">
        <v>238</v>
      </c>
      <c r="W749" s="211" t="str">
        <f>IFERROR(VLOOKUP(V749,TD!$N$34:$O$46,2,0)," ")</f>
        <v>Sedes mantenidas</v>
      </c>
      <c r="X749" s="206" t="str">
        <f>CONCATENATE(V749,"_",W749)</f>
        <v>016_Sedes mantenidas</v>
      </c>
      <c r="Y749" s="206" t="str">
        <f>CONCATENATE(U749," ",X749)</f>
        <v>08-Infraestructura física, mantenimiento y dotación (Sedes construidas, mantenidas reforzadas) 016_Sedes mantenidas</v>
      </c>
      <c r="Z749" s="216" t="str">
        <f>CONCATENATE(P749,Q749,R749,S749,V749)</f>
        <v>O23011745992024020708016</v>
      </c>
      <c r="AA749" s="216" t="str">
        <f>IFERROR(VLOOKUP(Y749,TD!$K$47:$L$65,2,0)," ")</f>
        <v>PM/0131/0108/45990160207</v>
      </c>
      <c r="AB749" s="178" t="s">
        <v>138</v>
      </c>
      <c r="AC749" s="217" t="s">
        <v>204</v>
      </c>
    </row>
    <row r="750" spans="2:29" ht="70" x14ac:dyDescent="0.35">
      <c r="B750" s="143">
        <v>20250794</v>
      </c>
      <c r="C750" s="325" t="s">
        <v>208</v>
      </c>
      <c r="D750" s="328" t="s">
        <v>164</v>
      </c>
      <c r="E750" s="332" t="s">
        <v>389</v>
      </c>
      <c r="F750" s="202" t="s">
        <v>711</v>
      </c>
      <c r="G750" s="213" t="s">
        <v>155</v>
      </c>
      <c r="H750" s="134">
        <v>80111600</v>
      </c>
      <c r="I750" s="203">
        <v>8</v>
      </c>
      <c r="J750" s="203">
        <v>6</v>
      </c>
      <c r="K750" s="135">
        <v>0</v>
      </c>
      <c r="L750" s="131">
        <v>42000000</v>
      </c>
      <c r="M750" s="348" t="s">
        <v>464</v>
      </c>
      <c r="N750" s="353" t="s">
        <v>113</v>
      </c>
      <c r="O750" s="225" t="s">
        <v>219</v>
      </c>
      <c r="P750" s="216" t="str">
        <f>IFERROR(VLOOKUP(C750,TD!$B$33:$F$37,2,0)," ")</f>
        <v>O230117</v>
      </c>
      <c r="Q750" s="216" t="str">
        <f>IFERROR(VLOOKUP(C750,TD!$B$33:$F$37,3,0)," ")</f>
        <v>4599</v>
      </c>
      <c r="R750" s="216">
        <f>IFERROR(VLOOKUP(C750,TD!$B$33:$F$37,4,0)," ")</f>
        <v>20240207</v>
      </c>
      <c r="S750" s="332" t="s">
        <v>185</v>
      </c>
      <c r="T750" s="211" t="str">
        <f>IFERROR(VLOOKUP(S750,TD!$J$34:$K$44,2,0)," ")</f>
        <v>Infraestructura física, mantenimiento y dotación (Sedes construidas, mantenidas reforzadas)</v>
      </c>
      <c r="U750" s="206" t="str">
        <f>CONCATENATE(S750,"-",T750)</f>
        <v>08-Infraestructura física, mantenimiento y dotación (Sedes construidas, mantenidas reforzadas)</v>
      </c>
      <c r="V750" s="205" t="s">
        <v>238</v>
      </c>
      <c r="W750" s="211" t="str">
        <f>IFERROR(VLOOKUP(V750,TD!$N$34:$O$46,2,0)," ")</f>
        <v>Sedes mantenidas</v>
      </c>
      <c r="X750" s="206" t="str">
        <f>CONCATENATE(V750,"_",W750)</f>
        <v>016_Sedes mantenidas</v>
      </c>
      <c r="Y750" s="206" t="str">
        <f>CONCATENATE(U750," ",X750)</f>
        <v>08-Infraestructura física, mantenimiento y dotación (Sedes construidas, mantenidas reforzadas) 016_Sedes mantenidas</v>
      </c>
      <c r="Z750" s="216" t="str">
        <f>CONCATENATE(P750,Q750,R750,S750,V750)</f>
        <v>O23011745992024020708016</v>
      </c>
      <c r="AA750" s="216" t="str">
        <f>IFERROR(VLOOKUP(Y750,TD!$K$47:$L$65,2,0)," ")</f>
        <v>PM/0131/0108/45990160207</v>
      </c>
      <c r="AB750" s="178" t="s">
        <v>138</v>
      </c>
      <c r="AC750" s="217" t="s">
        <v>204</v>
      </c>
    </row>
    <row r="751" spans="2:29" ht="70" x14ac:dyDescent="0.35">
      <c r="B751" s="143">
        <v>20250795</v>
      </c>
      <c r="C751" s="325" t="s">
        <v>208</v>
      </c>
      <c r="D751" s="328" t="s">
        <v>164</v>
      </c>
      <c r="E751" s="332" t="s">
        <v>389</v>
      </c>
      <c r="F751" s="202" t="s">
        <v>460</v>
      </c>
      <c r="G751" s="213" t="s">
        <v>155</v>
      </c>
      <c r="H751" s="134">
        <v>80111600</v>
      </c>
      <c r="I751" s="203">
        <v>8</v>
      </c>
      <c r="J751" s="203">
        <v>3</v>
      </c>
      <c r="K751" s="135">
        <v>0</v>
      </c>
      <c r="L751" s="131">
        <v>19500000</v>
      </c>
      <c r="M751" s="348" t="s">
        <v>464</v>
      </c>
      <c r="N751" s="353" t="s">
        <v>113</v>
      </c>
      <c r="O751" s="225" t="s">
        <v>219</v>
      </c>
      <c r="P751" s="216" t="str">
        <f>IFERROR(VLOOKUP(C751,TD!$B$33:$F$37,2,0)," ")</f>
        <v>O230117</v>
      </c>
      <c r="Q751" s="216" t="str">
        <f>IFERROR(VLOOKUP(C751,TD!$B$33:$F$37,3,0)," ")</f>
        <v>4599</v>
      </c>
      <c r="R751" s="216">
        <f>IFERROR(VLOOKUP(C751,TD!$B$33:$F$37,4,0)," ")</f>
        <v>20240207</v>
      </c>
      <c r="S751" s="332" t="s">
        <v>185</v>
      </c>
      <c r="T751" s="211" t="str">
        <f>IFERROR(VLOOKUP(S751,TD!$J$34:$K$44,2,0)," ")</f>
        <v>Infraestructura física, mantenimiento y dotación (Sedes construidas, mantenidas reforzadas)</v>
      </c>
      <c r="U751" s="206" t="str">
        <f>CONCATENATE(S751,"-",T751)</f>
        <v>08-Infraestructura física, mantenimiento y dotación (Sedes construidas, mantenidas reforzadas)</v>
      </c>
      <c r="V751" s="205" t="s">
        <v>238</v>
      </c>
      <c r="W751" s="211" t="str">
        <f>IFERROR(VLOOKUP(V751,TD!$N$34:$O$46,2,0)," ")</f>
        <v>Sedes mantenidas</v>
      </c>
      <c r="X751" s="206" t="str">
        <f>CONCATENATE(V751,"_",W751)</f>
        <v>016_Sedes mantenidas</v>
      </c>
      <c r="Y751" s="206" t="str">
        <f>CONCATENATE(U751," ",X751)</f>
        <v>08-Infraestructura física, mantenimiento y dotación (Sedes construidas, mantenidas reforzadas) 016_Sedes mantenidas</v>
      </c>
      <c r="Z751" s="216" t="str">
        <f>CONCATENATE(P751,Q751,R751,S751,V751)</f>
        <v>O23011745992024020708016</v>
      </c>
      <c r="AA751" s="216" t="str">
        <f>IFERROR(VLOOKUP(Y751,TD!$K$47:$L$65,2,0)," ")</f>
        <v>PM/0131/0108/45990160207</v>
      </c>
      <c r="AB751" s="178" t="s">
        <v>120</v>
      </c>
      <c r="AC751" s="217" t="s">
        <v>204</v>
      </c>
    </row>
    <row r="752" spans="2:29" ht="84" x14ac:dyDescent="0.35">
      <c r="B752" s="143">
        <v>20250796</v>
      </c>
      <c r="C752" s="325" t="s">
        <v>208</v>
      </c>
      <c r="D752" s="328" t="s">
        <v>164</v>
      </c>
      <c r="E752" s="332" t="s">
        <v>389</v>
      </c>
      <c r="F752" s="202" t="s">
        <v>461</v>
      </c>
      <c r="G752" s="213" t="s">
        <v>155</v>
      </c>
      <c r="H752" s="134">
        <v>80111600</v>
      </c>
      <c r="I752" s="203">
        <v>8</v>
      </c>
      <c r="J752" s="203">
        <v>5</v>
      </c>
      <c r="K752" s="135">
        <v>0</v>
      </c>
      <c r="L752" s="131">
        <v>19000000</v>
      </c>
      <c r="M752" s="348" t="s">
        <v>464</v>
      </c>
      <c r="N752" s="353" t="s">
        <v>113</v>
      </c>
      <c r="O752" s="225" t="s">
        <v>219</v>
      </c>
      <c r="P752" s="216" t="str">
        <f>IFERROR(VLOOKUP(C752,TD!$B$33:$F$37,2,0)," ")</f>
        <v>O230117</v>
      </c>
      <c r="Q752" s="216" t="str">
        <f>IFERROR(VLOOKUP(C752,TD!$B$33:$F$37,3,0)," ")</f>
        <v>4599</v>
      </c>
      <c r="R752" s="216">
        <f>IFERROR(VLOOKUP(C752,TD!$B$33:$F$37,4,0)," ")</f>
        <v>20240207</v>
      </c>
      <c r="S752" s="332" t="s">
        <v>185</v>
      </c>
      <c r="T752" s="211" t="str">
        <f>IFERROR(VLOOKUP(S752,TD!$J$34:$K$44,2,0)," ")</f>
        <v>Infraestructura física, mantenimiento y dotación (Sedes construidas, mantenidas reforzadas)</v>
      </c>
      <c r="U752" s="206" t="str">
        <f>CONCATENATE(S752,"-",T752)</f>
        <v>08-Infraestructura física, mantenimiento y dotación (Sedes construidas, mantenidas reforzadas)</v>
      </c>
      <c r="V752" s="205" t="s">
        <v>238</v>
      </c>
      <c r="W752" s="211" t="str">
        <f>IFERROR(VLOOKUP(V752,TD!$N$34:$O$46,2,0)," ")</f>
        <v>Sedes mantenidas</v>
      </c>
      <c r="X752" s="206" t="str">
        <f>CONCATENATE(V752,"_",W752)</f>
        <v>016_Sedes mantenidas</v>
      </c>
      <c r="Y752" s="206" t="str">
        <f>CONCATENATE(U752," ",X752)</f>
        <v>08-Infraestructura física, mantenimiento y dotación (Sedes construidas, mantenidas reforzadas) 016_Sedes mantenidas</v>
      </c>
      <c r="Z752" s="216" t="str">
        <f>CONCATENATE(P752,Q752,R752,S752,V752)</f>
        <v>O23011745992024020708016</v>
      </c>
      <c r="AA752" s="216" t="str">
        <f>IFERROR(VLOOKUP(Y752,TD!$K$47:$L$65,2,0)," ")</f>
        <v>PM/0131/0108/45990160207</v>
      </c>
      <c r="AB752" s="178" t="s">
        <v>138</v>
      </c>
      <c r="AC752" s="217" t="s">
        <v>204</v>
      </c>
    </row>
    <row r="753" spans="2:29" ht="84" x14ac:dyDescent="0.35">
      <c r="B753" s="143">
        <v>20250797</v>
      </c>
      <c r="C753" s="325" t="s">
        <v>208</v>
      </c>
      <c r="D753" s="328" t="s">
        <v>164</v>
      </c>
      <c r="E753" s="332" t="s">
        <v>389</v>
      </c>
      <c r="F753" s="202" t="s">
        <v>461</v>
      </c>
      <c r="G753" s="213" t="s">
        <v>155</v>
      </c>
      <c r="H753" s="134">
        <v>80111600</v>
      </c>
      <c r="I753" s="203">
        <v>8</v>
      </c>
      <c r="J753" s="203">
        <v>5</v>
      </c>
      <c r="K753" s="135">
        <v>0</v>
      </c>
      <c r="L753" s="131">
        <v>23750000</v>
      </c>
      <c r="M753" s="348" t="s">
        <v>464</v>
      </c>
      <c r="N753" s="353" t="s">
        <v>113</v>
      </c>
      <c r="O753" s="225" t="s">
        <v>219</v>
      </c>
      <c r="P753" s="216" t="str">
        <f>IFERROR(VLOOKUP(C753,TD!$B$33:$F$37,2,0)," ")</f>
        <v>O230117</v>
      </c>
      <c r="Q753" s="216" t="str">
        <f>IFERROR(VLOOKUP(C753,TD!$B$33:$F$37,3,0)," ")</f>
        <v>4599</v>
      </c>
      <c r="R753" s="216">
        <f>IFERROR(VLOOKUP(C753,TD!$B$33:$F$37,4,0)," ")</f>
        <v>20240207</v>
      </c>
      <c r="S753" s="332" t="s">
        <v>185</v>
      </c>
      <c r="T753" s="211" t="str">
        <f>IFERROR(VLOOKUP(S753,TD!$J$34:$K$44,2,0)," ")</f>
        <v>Infraestructura física, mantenimiento y dotación (Sedes construidas, mantenidas reforzadas)</v>
      </c>
      <c r="U753" s="206" t="str">
        <f>CONCATENATE(S753,"-",T753)</f>
        <v>08-Infraestructura física, mantenimiento y dotación (Sedes construidas, mantenidas reforzadas)</v>
      </c>
      <c r="V753" s="205" t="s">
        <v>238</v>
      </c>
      <c r="W753" s="211" t="str">
        <f>IFERROR(VLOOKUP(V753,TD!$N$34:$O$46,2,0)," ")</f>
        <v>Sedes mantenidas</v>
      </c>
      <c r="X753" s="206" t="str">
        <f>CONCATENATE(V753,"_",W753)</f>
        <v>016_Sedes mantenidas</v>
      </c>
      <c r="Y753" s="206" t="str">
        <f>CONCATENATE(U753," ",X753)</f>
        <v>08-Infraestructura física, mantenimiento y dotación (Sedes construidas, mantenidas reforzadas) 016_Sedes mantenidas</v>
      </c>
      <c r="Z753" s="216" t="str">
        <f>CONCATENATE(P753,Q753,R753,S753,V753)</f>
        <v>O23011745992024020708016</v>
      </c>
      <c r="AA753" s="216" t="str">
        <f>IFERROR(VLOOKUP(Y753,TD!$K$47:$L$65,2,0)," ")</f>
        <v>PM/0131/0108/45990160207</v>
      </c>
      <c r="AB753" s="178" t="s">
        <v>138</v>
      </c>
      <c r="AC753" s="217" t="s">
        <v>204</v>
      </c>
    </row>
    <row r="754" spans="2:29" ht="70" x14ac:dyDescent="0.35">
      <c r="B754" s="143">
        <v>20250798</v>
      </c>
      <c r="C754" s="325" t="s">
        <v>208</v>
      </c>
      <c r="D754" s="328" t="s">
        <v>164</v>
      </c>
      <c r="E754" s="332" t="s">
        <v>389</v>
      </c>
      <c r="F754" s="202" t="s">
        <v>462</v>
      </c>
      <c r="G754" s="213" t="s">
        <v>155</v>
      </c>
      <c r="H754" s="134">
        <v>80111600</v>
      </c>
      <c r="I754" s="203">
        <v>8</v>
      </c>
      <c r="J754" s="203">
        <v>5</v>
      </c>
      <c r="K754" s="135">
        <v>0</v>
      </c>
      <c r="L754" s="131">
        <v>26000000</v>
      </c>
      <c r="M754" s="348" t="s">
        <v>464</v>
      </c>
      <c r="N754" s="353" t="s">
        <v>113</v>
      </c>
      <c r="O754" s="225" t="s">
        <v>219</v>
      </c>
      <c r="P754" s="216" t="str">
        <f>IFERROR(VLOOKUP(C754,TD!$B$33:$F$37,2,0)," ")</f>
        <v>O230117</v>
      </c>
      <c r="Q754" s="216" t="str">
        <f>IFERROR(VLOOKUP(C754,TD!$B$33:$F$37,3,0)," ")</f>
        <v>4599</v>
      </c>
      <c r="R754" s="216">
        <f>IFERROR(VLOOKUP(C754,TD!$B$33:$F$37,4,0)," ")</f>
        <v>20240207</v>
      </c>
      <c r="S754" s="332" t="s">
        <v>185</v>
      </c>
      <c r="T754" s="211" t="str">
        <f>IFERROR(VLOOKUP(S754,TD!$J$34:$K$44,2,0)," ")</f>
        <v>Infraestructura física, mantenimiento y dotación (Sedes construidas, mantenidas reforzadas)</v>
      </c>
      <c r="U754" s="206" t="str">
        <f>CONCATENATE(S754,"-",T754)</f>
        <v>08-Infraestructura física, mantenimiento y dotación (Sedes construidas, mantenidas reforzadas)</v>
      </c>
      <c r="V754" s="205" t="s">
        <v>238</v>
      </c>
      <c r="W754" s="211" t="str">
        <f>IFERROR(VLOOKUP(V754,TD!$N$34:$O$46,2,0)," ")</f>
        <v>Sedes mantenidas</v>
      </c>
      <c r="X754" s="206" t="str">
        <f>CONCATENATE(V754,"_",W754)</f>
        <v>016_Sedes mantenidas</v>
      </c>
      <c r="Y754" s="206" t="str">
        <f>CONCATENATE(U754," ",X754)</f>
        <v>08-Infraestructura física, mantenimiento y dotación (Sedes construidas, mantenidas reforzadas) 016_Sedes mantenidas</v>
      </c>
      <c r="Z754" s="216" t="str">
        <f>CONCATENATE(P754,Q754,R754,S754,V754)</f>
        <v>O23011745992024020708016</v>
      </c>
      <c r="AA754" s="216" t="str">
        <f>IFERROR(VLOOKUP(Y754,TD!$K$47:$L$65,2,0)," ")</f>
        <v>PM/0131/0108/45990160207</v>
      </c>
      <c r="AB754" s="178" t="s">
        <v>120</v>
      </c>
      <c r="AC754" s="217" t="s">
        <v>204</v>
      </c>
    </row>
    <row r="755" spans="2:29" ht="70" x14ac:dyDescent="0.35">
      <c r="B755" s="143">
        <v>20250799</v>
      </c>
      <c r="C755" s="325" t="s">
        <v>208</v>
      </c>
      <c r="D755" s="328" t="s">
        <v>164</v>
      </c>
      <c r="E755" s="332" t="s">
        <v>389</v>
      </c>
      <c r="F755" s="202" t="s">
        <v>463</v>
      </c>
      <c r="G755" s="213" t="s">
        <v>155</v>
      </c>
      <c r="H755" s="134">
        <v>80111600</v>
      </c>
      <c r="I755" s="203">
        <v>8</v>
      </c>
      <c r="J755" s="203">
        <v>5</v>
      </c>
      <c r="K755" s="135">
        <v>0</v>
      </c>
      <c r="L755" s="131">
        <v>30000000</v>
      </c>
      <c r="M755" s="348" t="s">
        <v>464</v>
      </c>
      <c r="N755" s="353" t="s">
        <v>113</v>
      </c>
      <c r="O755" s="225" t="s">
        <v>219</v>
      </c>
      <c r="P755" s="216" t="str">
        <f>IFERROR(VLOOKUP(C755,TD!$B$33:$F$37,2,0)," ")</f>
        <v>O230117</v>
      </c>
      <c r="Q755" s="216" t="str">
        <f>IFERROR(VLOOKUP(C755,TD!$B$33:$F$37,3,0)," ")</f>
        <v>4599</v>
      </c>
      <c r="R755" s="216">
        <f>IFERROR(VLOOKUP(C755,TD!$B$33:$F$37,4,0)," ")</f>
        <v>20240207</v>
      </c>
      <c r="S755" s="332" t="s">
        <v>185</v>
      </c>
      <c r="T755" s="211" t="str">
        <f>IFERROR(VLOOKUP(S755,TD!$J$34:$K$44,2,0)," ")</f>
        <v>Infraestructura física, mantenimiento y dotación (Sedes construidas, mantenidas reforzadas)</v>
      </c>
      <c r="U755" s="206" t="str">
        <f>CONCATENATE(S755,"-",T755)</f>
        <v>08-Infraestructura física, mantenimiento y dotación (Sedes construidas, mantenidas reforzadas)</v>
      </c>
      <c r="V755" s="205" t="s">
        <v>238</v>
      </c>
      <c r="W755" s="211" t="str">
        <f>IFERROR(VLOOKUP(V755,TD!$N$34:$O$46,2,0)," ")</f>
        <v>Sedes mantenidas</v>
      </c>
      <c r="X755" s="206" t="str">
        <f>CONCATENATE(V755,"_",W755)</f>
        <v>016_Sedes mantenidas</v>
      </c>
      <c r="Y755" s="206" t="str">
        <f>CONCATENATE(U755," ",X755)</f>
        <v>08-Infraestructura física, mantenimiento y dotación (Sedes construidas, mantenidas reforzadas) 016_Sedes mantenidas</v>
      </c>
      <c r="Z755" s="216" t="str">
        <f>CONCATENATE(P755,Q755,R755,S755,V755)</f>
        <v>O23011745992024020708016</v>
      </c>
      <c r="AA755" s="216" t="str">
        <f>IFERROR(VLOOKUP(Y755,TD!$K$47:$L$65,2,0)," ")</f>
        <v>PM/0131/0108/45990160207</v>
      </c>
      <c r="AB755" s="178" t="s">
        <v>120</v>
      </c>
      <c r="AC755" s="217" t="s">
        <v>204</v>
      </c>
    </row>
    <row r="756" spans="2:29" ht="56" x14ac:dyDescent="0.35">
      <c r="B756" s="143">
        <v>20250800</v>
      </c>
      <c r="C756" s="325" t="s">
        <v>208</v>
      </c>
      <c r="D756" s="328" t="s">
        <v>164</v>
      </c>
      <c r="E756" s="332" t="s">
        <v>389</v>
      </c>
      <c r="F756" s="202" t="s">
        <v>705</v>
      </c>
      <c r="G756" s="213" t="s">
        <v>155</v>
      </c>
      <c r="H756" s="134">
        <v>80111600</v>
      </c>
      <c r="I756" s="203">
        <v>8</v>
      </c>
      <c r="J756" s="203">
        <v>5</v>
      </c>
      <c r="K756" s="135">
        <v>0</v>
      </c>
      <c r="L756" s="131">
        <v>30600000</v>
      </c>
      <c r="M756" s="348" t="s">
        <v>464</v>
      </c>
      <c r="N756" s="353" t="s">
        <v>113</v>
      </c>
      <c r="O756" s="225" t="s">
        <v>219</v>
      </c>
      <c r="P756" s="216" t="str">
        <f>IFERROR(VLOOKUP(C756,TD!$B$33:$F$37,2,0)," ")</f>
        <v>O230117</v>
      </c>
      <c r="Q756" s="216" t="str">
        <f>IFERROR(VLOOKUP(C756,TD!$B$33:$F$37,3,0)," ")</f>
        <v>4599</v>
      </c>
      <c r="R756" s="216">
        <f>IFERROR(VLOOKUP(C756,TD!$B$33:$F$37,4,0)," ")</f>
        <v>20240207</v>
      </c>
      <c r="S756" s="332" t="s">
        <v>185</v>
      </c>
      <c r="T756" s="211" t="str">
        <f>IFERROR(VLOOKUP(S756,TD!$J$34:$K$44,2,0)," ")</f>
        <v>Infraestructura física, mantenimiento y dotación (Sedes construidas, mantenidas reforzadas)</v>
      </c>
      <c r="U756" s="206" t="str">
        <f>CONCATENATE(S756,"-",T756)</f>
        <v>08-Infraestructura física, mantenimiento y dotación (Sedes construidas, mantenidas reforzadas)</v>
      </c>
      <c r="V756" s="205" t="s">
        <v>238</v>
      </c>
      <c r="W756" s="211" t="str">
        <f>IFERROR(VLOOKUP(V756,TD!$N$34:$O$46,2,0)," ")</f>
        <v>Sedes mantenidas</v>
      </c>
      <c r="X756" s="206" t="str">
        <f>CONCATENATE(V756,"_",W756)</f>
        <v>016_Sedes mantenidas</v>
      </c>
      <c r="Y756" s="206" t="str">
        <f>CONCATENATE(U756," ",X756)</f>
        <v>08-Infraestructura física, mantenimiento y dotación (Sedes construidas, mantenidas reforzadas) 016_Sedes mantenidas</v>
      </c>
      <c r="Z756" s="216" t="str">
        <f>CONCATENATE(P756,Q756,R756,S756,V756)</f>
        <v>O23011745992024020708016</v>
      </c>
      <c r="AA756" s="216" t="str">
        <f>IFERROR(VLOOKUP(Y756,TD!$K$47:$L$65,2,0)," ")</f>
        <v>PM/0131/0108/45990160207</v>
      </c>
      <c r="AB756" s="178" t="s">
        <v>120</v>
      </c>
      <c r="AC756" s="217" t="s">
        <v>204</v>
      </c>
    </row>
    <row r="757" spans="2:29" ht="56" x14ac:dyDescent="0.35">
      <c r="B757" s="143">
        <v>20250801</v>
      </c>
      <c r="C757" s="325" t="s">
        <v>208</v>
      </c>
      <c r="D757" s="328" t="s">
        <v>164</v>
      </c>
      <c r="E757" s="332" t="s">
        <v>389</v>
      </c>
      <c r="F757" s="202" t="s">
        <v>717</v>
      </c>
      <c r="G757" s="213" t="s">
        <v>155</v>
      </c>
      <c r="H757" s="134">
        <v>80111600</v>
      </c>
      <c r="I757" s="203">
        <v>8</v>
      </c>
      <c r="J757" s="203">
        <v>5</v>
      </c>
      <c r="K757" s="135">
        <v>0</v>
      </c>
      <c r="L757" s="131">
        <f>64500000-57000000+40000000</f>
        <v>47500000</v>
      </c>
      <c r="M757" s="348" t="s">
        <v>464</v>
      </c>
      <c r="N757" s="353" t="s">
        <v>113</v>
      </c>
      <c r="O757" s="225" t="s">
        <v>219</v>
      </c>
      <c r="P757" s="216" t="str">
        <f>IFERROR(VLOOKUP(C757,TD!$B$33:$F$37,2,0)," ")</f>
        <v>O230117</v>
      </c>
      <c r="Q757" s="216" t="str">
        <f>IFERROR(VLOOKUP(C757,TD!$B$33:$F$37,3,0)," ")</f>
        <v>4599</v>
      </c>
      <c r="R757" s="216">
        <f>IFERROR(VLOOKUP(C757,TD!$B$33:$F$37,4,0)," ")</f>
        <v>20240207</v>
      </c>
      <c r="S757" s="332" t="s">
        <v>185</v>
      </c>
      <c r="T757" s="211" t="str">
        <f>IFERROR(VLOOKUP(S757,TD!$J$34:$K$44,2,0)," ")</f>
        <v>Infraestructura física, mantenimiento y dotación (Sedes construidas, mantenidas reforzadas)</v>
      </c>
      <c r="U757" s="206" t="str">
        <f>CONCATENATE(S757,"-",T757)</f>
        <v>08-Infraestructura física, mantenimiento y dotación (Sedes construidas, mantenidas reforzadas)</v>
      </c>
      <c r="V757" s="205" t="s">
        <v>238</v>
      </c>
      <c r="W757" s="211" t="str">
        <f>IFERROR(VLOOKUP(V757,TD!$N$34:$O$46,2,0)," ")</f>
        <v>Sedes mantenidas</v>
      </c>
      <c r="X757" s="206" t="str">
        <f>CONCATENATE(V757,"_",W757)</f>
        <v>016_Sedes mantenidas</v>
      </c>
      <c r="Y757" s="206" t="str">
        <f>CONCATENATE(U757," ",X757)</f>
        <v>08-Infraestructura física, mantenimiento y dotación (Sedes construidas, mantenidas reforzadas) 016_Sedes mantenidas</v>
      </c>
      <c r="Z757" s="216" t="str">
        <f>CONCATENATE(P757,Q757,R757,S757,V757)</f>
        <v>O23011745992024020708016</v>
      </c>
      <c r="AA757" s="216" t="str">
        <f>IFERROR(VLOOKUP(Y757,TD!$K$47:$L$65,2,0)," ")</f>
        <v>PM/0131/0108/45990160207</v>
      </c>
      <c r="AB757" s="178" t="s">
        <v>120</v>
      </c>
      <c r="AC757" s="217" t="s">
        <v>204</v>
      </c>
    </row>
    <row r="758" spans="2:29" ht="98" x14ac:dyDescent="0.35">
      <c r="B758" s="143">
        <v>20250802</v>
      </c>
      <c r="C758" s="325" t="s">
        <v>208</v>
      </c>
      <c r="D758" s="328" t="s">
        <v>164</v>
      </c>
      <c r="E758" s="332" t="s">
        <v>389</v>
      </c>
      <c r="F758" s="202" t="s">
        <v>706</v>
      </c>
      <c r="G758" s="213" t="s">
        <v>155</v>
      </c>
      <c r="H758" s="134">
        <v>80111600</v>
      </c>
      <c r="I758" s="203">
        <v>8</v>
      </c>
      <c r="J758" s="203">
        <v>5</v>
      </c>
      <c r="K758" s="135">
        <v>0</v>
      </c>
      <c r="L758" s="131">
        <v>42000000</v>
      </c>
      <c r="M758" s="348" t="s">
        <v>464</v>
      </c>
      <c r="N758" s="353" t="s">
        <v>113</v>
      </c>
      <c r="O758" s="225" t="s">
        <v>219</v>
      </c>
      <c r="P758" s="216" t="str">
        <f>IFERROR(VLOOKUP(C758,TD!$B$33:$F$37,2,0)," ")</f>
        <v>O230117</v>
      </c>
      <c r="Q758" s="216" t="str">
        <f>IFERROR(VLOOKUP(C758,TD!$B$33:$F$37,3,0)," ")</f>
        <v>4599</v>
      </c>
      <c r="R758" s="216">
        <f>IFERROR(VLOOKUP(C758,TD!$B$33:$F$37,4,0)," ")</f>
        <v>20240207</v>
      </c>
      <c r="S758" s="332" t="s">
        <v>185</v>
      </c>
      <c r="T758" s="211" t="str">
        <f>IFERROR(VLOOKUP(S758,TD!$J$34:$K$44,2,0)," ")</f>
        <v>Infraestructura física, mantenimiento y dotación (Sedes construidas, mantenidas reforzadas)</v>
      </c>
      <c r="U758" s="206" t="str">
        <f>CONCATENATE(S758,"-",T758)</f>
        <v>08-Infraestructura física, mantenimiento y dotación (Sedes construidas, mantenidas reforzadas)</v>
      </c>
      <c r="V758" s="205" t="s">
        <v>238</v>
      </c>
      <c r="W758" s="211" t="str">
        <f>IFERROR(VLOOKUP(V758,TD!$N$34:$O$46,2,0)," ")</f>
        <v>Sedes mantenidas</v>
      </c>
      <c r="X758" s="206" t="str">
        <f>CONCATENATE(V758,"_",W758)</f>
        <v>016_Sedes mantenidas</v>
      </c>
      <c r="Y758" s="206" t="str">
        <f>CONCATENATE(U758," ",X758)</f>
        <v>08-Infraestructura física, mantenimiento y dotación (Sedes construidas, mantenidas reforzadas) 016_Sedes mantenidas</v>
      </c>
      <c r="Z758" s="216" t="str">
        <f>CONCATENATE(P758,Q758,R758,S758,V758)</f>
        <v>O23011745992024020708016</v>
      </c>
      <c r="AA758" s="216" t="str">
        <f>IFERROR(VLOOKUP(Y758,TD!$K$47:$L$65,2,0)," ")</f>
        <v>PM/0131/0108/45990160207</v>
      </c>
      <c r="AB758" s="178" t="s">
        <v>120</v>
      </c>
      <c r="AC758" s="217" t="s">
        <v>204</v>
      </c>
    </row>
    <row r="759" spans="2:29" ht="56" x14ac:dyDescent="0.35">
      <c r="B759" s="160">
        <v>20250803</v>
      </c>
      <c r="C759" s="145" t="s">
        <v>209</v>
      </c>
      <c r="D759" s="184" t="s">
        <v>168</v>
      </c>
      <c r="E759" s="51" t="s">
        <v>603</v>
      </c>
      <c r="F759" s="218" t="s">
        <v>983</v>
      </c>
      <c r="G759" s="218" t="s">
        <v>119</v>
      </c>
      <c r="H759" s="180">
        <v>15101500</v>
      </c>
      <c r="I759" s="219">
        <v>7</v>
      </c>
      <c r="J759" s="219">
        <v>0</v>
      </c>
      <c r="K759" s="182">
        <v>20</v>
      </c>
      <c r="L759" s="144">
        <v>64000000</v>
      </c>
      <c r="M759" s="149" t="s">
        <v>464</v>
      </c>
      <c r="N759" s="144" t="s">
        <v>123</v>
      </c>
      <c r="O759" s="220" t="s">
        <v>224</v>
      </c>
      <c r="P759" s="221" t="str">
        <f>IFERROR(VLOOKUP(C759,TD!$B$33:$F$37,2,0)," ")</f>
        <v>O230117</v>
      </c>
      <c r="Q759" s="221" t="str">
        <f>IFERROR(VLOOKUP(C759,TD!$B$33:$F$37,3,0)," ")</f>
        <v>4503</v>
      </c>
      <c r="R759" s="221">
        <f>IFERROR(VLOOKUP(C759,TD!$B$33:$F$37,4,0)," ")</f>
        <v>20240255</v>
      </c>
      <c r="S759" s="214" t="s">
        <v>191</v>
      </c>
      <c r="T759" s="211" t="str">
        <f>IFERROR(VLOOKUP(S759,TD!$J$34:$K$44,2,0)," ")</f>
        <v>Servicio de apoyo   logístico  en eventos operativos y/o emergencias.</v>
      </c>
      <c r="U759" s="206" t="str">
        <f>CONCATENATE(S759,"-",T759)</f>
        <v>12-Servicio de apoyo   logístico  en eventos operativos y/o emergencias.</v>
      </c>
      <c r="V759" s="205" t="s">
        <v>232</v>
      </c>
      <c r="W759" s="211" t="str">
        <f>IFERROR(VLOOKUP(V759,TD!$N$34:$O$46,2,0)," ")</f>
        <v>Servicio de atención a emergencias y desastres</v>
      </c>
      <c r="X759" s="187" t="str">
        <f>CONCATENATE(V759,"_",W759)</f>
        <v>004_Servicio de atención a emergencias y desastres</v>
      </c>
      <c r="Y759" s="187" t="str">
        <f>CONCATENATE(U759," ",X759)</f>
        <v>12-Servicio de apoyo   logístico  en eventos operativos y/o emergencias. 004_Servicio de atención a emergencias y desastres</v>
      </c>
      <c r="Z759" s="221" t="str">
        <f>CONCATENATE(P759,Q759,R759,S759,V759)</f>
        <v>O23011745032024025512004</v>
      </c>
      <c r="AA759" s="221" t="str">
        <f>IFERROR(VLOOKUP(Y759,TD!$K$47:$L$65,2,0)," ")</f>
        <v>PM/0131/0112/45030040255</v>
      </c>
      <c r="AB759" s="144" t="s">
        <v>92</v>
      </c>
      <c r="AC759" s="222" t="s">
        <v>204</v>
      </c>
    </row>
    <row r="760" spans="2:29" ht="56" x14ac:dyDescent="0.35">
      <c r="B760" s="143">
        <v>20250804</v>
      </c>
      <c r="C760" s="168" t="s">
        <v>209</v>
      </c>
      <c r="D760" s="184" t="s">
        <v>168</v>
      </c>
      <c r="E760" s="51" t="s">
        <v>603</v>
      </c>
      <c r="F760" s="213" t="s">
        <v>984</v>
      </c>
      <c r="G760" s="218" t="s">
        <v>119</v>
      </c>
      <c r="H760" s="171" t="s">
        <v>386</v>
      </c>
      <c r="I760" s="215">
        <v>7</v>
      </c>
      <c r="J760" s="215">
        <v>1</v>
      </c>
      <c r="K760" s="174">
        <v>0</v>
      </c>
      <c r="L760" s="178">
        <v>2000000</v>
      </c>
      <c r="M760" s="176" t="s">
        <v>464</v>
      </c>
      <c r="N760" s="144" t="s">
        <v>100</v>
      </c>
      <c r="O760" s="220" t="s">
        <v>224</v>
      </c>
      <c r="P760" s="216" t="str">
        <f>IFERROR(VLOOKUP(C760,TD!$B$33:$F$37,2,0)," ")</f>
        <v>O230117</v>
      </c>
      <c r="Q760" s="216" t="str">
        <f>IFERROR(VLOOKUP(C760,TD!$B$33:$F$37,3,0)," ")</f>
        <v>4503</v>
      </c>
      <c r="R760" s="216">
        <f>IFERROR(VLOOKUP(C760,TD!$B$33:$F$37,4,0)," ")</f>
        <v>20240255</v>
      </c>
      <c r="S760" s="214" t="s">
        <v>191</v>
      </c>
      <c r="T760" s="211" t="str">
        <f>IFERROR(VLOOKUP(S760,TD!$J$34:$K$44,2,0)," ")</f>
        <v>Servicio de apoyo   logístico  en eventos operativos y/o emergencias.</v>
      </c>
      <c r="U760" s="206" t="str">
        <f>CONCATENATE(S760,"-",T760)</f>
        <v>12-Servicio de apoyo   logístico  en eventos operativos y/o emergencias.</v>
      </c>
      <c r="V760" s="205" t="s">
        <v>232</v>
      </c>
      <c r="W760" s="211" t="str">
        <f>IFERROR(VLOOKUP(V760,TD!$N$34:$O$46,2,0)," ")</f>
        <v>Servicio de atención a emergencias y desastres</v>
      </c>
      <c r="X760" s="206" t="str">
        <f>CONCATENATE(V760,"_",W760)</f>
        <v>004_Servicio de atención a emergencias y desastres</v>
      </c>
      <c r="Y760" s="206" t="str">
        <f>CONCATENATE(U760," ",X760)</f>
        <v>12-Servicio de apoyo   logístico  en eventos operativos y/o emergencias. 004_Servicio de atención a emergencias y desastres</v>
      </c>
      <c r="Z760" s="216" t="str">
        <f>CONCATENATE(P760,Q760,R760,S760,V760)</f>
        <v>O23011745032024025512004</v>
      </c>
      <c r="AA760" s="216" t="str">
        <f>IFERROR(VLOOKUP(Y760,TD!$K$47:$L$65,2,0)," ")</f>
        <v>PM/0131/0112/45030040255</v>
      </c>
      <c r="AB760" s="178" t="s">
        <v>97</v>
      </c>
      <c r="AC760" s="217" t="s">
        <v>204</v>
      </c>
    </row>
    <row r="761" spans="2:29" ht="56" x14ac:dyDescent="0.35">
      <c r="B761" s="143">
        <v>20250805</v>
      </c>
      <c r="C761" s="133" t="s">
        <v>346</v>
      </c>
      <c r="D761" s="184" t="s">
        <v>166</v>
      </c>
      <c r="E761" s="51" t="s">
        <v>558</v>
      </c>
      <c r="F761" s="213" t="s">
        <v>986</v>
      </c>
      <c r="G761" s="218" t="s">
        <v>101</v>
      </c>
      <c r="H761" s="171" t="s">
        <v>632</v>
      </c>
      <c r="I761" s="215">
        <v>8</v>
      </c>
      <c r="J761" s="215">
        <v>12</v>
      </c>
      <c r="K761" s="174">
        <v>0</v>
      </c>
      <c r="L761" s="178">
        <v>133704463</v>
      </c>
      <c r="M761" s="176" t="s">
        <v>172</v>
      </c>
      <c r="N761" s="144" t="s">
        <v>90</v>
      </c>
      <c r="O761" s="220" t="s">
        <v>347</v>
      </c>
      <c r="P761" s="216" t="str">
        <f>IFERROR(VLOOKUP(C761,TD!$B$33:$F$37,2,0)," ")</f>
        <v>NA</v>
      </c>
      <c r="Q761" s="216" t="str">
        <f>IFERROR(VLOOKUP(C761,TD!$B$33:$F$37,3,0)," ")</f>
        <v>NA</v>
      </c>
      <c r="R761" s="216" t="str">
        <f>IFERROR(VLOOKUP(C761,TD!$B$33:$F$37,4,0)," ")</f>
        <v>NA</v>
      </c>
      <c r="S761" s="214" t="s">
        <v>406</v>
      </c>
      <c r="T761" s="211" t="str">
        <f>IFERROR(VLOOKUP(S761,TD!$J$34:$K$44,2,0)," ")</f>
        <v>N/A</v>
      </c>
      <c r="U761" s="206" t="str">
        <f>CONCATENATE(S761,"-",T761)</f>
        <v>N/A-N/A</v>
      </c>
      <c r="V761" s="205" t="s">
        <v>406</v>
      </c>
      <c r="W761" s="192" t="str">
        <f>IFERROR(VLOOKUP(V761,TD!$N$34:$O$46,2,0)," ")</f>
        <v>N/A</v>
      </c>
      <c r="X761" s="206" t="str">
        <f>CONCATENATE(V761,"_",W761)</f>
        <v>N/A_N/A</v>
      </c>
      <c r="Y761" s="206" t="str">
        <f>CONCATENATE(U761," ",X761)</f>
        <v>N/A-N/A N/A_N/A</v>
      </c>
      <c r="Z761" s="216" t="str">
        <f>CONCATENATE(P761,Q761,R761,S761,V761)</f>
        <v>NANANAN/AN/A</v>
      </c>
      <c r="AA761" s="216" t="str">
        <f>IFERROR(VLOOKUP(Y761,TD!$K$47:$L$65,2,0)," ")</f>
        <v>N/A</v>
      </c>
      <c r="AB761" s="178" t="s">
        <v>348</v>
      </c>
      <c r="AC761" s="217" t="s">
        <v>204</v>
      </c>
    </row>
    <row r="762" spans="2:29" ht="126" x14ac:dyDescent="0.35">
      <c r="B762" s="137">
        <v>20250806</v>
      </c>
      <c r="C762" s="138" t="s">
        <v>208</v>
      </c>
      <c r="D762" s="189" t="s">
        <v>162</v>
      </c>
      <c r="E762" s="190" t="s">
        <v>355</v>
      </c>
      <c r="F762" s="208" t="s">
        <v>989</v>
      </c>
      <c r="G762" s="208" t="s">
        <v>109</v>
      </c>
      <c r="H762" s="139" t="s">
        <v>990</v>
      </c>
      <c r="I762" s="210">
        <v>9</v>
      </c>
      <c r="J762" s="210">
        <v>12</v>
      </c>
      <c r="K762" s="140">
        <v>0</v>
      </c>
      <c r="L762" s="141">
        <v>454800000</v>
      </c>
      <c r="M762" s="158" t="s">
        <v>464</v>
      </c>
      <c r="N762" s="141" t="s">
        <v>90</v>
      </c>
      <c r="O762" s="190" t="s">
        <v>215</v>
      </c>
      <c r="P762" s="211" t="str">
        <f>IFERROR(VLOOKUP(C762,TD!$B$33:$F$37,2,0)," ")</f>
        <v>O230117</v>
      </c>
      <c r="Q762" s="211" t="str">
        <f>IFERROR(VLOOKUP(C762,TD!$B$33:$F$37,3,0)," ")</f>
        <v>4599</v>
      </c>
      <c r="R762" s="211">
        <f>IFERROR(VLOOKUP(C762,TD!$B$33:$F$37,4,0)," ")</f>
        <v>20240207</v>
      </c>
      <c r="S762" s="209" t="s">
        <v>179</v>
      </c>
      <c r="T762" s="211" t="str">
        <f>IFERROR(VLOOKUP(S762,TD!$J$34:$K$44,2,0)," ")</f>
        <v>Infraestructura Tecnológica   (Sistemas de Información y Tecnologia)</v>
      </c>
      <c r="U762" s="206" t="str">
        <f>CONCATENATE(S762,"-",T762)</f>
        <v>11-Infraestructura Tecnológica   (Sistemas de Información y Tecnologia)</v>
      </c>
      <c r="V762" s="209" t="s">
        <v>239</v>
      </c>
      <c r="W762" s="192" t="str">
        <f>IFERROR(VLOOKUP(V762,TD!$N$34:$O$46,2,0)," ")</f>
        <v>Servicios tecnológicos</v>
      </c>
      <c r="X762" s="206" t="str">
        <f>CONCATENATE(V762,"_",W762)</f>
        <v>007_Servicios tecnológicos</v>
      </c>
      <c r="Y762" s="206" t="str">
        <f>CONCATENATE(U762," ",X762)</f>
        <v>11-Infraestructura Tecnológica   (Sistemas de Información y Tecnologia) 007_Servicios tecnológicos</v>
      </c>
      <c r="Z762" s="211" t="str">
        <f>CONCATENATE(P762,Q762,R762,S762,V762)</f>
        <v>O23011745992024020711007</v>
      </c>
      <c r="AA762" s="211" t="str">
        <f>IFERROR(VLOOKUP(Y762,TD!$K$47:$L$65,2,0)," ")</f>
        <v>PM/0131/0111/45990070207</v>
      </c>
      <c r="AB762" s="141" t="s">
        <v>130</v>
      </c>
      <c r="AC762" s="212" t="s">
        <v>204</v>
      </c>
    </row>
    <row r="763" spans="2:29" ht="154" x14ac:dyDescent="0.35">
      <c r="B763" s="143">
        <v>20250807</v>
      </c>
      <c r="C763" s="168" t="s">
        <v>208</v>
      </c>
      <c r="D763" s="184" t="s">
        <v>164</v>
      </c>
      <c r="E763" s="51" t="s">
        <v>389</v>
      </c>
      <c r="F763" s="202" t="s">
        <v>991</v>
      </c>
      <c r="G763" s="213" t="s">
        <v>156</v>
      </c>
      <c r="H763" s="134">
        <v>80111600</v>
      </c>
      <c r="I763" s="215">
        <v>8</v>
      </c>
      <c r="J763" s="215">
        <v>3</v>
      </c>
      <c r="K763" s="174">
        <v>0</v>
      </c>
      <c r="L763" s="178">
        <v>18600000</v>
      </c>
      <c r="M763" s="176" t="s">
        <v>464</v>
      </c>
      <c r="N763" s="178" t="s">
        <v>113</v>
      </c>
      <c r="O763" s="220" t="s">
        <v>219</v>
      </c>
      <c r="P763" s="216" t="str">
        <f>IFERROR(VLOOKUP(C763,TD!$B$33:$F$37,2,0)," ")</f>
        <v>O230117</v>
      </c>
      <c r="Q763" s="216" t="str">
        <f>IFERROR(VLOOKUP(C763,TD!$B$33:$F$37,3,0)," ")</f>
        <v>4599</v>
      </c>
      <c r="R763" s="216">
        <f>IFERROR(VLOOKUP(C763,TD!$B$33:$F$37,4,0)," ")</f>
        <v>20240207</v>
      </c>
      <c r="S763" s="214" t="s">
        <v>185</v>
      </c>
      <c r="T763" s="211" t="str">
        <f>IFERROR(VLOOKUP(S763,TD!$J$34:$K$44,2,0)," ")</f>
        <v>Infraestructura física, mantenimiento y dotación (Sedes construidas, mantenidas reforzadas)</v>
      </c>
      <c r="U763" s="206" t="str">
        <f>CONCATENATE(S763,"-",T763)</f>
        <v>08-Infraestructura física, mantenimiento y dotación (Sedes construidas, mantenidas reforzadas)</v>
      </c>
      <c r="V763" s="205" t="s">
        <v>238</v>
      </c>
      <c r="W763" s="192" t="str">
        <f>IFERROR(VLOOKUP(V763,TD!$N$34:$O$46,2,0)," ")</f>
        <v>Sedes mantenidas</v>
      </c>
      <c r="X763" s="206" t="str">
        <f>CONCATENATE(V763,"_",W763)</f>
        <v>016_Sedes mantenidas</v>
      </c>
      <c r="Y763" s="206" t="str">
        <f>CONCATENATE(U763," ",X763)</f>
        <v>08-Infraestructura física, mantenimiento y dotación (Sedes construidas, mantenidas reforzadas) 016_Sedes mantenidas</v>
      </c>
      <c r="Z763" s="216" t="str">
        <f>CONCATENATE(P763,Q763,R763,S763,V763)</f>
        <v>O23011745992024020708016</v>
      </c>
      <c r="AA763" s="216" t="str">
        <f>IFERROR(VLOOKUP(Y763,TD!$K$47:$L$65,2,0)," ")</f>
        <v>PM/0131/0108/45990160207</v>
      </c>
      <c r="AB763" s="178" t="s">
        <v>138</v>
      </c>
      <c r="AC763" s="217" t="s">
        <v>204</v>
      </c>
    </row>
    <row r="764" spans="2:29" ht="70" x14ac:dyDescent="0.35">
      <c r="B764" s="132">
        <v>20250808</v>
      </c>
      <c r="C764" s="133" t="s">
        <v>208</v>
      </c>
      <c r="D764" s="184" t="s">
        <v>164</v>
      </c>
      <c r="E764" s="51" t="s">
        <v>389</v>
      </c>
      <c r="F764" s="202" t="s">
        <v>992</v>
      </c>
      <c r="G764" s="202" t="s">
        <v>155</v>
      </c>
      <c r="H764" s="134">
        <v>80111600</v>
      </c>
      <c r="I764" s="203">
        <v>5</v>
      </c>
      <c r="J764" s="203">
        <v>5</v>
      </c>
      <c r="K764" s="135">
        <v>0</v>
      </c>
      <c r="L764" s="131">
        <v>30000000</v>
      </c>
      <c r="M764" s="142" t="s">
        <v>464</v>
      </c>
      <c r="N764" s="131" t="s">
        <v>113</v>
      </c>
      <c r="O764" s="51" t="s">
        <v>219</v>
      </c>
      <c r="P764" s="204" t="str">
        <f>IFERROR(VLOOKUP(C764,TD!$B$33:$F$37,2,0)," ")</f>
        <v>O230117</v>
      </c>
      <c r="Q764" s="204" t="str">
        <f>IFERROR(VLOOKUP(C764,TD!$B$33:$F$37,3,0)," ")</f>
        <v>4599</v>
      </c>
      <c r="R764" s="204">
        <f>IFERROR(VLOOKUP(C764,TD!$B$33:$F$37,4,0)," ")</f>
        <v>20240207</v>
      </c>
      <c r="S764" s="205" t="s">
        <v>185</v>
      </c>
      <c r="T764" s="204" t="str">
        <f>IFERROR(VLOOKUP(S764,TD!$J$34:$K$44,2,0)," ")</f>
        <v>Infraestructura física, mantenimiento y dotación (Sedes construidas, mantenidas reforzadas)</v>
      </c>
      <c r="U764" s="206" t="str">
        <f>CONCATENATE(S764,"-",T764)</f>
        <v>08-Infraestructura física, mantenimiento y dotación (Sedes construidas, mantenidas reforzadas)</v>
      </c>
      <c r="V764" s="205" t="s">
        <v>238</v>
      </c>
      <c r="W764" s="186" t="str">
        <f>IFERROR(VLOOKUP(V764,TD!$N$34:$O$46,2,0)," ")</f>
        <v>Sedes mantenidas</v>
      </c>
      <c r="X764" s="206" t="str">
        <f>CONCATENATE(V764,"_",W764)</f>
        <v>016_Sedes mantenidas</v>
      </c>
      <c r="Y764" s="206" t="str">
        <f>CONCATENATE(U764," ",X764)</f>
        <v>08-Infraestructura física, mantenimiento y dotación (Sedes construidas, mantenidas reforzadas) 016_Sedes mantenidas</v>
      </c>
      <c r="Z764" s="204" t="str">
        <f>CONCATENATE(P764,Q764,R764,S764,V764)</f>
        <v>O23011745992024020708016</v>
      </c>
      <c r="AA764" s="204" t="str">
        <f>IFERROR(VLOOKUP(Y764,TD!$K$47:$L$65,2,0)," ")</f>
        <v>PM/0131/0108/45990160207</v>
      </c>
      <c r="AB764" s="131" t="s">
        <v>120</v>
      </c>
      <c r="AC764" s="207" t="s">
        <v>204</v>
      </c>
    </row>
    <row r="765" spans="2:29" ht="84" x14ac:dyDescent="0.35">
      <c r="B765" s="132">
        <v>20250809</v>
      </c>
      <c r="C765" s="133" t="s">
        <v>209</v>
      </c>
      <c r="D765" s="184" t="s">
        <v>167</v>
      </c>
      <c r="E765" s="51" t="s">
        <v>505</v>
      </c>
      <c r="F765" s="202" t="s">
        <v>998</v>
      </c>
      <c r="G765" s="202" t="s">
        <v>155</v>
      </c>
      <c r="H765" s="134">
        <v>80111600</v>
      </c>
      <c r="I765" s="203">
        <v>8</v>
      </c>
      <c r="J765" s="203">
        <v>5</v>
      </c>
      <c r="K765" s="135">
        <v>0</v>
      </c>
      <c r="L765" s="131">
        <v>20000000</v>
      </c>
      <c r="M765" s="142" t="s">
        <v>464</v>
      </c>
      <c r="N765" s="131" t="s">
        <v>113</v>
      </c>
      <c r="O765" s="51" t="s">
        <v>221</v>
      </c>
      <c r="P765" s="204" t="str">
        <f>IFERROR(VLOOKUP(C765,TD!$B$33:$F$37,2,0)," ")</f>
        <v>O230117</v>
      </c>
      <c r="Q765" s="204" t="str">
        <f>IFERROR(VLOOKUP(C765,TD!$B$33:$F$37,3,0)," ")</f>
        <v>4503</v>
      </c>
      <c r="R765" s="204">
        <f>IFERROR(VLOOKUP(C765,TD!$B$33:$F$37,4,0)," ")</f>
        <v>20240255</v>
      </c>
      <c r="S765" s="205" t="s">
        <v>177</v>
      </c>
      <c r="T765" s="204" t="str">
        <f>IFERROR(VLOOKUP(S765,TD!$J$34:$K$44,2,0)," ")</f>
        <v>Servicio de capacitaciones en gestión del riesgo de incendios  a la ciudadania.</v>
      </c>
      <c r="U765" s="206" t="str">
        <f>CONCATENATE(S765,"-",T765)</f>
        <v>05-Servicio de capacitaciones en gestión del riesgo de incendios  a la ciudadania.</v>
      </c>
      <c r="V765" s="205" t="s">
        <v>234</v>
      </c>
      <c r="W765" s="186" t="str">
        <f>IFERROR(VLOOKUP(V765,TD!$N$34:$O$46,2,0)," ")</f>
        <v>Servicio prevención y control de incendios</v>
      </c>
      <c r="X765" s="206" t="str">
        <f>CONCATENATE(V765,"_",W765)</f>
        <v>035_Servicio prevención y control de incendios</v>
      </c>
      <c r="Y765" s="206" t="str">
        <f>CONCATENATE(U765," ",X765)</f>
        <v>05-Servicio de capacitaciones en gestión del riesgo de incendios  a la ciudadania. 035_Servicio prevención y control de incendios</v>
      </c>
      <c r="Z765" s="204" t="str">
        <f>CONCATENATE(P765,Q765,R765,S765,V765)</f>
        <v>O23011745032024025505035</v>
      </c>
      <c r="AA765" s="204" t="str">
        <f>IFERROR(VLOOKUP(Y765,TD!$K$47:$L$65,2,0)," ")</f>
        <v>PM/0131/0105/45030350255</v>
      </c>
      <c r="AB765" s="131" t="s">
        <v>120</v>
      </c>
      <c r="AC765" s="207" t="s">
        <v>204</v>
      </c>
    </row>
    <row r="766" spans="2:29" ht="140" x14ac:dyDescent="0.35">
      <c r="B766" s="132">
        <v>20250810</v>
      </c>
      <c r="C766" s="133" t="s">
        <v>208</v>
      </c>
      <c r="D766" s="184" t="s">
        <v>46</v>
      </c>
      <c r="E766" s="51" t="s">
        <v>465</v>
      </c>
      <c r="F766" s="202" t="s">
        <v>994</v>
      </c>
      <c r="G766" s="202" t="s">
        <v>155</v>
      </c>
      <c r="H766" s="134">
        <v>80111600</v>
      </c>
      <c r="I766" s="203">
        <v>9</v>
      </c>
      <c r="J766" s="203">
        <v>3</v>
      </c>
      <c r="K766" s="135">
        <v>15</v>
      </c>
      <c r="L766" s="131">
        <v>27300000</v>
      </c>
      <c r="M766" s="142" t="s">
        <v>464</v>
      </c>
      <c r="N766" s="131" t="s">
        <v>113</v>
      </c>
      <c r="O766" s="51" t="s">
        <v>219</v>
      </c>
      <c r="P766" s="204" t="str">
        <f>IFERROR(VLOOKUP(C766,TD!$B$33:$F$37,2,0)," ")</f>
        <v>O230117</v>
      </c>
      <c r="Q766" s="204" t="str">
        <f>IFERROR(VLOOKUP(C766,TD!$B$33:$F$37,3,0)," ")</f>
        <v>4599</v>
      </c>
      <c r="R766" s="204">
        <f>IFERROR(VLOOKUP(C766,TD!$B$33:$F$37,4,0)," ")</f>
        <v>20240207</v>
      </c>
      <c r="S766" s="205" t="s">
        <v>185</v>
      </c>
      <c r="T766" s="204" t="str">
        <f>IFERROR(VLOOKUP(S766,TD!$J$34:$K$44,2,0)," ")</f>
        <v>Infraestructura física, mantenimiento y dotación (Sedes construidas, mantenidas reforzadas)</v>
      </c>
      <c r="U766" s="206" t="str">
        <f>CONCATENATE(S766,"-",T766)</f>
        <v>08-Infraestructura física, mantenimiento y dotación (Sedes construidas, mantenidas reforzadas)</v>
      </c>
      <c r="V766" s="205" t="s">
        <v>238</v>
      </c>
      <c r="W766" s="186" t="str">
        <f>IFERROR(VLOOKUP(V766,TD!$N$34:$O$46,2,0)," ")</f>
        <v>Sedes mantenidas</v>
      </c>
      <c r="X766" s="206" t="str">
        <f>CONCATENATE(V766,"_",W766)</f>
        <v>016_Sedes mantenidas</v>
      </c>
      <c r="Y766" s="206" t="str">
        <f>CONCATENATE(U766," ",X766)</f>
        <v>08-Infraestructura física, mantenimiento y dotación (Sedes construidas, mantenidas reforzadas) 016_Sedes mantenidas</v>
      </c>
      <c r="Z766" s="204" t="str">
        <f>CONCATENATE(P766,Q766,R766,S766,V766)</f>
        <v>O23011745992024020708016</v>
      </c>
      <c r="AA766" s="204" t="str">
        <f>IFERROR(VLOOKUP(Y766,TD!$K$47:$L$65,2,0)," ")</f>
        <v>PM/0131/0108/45990160207</v>
      </c>
      <c r="AB766" s="131" t="s">
        <v>120</v>
      </c>
      <c r="AC766" s="207" t="s">
        <v>205</v>
      </c>
    </row>
    <row r="767" spans="2:29" ht="140" x14ac:dyDescent="0.35">
      <c r="B767" s="132">
        <v>20250811</v>
      </c>
      <c r="C767" s="133" t="s">
        <v>208</v>
      </c>
      <c r="D767" s="184" t="s">
        <v>46</v>
      </c>
      <c r="E767" s="51" t="s">
        <v>465</v>
      </c>
      <c r="F767" s="202" t="s">
        <v>995</v>
      </c>
      <c r="G767" s="202" t="s">
        <v>155</v>
      </c>
      <c r="H767" s="134">
        <v>80111600</v>
      </c>
      <c r="I767" s="203">
        <v>12</v>
      </c>
      <c r="J767" s="203">
        <v>1</v>
      </c>
      <c r="K767" s="135">
        <v>0</v>
      </c>
      <c r="L767" s="131">
        <v>8500000</v>
      </c>
      <c r="M767" s="142" t="s">
        <v>464</v>
      </c>
      <c r="N767" s="131" t="s">
        <v>113</v>
      </c>
      <c r="O767" s="51" t="s">
        <v>219</v>
      </c>
      <c r="P767" s="204" t="str">
        <f>IFERROR(VLOOKUP(C767,TD!$B$33:$F$37,2,0)," ")</f>
        <v>O230117</v>
      </c>
      <c r="Q767" s="204" t="str">
        <f>IFERROR(VLOOKUP(C767,TD!$B$33:$F$37,3,0)," ")</f>
        <v>4599</v>
      </c>
      <c r="R767" s="204">
        <f>IFERROR(VLOOKUP(C767,TD!$B$33:$F$37,4,0)," ")</f>
        <v>20240207</v>
      </c>
      <c r="S767" s="205" t="s">
        <v>185</v>
      </c>
      <c r="T767" s="204" t="str">
        <f>IFERROR(VLOOKUP(S767,TD!$J$34:$K$44,2,0)," ")</f>
        <v>Infraestructura física, mantenimiento y dotación (Sedes construidas, mantenidas reforzadas)</v>
      </c>
      <c r="U767" s="206" t="str">
        <f>CONCATENATE(S767,"-",T767)</f>
        <v>08-Infraestructura física, mantenimiento y dotación (Sedes construidas, mantenidas reforzadas)</v>
      </c>
      <c r="V767" s="205" t="s">
        <v>238</v>
      </c>
      <c r="W767" s="186" t="str">
        <f>IFERROR(VLOOKUP(V767,TD!$N$34:$O$46,2,0)," ")</f>
        <v>Sedes mantenidas</v>
      </c>
      <c r="X767" s="206" t="str">
        <f>CONCATENATE(V767,"_",W767)</f>
        <v>016_Sedes mantenidas</v>
      </c>
      <c r="Y767" s="206" t="str">
        <f>CONCATENATE(U767," ",X767)</f>
        <v>08-Infraestructura física, mantenimiento y dotación (Sedes construidas, mantenidas reforzadas) 016_Sedes mantenidas</v>
      </c>
      <c r="Z767" s="204" t="str">
        <f>CONCATENATE(P767,Q767,R767,S767,V767)</f>
        <v>O23011745992024020708016</v>
      </c>
      <c r="AA767" s="204" t="str">
        <f>IFERROR(VLOOKUP(Y767,TD!$K$47:$L$65,2,0)," ")</f>
        <v>PM/0131/0108/45990160207</v>
      </c>
      <c r="AB767" s="131" t="s">
        <v>120</v>
      </c>
      <c r="AC767" s="207" t="s">
        <v>205</v>
      </c>
    </row>
    <row r="768" spans="2:29" ht="112" x14ac:dyDescent="0.35">
      <c r="B768" s="132">
        <v>20250812</v>
      </c>
      <c r="C768" s="133" t="s">
        <v>208</v>
      </c>
      <c r="D768" s="184" t="s">
        <v>46</v>
      </c>
      <c r="E768" s="51" t="s">
        <v>465</v>
      </c>
      <c r="F768" s="202" t="s">
        <v>996</v>
      </c>
      <c r="G768" s="202" t="s">
        <v>155</v>
      </c>
      <c r="H768" s="134">
        <v>80111600</v>
      </c>
      <c r="I768" s="203">
        <v>12</v>
      </c>
      <c r="J768" s="203">
        <v>1</v>
      </c>
      <c r="K768" s="135">
        <v>7</v>
      </c>
      <c r="L768" s="131">
        <v>9250000</v>
      </c>
      <c r="M768" s="142" t="s">
        <v>464</v>
      </c>
      <c r="N768" s="131" t="s">
        <v>113</v>
      </c>
      <c r="O768" s="51" t="s">
        <v>219</v>
      </c>
      <c r="P768" s="204" t="str">
        <f>IFERROR(VLOOKUP(C768,TD!$B$33:$F$37,2,0)," ")</f>
        <v>O230117</v>
      </c>
      <c r="Q768" s="204" t="str">
        <f>IFERROR(VLOOKUP(C768,TD!$B$33:$F$37,3,0)," ")</f>
        <v>4599</v>
      </c>
      <c r="R768" s="204">
        <f>IFERROR(VLOOKUP(C768,TD!$B$33:$F$37,4,0)," ")</f>
        <v>20240207</v>
      </c>
      <c r="S768" s="205" t="s">
        <v>185</v>
      </c>
      <c r="T768" s="204" t="str">
        <f>IFERROR(VLOOKUP(S768,TD!$J$34:$K$44,2,0)," ")</f>
        <v>Infraestructura física, mantenimiento y dotación (Sedes construidas, mantenidas reforzadas)</v>
      </c>
      <c r="U768" s="206" t="str">
        <f>CONCATENATE(S768,"-",T768)</f>
        <v>08-Infraestructura física, mantenimiento y dotación (Sedes construidas, mantenidas reforzadas)</v>
      </c>
      <c r="V768" s="205" t="s">
        <v>238</v>
      </c>
      <c r="W768" s="186" t="str">
        <f>IFERROR(VLOOKUP(V768,TD!$N$34:$O$46,2,0)," ")</f>
        <v>Sedes mantenidas</v>
      </c>
      <c r="X768" s="206" t="str">
        <f>CONCATENATE(V768,"_",W768)</f>
        <v>016_Sedes mantenidas</v>
      </c>
      <c r="Y768" s="206" t="str">
        <f>CONCATENATE(U768," ",X768)</f>
        <v>08-Infraestructura física, mantenimiento y dotación (Sedes construidas, mantenidas reforzadas) 016_Sedes mantenidas</v>
      </c>
      <c r="Z768" s="204" t="str">
        <f>CONCATENATE(P768,Q768,R768,S768,V768)</f>
        <v>O23011745992024020708016</v>
      </c>
      <c r="AA768" s="204" t="str">
        <f>IFERROR(VLOOKUP(Y768,TD!$K$47:$L$65,2,0)," ")</f>
        <v>PM/0131/0108/45990160207</v>
      </c>
      <c r="AB768" s="131" t="s">
        <v>120</v>
      </c>
      <c r="AC768" s="207" t="s">
        <v>205</v>
      </c>
    </row>
    <row r="769" spans="2:29" ht="140" x14ac:dyDescent="0.35">
      <c r="B769" s="132">
        <v>20250813</v>
      </c>
      <c r="C769" s="133" t="s">
        <v>208</v>
      </c>
      <c r="D769" s="184" t="s">
        <v>46</v>
      </c>
      <c r="E769" s="51" t="s">
        <v>465</v>
      </c>
      <c r="F769" s="202" t="s">
        <v>997</v>
      </c>
      <c r="G769" s="202" t="s">
        <v>156</v>
      </c>
      <c r="H769" s="134">
        <v>80111600</v>
      </c>
      <c r="I769" s="203">
        <v>8</v>
      </c>
      <c r="J769" s="203">
        <v>1</v>
      </c>
      <c r="K769" s="135">
        <v>0</v>
      </c>
      <c r="L769" s="131">
        <v>3300000</v>
      </c>
      <c r="M769" s="142" t="s">
        <v>464</v>
      </c>
      <c r="N769" s="131" t="s">
        <v>113</v>
      </c>
      <c r="O769" s="51" t="s">
        <v>219</v>
      </c>
      <c r="P769" s="204" t="str">
        <f>IFERROR(VLOOKUP(C769,TD!$B$33:$F$37,2,0)," ")</f>
        <v>O230117</v>
      </c>
      <c r="Q769" s="204" t="str">
        <f>IFERROR(VLOOKUP(C769,TD!$B$33:$F$37,3,0)," ")</f>
        <v>4599</v>
      </c>
      <c r="R769" s="204">
        <f>IFERROR(VLOOKUP(C769,TD!$B$33:$F$37,4,0)," ")</f>
        <v>20240207</v>
      </c>
      <c r="S769" s="205" t="s">
        <v>185</v>
      </c>
      <c r="T769" s="204" t="str">
        <f>IFERROR(VLOOKUP(S769,TD!$J$34:$K$44,2,0)," ")</f>
        <v>Infraestructura física, mantenimiento y dotación (Sedes construidas, mantenidas reforzadas)</v>
      </c>
      <c r="U769" s="206" t="str">
        <f>CONCATENATE(S769,"-",T769)</f>
        <v>08-Infraestructura física, mantenimiento y dotación (Sedes construidas, mantenidas reforzadas)</v>
      </c>
      <c r="V769" s="205" t="s">
        <v>238</v>
      </c>
      <c r="W769" s="186" t="str">
        <f>IFERROR(VLOOKUP(V769,TD!$N$34:$O$46,2,0)," ")</f>
        <v>Sedes mantenidas</v>
      </c>
      <c r="X769" s="206" t="str">
        <f>CONCATENATE(V769,"_",W769)</f>
        <v>016_Sedes mantenidas</v>
      </c>
      <c r="Y769" s="206" t="str">
        <f>CONCATENATE(U769," ",X769)</f>
        <v>08-Infraestructura física, mantenimiento y dotación (Sedes construidas, mantenidas reforzadas) 016_Sedes mantenidas</v>
      </c>
      <c r="Z769" s="204" t="str">
        <f>CONCATENATE(P769,Q769,R769,S769,V769)</f>
        <v>O23011745992024020708016</v>
      </c>
      <c r="AA769" s="204" t="str">
        <f>IFERROR(VLOOKUP(Y769,TD!$K$47:$L$65,2,0)," ")</f>
        <v>PM/0131/0108/45990160207</v>
      </c>
      <c r="AB769" s="131" t="s">
        <v>138</v>
      </c>
      <c r="AC769" s="207" t="s">
        <v>205</v>
      </c>
    </row>
    <row r="770" spans="2:29" ht="154" x14ac:dyDescent="0.35">
      <c r="B770" s="132">
        <v>20250814</v>
      </c>
      <c r="C770" s="133" t="s">
        <v>208</v>
      </c>
      <c r="D770" s="184" t="s">
        <v>46</v>
      </c>
      <c r="E770" s="51" t="s">
        <v>465</v>
      </c>
      <c r="F770" s="202" t="s">
        <v>469</v>
      </c>
      <c r="G770" s="202" t="s">
        <v>155</v>
      </c>
      <c r="H770" s="134">
        <v>80111600</v>
      </c>
      <c r="I770" s="203">
        <v>8</v>
      </c>
      <c r="J770" s="203">
        <v>4</v>
      </c>
      <c r="K770" s="135">
        <v>20</v>
      </c>
      <c r="L770" s="131">
        <v>30333333</v>
      </c>
      <c r="M770" s="142" t="s">
        <v>464</v>
      </c>
      <c r="N770" s="131" t="s">
        <v>113</v>
      </c>
      <c r="O770" s="51" t="s">
        <v>219</v>
      </c>
      <c r="P770" s="204" t="str">
        <f>IFERROR(VLOOKUP(C770,TD!$B$33:$F$37,2,0)," ")</f>
        <v>O230117</v>
      </c>
      <c r="Q770" s="204" t="str">
        <f>IFERROR(VLOOKUP(C770,TD!$B$33:$F$37,3,0)," ")</f>
        <v>4599</v>
      </c>
      <c r="R770" s="204">
        <f>IFERROR(VLOOKUP(C770,TD!$B$33:$F$37,4,0)," ")</f>
        <v>20240207</v>
      </c>
      <c r="S770" s="205" t="s">
        <v>185</v>
      </c>
      <c r="T770" s="204" t="str">
        <f>IFERROR(VLOOKUP(S770,TD!$J$34:$K$44,2,0)," ")</f>
        <v>Infraestructura física, mantenimiento y dotación (Sedes construidas, mantenidas reforzadas)</v>
      </c>
      <c r="U770" s="206" t="str">
        <f>CONCATENATE(S770,"-",T770)</f>
        <v>08-Infraestructura física, mantenimiento y dotación (Sedes construidas, mantenidas reforzadas)</v>
      </c>
      <c r="V770" s="205" t="s">
        <v>238</v>
      </c>
      <c r="W770" s="186" t="str">
        <f>IFERROR(VLOOKUP(V770,TD!$N$34:$O$46,2,0)," ")</f>
        <v>Sedes mantenidas</v>
      </c>
      <c r="X770" s="206" t="str">
        <f>CONCATENATE(V770,"_",W770)</f>
        <v>016_Sedes mantenidas</v>
      </c>
      <c r="Y770" s="206" t="str">
        <f>CONCATENATE(U770," ",X770)</f>
        <v>08-Infraestructura física, mantenimiento y dotación (Sedes construidas, mantenidas reforzadas) 016_Sedes mantenidas</v>
      </c>
      <c r="Z770" s="204" t="str">
        <f>CONCATENATE(P770,Q770,R770,S770,V770)</f>
        <v>O23011745992024020708016</v>
      </c>
      <c r="AA770" s="204" t="str">
        <f>IFERROR(VLOOKUP(Y770,TD!$K$47:$L$65,2,0)," ")</f>
        <v>PM/0131/0108/45990160207</v>
      </c>
      <c r="AB770" s="131" t="s">
        <v>120</v>
      </c>
      <c r="AC770" s="207" t="s">
        <v>204</v>
      </c>
    </row>
    <row r="771" spans="2:29" ht="98" x14ac:dyDescent="0.35">
      <c r="B771" s="132">
        <v>20250815</v>
      </c>
      <c r="C771" s="50" t="s">
        <v>208</v>
      </c>
      <c r="D771" s="184" t="s">
        <v>46</v>
      </c>
      <c r="E771" s="51" t="s">
        <v>465</v>
      </c>
      <c r="F771" s="202" t="s">
        <v>469</v>
      </c>
      <c r="G771" s="202" t="s">
        <v>155</v>
      </c>
      <c r="H771" s="134">
        <v>80111600</v>
      </c>
      <c r="I771" s="203">
        <v>8</v>
      </c>
      <c r="J771" s="203">
        <v>4</v>
      </c>
      <c r="K771" s="135">
        <v>19</v>
      </c>
      <c r="L771" s="131">
        <v>30116667</v>
      </c>
      <c r="M771" s="136" t="s">
        <v>464</v>
      </c>
      <c r="N771" s="53" t="s">
        <v>113</v>
      </c>
      <c r="O771" s="51" t="s">
        <v>219</v>
      </c>
      <c r="P771" s="204" t="str">
        <f>IFERROR(VLOOKUP(C771,TD!$B$33:$F$37,2,0)," ")</f>
        <v>O230117</v>
      </c>
      <c r="Q771" s="204" t="str">
        <f>IFERROR(VLOOKUP(C771,TD!$B$33:$F$37,3,0)," ")</f>
        <v>4599</v>
      </c>
      <c r="R771" s="204">
        <f>IFERROR(VLOOKUP(C771,TD!$B$33:$F$37,4,0)," ")</f>
        <v>20240207</v>
      </c>
      <c r="S771" s="205" t="s">
        <v>185</v>
      </c>
      <c r="T771" s="204" t="str">
        <f>IFERROR(VLOOKUP(S771,TD!$J$34:$K$44,2,0)," ")</f>
        <v>Infraestructura física, mantenimiento y dotación (Sedes construidas, mantenidas reforzadas)</v>
      </c>
      <c r="U771" s="206" t="str">
        <f>CONCATENATE(S771,"-",T771)</f>
        <v>08-Infraestructura física, mantenimiento y dotación (Sedes construidas, mantenidas reforzadas)</v>
      </c>
      <c r="V771" s="205" t="s">
        <v>238</v>
      </c>
      <c r="W771" s="186" t="str">
        <f>IFERROR(VLOOKUP(V771,TD!$N$34:$O$46,2,0)," ")</f>
        <v>Sedes mantenidas</v>
      </c>
      <c r="X771" s="206" t="str">
        <f>CONCATENATE(V771,"_",W771)</f>
        <v>016_Sedes mantenidas</v>
      </c>
      <c r="Y771" s="206" t="str">
        <f>CONCATENATE(U771," ",X771)</f>
        <v>08-Infraestructura física, mantenimiento y dotación (Sedes construidas, mantenidas reforzadas) 016_Sedes mantenidas</v>
      </c>
      <c r="Z771" s="204" t="str">
        <f>CONCATENATE(P771,Q771,R771,S771,V771)</f>
        <v>O23011745992024020708016</v>
      </c>
      <c r="AA771" s="204" t="str">
        <f>IFERROR(VLOOKUP(Y771,TD!$K$47:$L$65,2,0)," ")</f>
        <v>PM/0131/0108/45990160207</v>
      </c>
      <c r="AB771" s="131" t="s">
        <v>120</v>
      </c>
      <c r="AC771" s="207" t="s">
        <v>204</v>
      </c>
    </row>
    <row r="772" spans="2:29" ht="84" x14ac:dyDescent="0.35">
      <c r="B772" s="132">
        <v>20250816</v>
      </c>
      <c r="C772" s="50" t="s">
        <v>208</v>
      </c>
      <c r="D772" s="184" t="s">
        <v>46</v>
      </c>
      <c r="E772" s="51" t="s">
        <v>465</v>
      </c>
      <c r="F772" s="202" t="s">
        <v>469</v>
      </c>
      <c r="G772" s="202" t="s">
        <v>155</v>
      </c>
      <c r="H772" s="134">
        <v>80111600</v>
      </c>
      <c r="I772" s="203">
        <v>8</v>
      </c>
      <c r="J772" s="203">
        <v>4</v>
      </c>
      <c r="K772" s="135">
        <v>7</v>
      </c>
      <c r="L772" s="131">
        <v>27516667</v>
      </c>
      <c r="M772" s="136" t="s">
        <v>464</v>
      </c>
      <c r="N772" s="53" t="s">
        <v>113</v>
      </c>
      <c r="O772" s="51" t="s">
        <v>219</v>
      </c>
      <c r="P772" s="204" t="str">
        <f>IFERROR(VLOOKUP(C772,TD!$B$33:$F$37,2,0)," ")</f>
        <v>O230117</v>
      </c>
      <c r="Q772" s="204" t="str">
        <f>IFERROR(VLOOKUP(C772,TD!$B$33:$F$37,3,0)," ")</f>
        <v>4599</v>
      </c>
      <c r="R772" s="204">
        <f>IFERROR(VLOOKUP(C772,TD!$B$33:$F$37,4,0)," ")</f>
        <v>20240207</v>
      </c>
      <c r="S772" s="205" t="s">
        <v>185</v>
      </c>
      <c r="T772" s="204" t="str">
        <f>IFERROR(VLOOKUP(S772,TD!$J$34:$K$44,2,0)," ")</f>
        <v>Infraestructura física, mantenimiento y dotación (Sedes construidas, mantenidas reforzadas)</v>
      </c>
      <c r="U772" s="206" t="str">
        <f>CONCATENATE(S772,"-",T772)</f>
        <v>08-Infraestructura física, mantenimiento y dotación (Sedes construidas, mantenidas reforzadas)</v>
      </c>
      <c r="V772" s="205" t="s">
        <v>238</v>
      </c>
      <c r="W772" s="186" t="str">
        <f>IFERROR(VLOOKUP(V772,TD!$N$34:$O$46,2,0)," ")</f>
        <v>Sedes mantenidas</v>
      </c>
      <c r="X772" s="206" t="str">
        <f>CONCATENATE(V772,"_",W772)</f>
        <v>016_Sedes mantenidas</v>
      </c>
      <c r="Y772" s="206" t="str">
        <f>CONCATENATE(U772," ",X772)</f>
        <v>08-Infraestructura física, mantenimiento y dotación (Sedes construidas, mantenidas reforzadas) 016_Sedes mantenidas</v>
      </c>
      <c r="Z772" s="204" t="str">
        <f>CONCATENATE(P772,Q772,R772,S772,V772)</f>
        <v>O23011745992024020708016</v>
      </c>
      <c r="AA772" s="204" t="str">
        <f>IFERROR(VLOOKUP(Y772,TD!$K$47:$L$65,2,0)," ")</f>
        <v>PM/0131/0108/45990160207</v>
      </c>
      <c r="AB772" s="131" t="s">
        <v>120</v>
      </c>
      <c r="AC772" s="207" t="s">
        <v>204</v>
      </c>
    </row>
    <row r="773" spans="2:29" ht="126" x14ac:dyDescent="0.35">
      <c r="B773" s="132">
        <v>20250817</v>
      </c>
      <c r="C773" s="50" t="s">
        <v>208</v>
      </c>
      <c r="D773" s="184" t="s">
        <v>46</v>
      </c>
      <c r="E773" s="51" t="s">
        <v>465</v>
      </c>
      <c r="F773" s="202" t="s">
        <v>469</v>
      </c>
      <c r="G773" s="202" t="s">
        <v>155</v>
      </c>
      <c r="H773" s="134">
        <v>80111600</v>
      </c>
      <c r="I773" s="203">
        <v>9</v>
      </c>
      <c r="J773" s="203">
        <v>3</v>
      </c>
      <c r="K773" s="135">
        <v>15</v>
      </c>
      <c r="L773" s="131">
        <v>22750000</v>
      </c>
      <c r="M773" s="136" t="s">
        <v>464</v>
      </c>
      <c r="N773" s="53" t="s">
        <v>113</v>
      </c>
      <c r="O773" s="51" t="s">
        <v>219</v>
      </c>
      <c r="P773" s="204" t="str">
        <f>IFERROR(VLOOKUP(C773,TD!$B$33:$F$37,2,0)," ")</f>
        <v>O230117</v>
      </c>
      <c r="Q773" s="204" t="str">
        <f>IFERROR(VLOOKUP(C773,TD!$B$33:$F$37,3,0)," ")</f>
        <v>4599</v>
      </c>
      <c r="R773" s="204">
        <f>IFERROR(VLOOKUP(C773,TD!$B$33:$F$37,4,0)," ")</f>
        <v>20240207</v>
      </c>
      <c r="S773" s="205" t="s">
        <v>185</v>
      </c>
      <c r="T773" s="204" t="str">
        <f>IFERROR(VLOOKUP(S773,TD!$J$34:$K$44,2,0)," ")</f>
        <v>Infraestructura física, mantenimiento y dotación (Sedes construidas, mantenidas reforzadas)</v>
      </c>
      <c r="U773" s="206" t="str">
        <f>CONCATENATE(S773,"-",T773)</f>
        <v>08-Infraestructura física, mantenimiento y dotación (Sedes construidas, mantenidas reforzadas)</v>
      </c>
      <c r="V773" s="205" t="s">
        <v>238</v>
      </c>
      <c r="W773" s="186" t="str">
        <f>IFERROR(VLOOKUP(V773,TD!$N$34:$O$46,2,0)," ")</f>
        <v>Sedes mantenidas</v>
      </c>
      <c r="X773" s="206" t="str">
        <f>CONCATENATE(V773,"_",W773)</f>
        <v>016_Sedes mantenidas</v>
      </c>
      <c r="Y773" s="206" t="str">
        <f>CONCATENATE(U773," ",X773)</f>
        <v>08-Infraestructura física, mantenimiento y dotación (Sedes construidas, mantenidas reforzadas) 016_Sedes mantenidas</v>
      </c>
      <c r="Z773" s="204" t="str">
        <f>CONCATENATE(P773,Q773,R773,S773,V773)</f>
        <v>O23011745992024020708016</v>
      </c>
      <c r="AA773" s="204" t="str">
        <f>IFERROR(VLOOKUP(Y773,TD!$K$47:$L$65,2,0)," ")</f>
        <v>PM/0131/0108/45990160207</v>
      </c>
      <c r="AB773" s="131" t="s">
        <v>120</v>
      </c>
      <c r="AC773" s="207" t="s">
        <v>204</v>
      </c>
    </row>
    <row r="774" spans="2:29" ht="70" x14ac:dyDescent="0.35">
      <c r="B774" s="132">
        <v>20250818</v>
      </c>
      <c r="C774" s="50" t="s">
        <v>208</v>
      </c>
      <c r="D774" s="184" t="s">
        <v>46</v>
      </c>
      <c r="E774" s="51" t="s">
        <v>465</v>
      </c>
      <c r="F774" s="202" t="s">
        <v>817</v>
      </c>
      <c r="G774" s="202" t="s">
        <v>155</v>
      </c>
      <c r="H774" s="134">
        <v>80111600</v>
      </c>
      <c r="I774" s="203">
        <v>9</v>
      </c>
      <c r="J774" s="203">
        <v>3</v>
      </c>
      <c r="K774" s="135">
        <v>15</v>
      </c>
      <c r="L774" s="131">
        <v>17500000</v>
      </c>
      <c r="M774" s="136" t="s">
        <v>464</v>
      </c>
      <c r="N774" s="53" t="s">
        <v>113</v>
      </c>
      <c r="O774" s="51" t="s">
        <v>219</v>
      </c>
      <c r="P774" s="204" t="str">
        <f>IFERROR(VLOOKUP(C774,TD!$B$33:$F$37,2,0)," ")</f>
        <v>O230117</v>
      </c>
      <c r="Q774" s="204" t="str">
        <f>IFERROR(VLOOKUP(C774,TD!$B$33:$F$37,3,0)," ")</f>
        <v>4599</v>
      </c>
      <c r="R774" s="204">
        <f>IFERROR(VLOOKUP(C774,TD!$B$33:$F$37,4,0)," ")</f>
        <v>20240207</v>
      </c>
      <c r="S774" s="205" t="s">
        <v>185</v>
      </c>
      <c r="T774" s="204" t="str">
        <f>IFERROR(VLOOKUP(S774,TD!$J$34:$K$44,2,0)," ")</f>
        <v>Infraestructura física, mantenimiento y dotación (Sedes construidas, mantenidas reforzadas)</v>
      </c>
      <c r="U774" s="206" t="str">
        <f>CONCATENATE(S774,"-",T774)</f>
        <v>08-Infraestructura física, mantenimiento y dotación (Sedes construidas, mantenidas reforzadas)</v>
      </c>
      <c r="V774" s="205" t="s">
        <v>238</v>
      </c>
      <c r="W774" s="186" t="str">
        <f>IFERROR(VLOOKUP(V774,TD!$N$34:$O$46,2,0)," ")</f>
        <v>Sedes mantenidas</v>
      </c>
      <c r="X774" s="206" t="str">
        <f>CONCATENATE(V774,"_",W774)</f>
        <v>016_Sedes mantenidas</v>
      </c>
      <c r="Y774" s="206" t="str">
        <f>CONCATENATE(U774," ",X774)</f>
        <v>08-Infraestructura física, mantenimiento y dotación (Sedes construidas, mantenidas reforzadas) 016_Sedes mantenidas</v>
      </c>
      <c r="Z774" s="204" t="str">
        <f>CONCATENATE(P774,Q774,R774,S774,V774)</f>
        <v>O23011745992024020708016</v>
      </c>
      <c r="AA774" s="204" t="str">
        <f>IFERROR(VLOOKUP(Y774,TD!$K$47:$L$65,2,0)," ")</f>
        <v>PM/0131/0108/45990160207</v>
      </c>
      <c r="AB774" s="131" t="s">
        <v>120</v>
      </c>
      <c r="AC774" s="207" t="s">
        <v>204</v>
      </c>
    </row>
    <row r="775" spans="2:29" ht="56" x14ac:dyDescent="0.35">
      <c r="B775" s="132">
        <v>20250819</v>
      </c>
      <c r="C775" s="50" t="s">
        <v>208</v>
      </c>
      <c r="D775" s="184" t="s">
        <v>46</v>
      </c>
      <c r="E775" s="51" t="s">
        <v>465</v>
      </c>
      <c r="F775" s="202" t="s">
        <v>470</v>
      </c>
      <c r="G775" s="202" t="s">
        <v>156</v>
      </c>
      <c r="H775" s="134">
        <v>80111600</v>
      </c>
      <c r="I775" s="203">
        <v>8</v>
      </c>
      <c r="J775" s="203">
        <v>4</v>
      </c>
      <c r="K775" s="135">
        <v>0</v>
      </c>
      <c r="L775" s="131">
        <v>14000000</v>
      </c>
      <c r="M775" s="136" t="s">
        <v>464</v>
      </c>
      <c r="N775" s="53" t="s">
        <v>113</v>
      </c>
      <c r="O775" s="51" t="s">
        <v>219</v>
      </c>
      <c r="P775" s="204" t="str">
        <f>IFERROR(VLOOKUP(C775,TD!$B$33:$F$37,2,0)," ")</f>
        <v>O230117</v>
      </c>
      <c r="Q775" s="204" t="str">
        <f>IFERROR(VLOOKUP(C775,TD!$B$33:$F$37,3,0)," ")</f>
        <v>4599</v>
      </c>
      <c r="R775" s="204">
        <f>IFERROR(VLOOKUP(C775,TD!$B$33:$F$37,4,0)," ")</f>
        <v>20240207</v>
      </c>
      <c r="S775" s="205" t="s">
        <v>185</v>
      </c>
      <c r="T775" s="204" t="str">
        <f>IFERROR(VLOOKUP(S775,TD!$J$34:$K$44,2,0)," ")</f>
        <v>Infraestructura física, mantenimiento y dotación (Sedes construidas, mantenidas reforzadas)</v>
      </c>
      <c r="U775" s="206" t="str">
        <f>CONCATENATE(S775,"-",T775)</f>
        <v>08-Infraestructura física, mantenimiento y dotación (Sedes construidas, mantenidas reforzadas)</v>
      </c>
      <c r="V775" s="205" t="s">
        <v>238</v>
      </c>
      <c r="W775" s="186" t="str">
        <f>IFERROR(VLOOKUP(V775,TD!$N$34:$O$46,2,0)," ")</f>
        <v>Sedes mantenidas</v>
      </c>
      <c r="X775" s="206" t="str">
        <f>CONCATENATE(V775,"_",W775)</f>
        <v>016_Sedes mantenidas</v>
      </c>
      <c r="Y775" s="206" t="str">
        <f>CONCATENATE(U775," ",X775)</f>
        <v>08-Infraestructura física, mantenimiento y dotación (Sedes construidas, mantenidas reforzadas) 016_Sedes mantenidas</v>
      </c>
      <c r="Z775" s="204" t="str">
        <f>CONCATENATE(P775,Q775,R775,S775,V775)</f>
        <v>O23011745992024020708016</v>
      </c>
      <c r="AA775" s="204" t="str">
        <f>IFERROR(VLOOKUP(Y775,TD!$K$47:$L$65,2,0)," ")</f>
        <v>PM/0131/0108/45990160207</v>
      </c>
      <c r="AB775" s="131" t="s">
        <v>138</v>
      </c>
      <c r="AC775" s="207" t="s">
        <v>204</v>
      </c>
    </row>
    <row r="776" spans="2:29" ht="112" x14ac:dyDescent="0.35">
      <c r="B776" s="132">
        <v>20250820</v>
      </c>
      <c r="C776" s="50" t="s">
        <v>209</v>
      </c>
      <c r="D776" s="184" t="s">
        <v>168</v>
      </c>
      <c r="E776" s="51" t="s">
        <v>603</v>
      </c>
      <c r="F776" s="202" t="s">
        <v>942</v>
      </c>
      <c r="G776" s="202" t="s">
        <v>119</v>
      </c>
      <c r="H776" s="134" t="s">
        <v>387</v>
      </c>
      <c r="I776" s="203">
        <v>8</v>
      </c>
      <c r="J776" s="203">
        <v>2</v>
      </c>
      <c r="K776" s="135">
        <v>0</v>
      </c>
      <c r="L776" s="131">
        <v>33000000</v>
      </c>
      <c r="M776" s="136" t="s">
        <v>464</v>
      </c>
      <c r="N776" s="53" t="s">
        <v>95</v>
      </c>
      <c r="O776" s="51" t="s">
        <v>224</v>
      </c>
      <c r="P776" s="204" t="str">
        <f>IFERROR(VLOOKUP(C776,TD!$B$33:$F$37,2,0)," ")</f>
        <v>O230117</v>
      </c>
      <c r="Q776" s="204" t="str">
        <f>IFERROR(VLOOKUP(C776,TD!$B$33:$F$37,3,0)," ")</f>
        <v>4503</v>
      </c>
      <c r="R776" s="204">
        <f>IFERROR(VLOOKUP(C776,TD!$B$33:$F$37,4,0)," ")</f>
        <v>20240255</v>
      </c>
      <c r="S776" s="205" t="s">
        <v>191</v>
      </c>
      <c r="T776" s="204" t="str">
        <f>IFERROR(VLOOKUP(S776,TD!$J$34:$K$44,2,0)," ")</f>
        <v>Servicio de apoyo   logístico  en eventos operativos y/o emergencias.</v>
      </c>
      <c r="U776" s="206" t="str">
        <f>CONCATENATE(S776,"-",T776)</f>
        <v>12-Servicio de apoyo   logístico  en eventos operativos y/o emergencias.</v>
      </c>
      <c r="V776" s="205" t="s">
        <v>232</v>
      </c>
      <c r="W776" s="186" t="str">
        <f>IFERROR(VLOOKUP(V776,TD!$N$34:$O$46,2,0)," ")</f>
        <v>Servicio de atención a emergencias y desastres</v>
      </c>
      <c r="X776" s="206" t="str">
        <f>CONCATENATE(V776,"_",W776)</f>
        <v>004_Servicio de atención a emergencias y desastres</v>
      </c>
      <c r="Y776" s="206" t="str">
        <f>CONCATENATE(U776," ",X776)</f>
        <v>12-Servicio de apoyo   logístico  en eventos operativos y/o emergencias. 004_Servicio de atención a emergencias y desastres</v>
      </c>
      <c r="Z776" s="204" t="str">
        <f>CONCATENATE(P776,Q776,R776,S776,V776)</f>
        <v>O23011745032024025512004</v>
      </c>
      <c r="AA776" s="204" t="str">
        <f>IFERROR(VLOOKUP(Y776,TD!$K$47:$L$65,2,0)," ")</f>
        <v>PM/0131/0112/45030040255</v>
      </c>
      <c r="AB776" s="131" t="s">
        <v>110</v>
      </c>
      <c r="AC776" s="207" t="s">
        <v>205</v>
      </c>
    </row>
    <row r="777" spans="2:29" ht="98" x14ac:dyDescent="0.35">
      <c r="B777" s="132">
        <v>20250822</v>
      </c>
      <c r="C777" s="50" t="s">
        <v>209</v>
      </c>
      <c r="D777" s="184" t="s">
        <v>169</v>
      </c>
      <c r="E777" s="51" t="s">
        <v>465</v>
      </c>
      <c r="F777" s="202" t="s">
        <v>1003</v>
      </c>
      <c r="G777" s="202" t="s">
        <v>156</v>
      </c>
      <c r="H777" s="134">
        <v>80111600</v>
      </c>
      <c r="I777" s="203">
        <v>9</v>
      </c>
      <c r="J777" s="203">
        <v>3</v>
      </c>
      <c r="K777" s="135">
        <v>0</v>
      </c>
      <c r="L777" s="131">
        <f>9000000</f>
        <v>9000000</v>
      </c>
      <c r="M777" s="136" t="s">
        <v>464</v>
      </c>
      <c r="N777" s="53" t="s">
        <v>113</v>
      </c>
      <c r="O777" s="51" t="s">
        <v>222</v>
      </c>
      <c r="P777" s="204" t="str">
        <f>IFERROR(VLOOKUP(C777,TD!$B$33:$F$37,2,0)," ")</f>
        <v>O230117</v>
      </c>
      <c r="Q777" s="204" t="str">
        <f>IFERROR(VLOOKUP(C777,TD!$B$33:$F$37,3,0)," ")</f>
        <v>4503</v>
      </c>
      <c r="R777" s="204">
        <f>IFERROR(VLOOKUP(C777,TD!$B$33:$F$37,4,0)," ")</f>
        <v>20240255</v>
      </c>
      <c r="S777" s="205" t="s">
        <v>175</v>
      </c>
      <c r="T777" s="204" t="str">
        <f>IFERROR(VLOOKUP(S777,TD!$J$34:$K$44,2,0)," ")</f>
        <v>Servicio de atención a incidentes y emergencias.</v>
      </c>
      <c r="U777" s="206" t="str">
        <f>CONCATENATE(S777,"-",T777)</f>
        <v>04-Servicio de atención a incidentes y emergencias.</v>
      </c>
      <c r="V777" s="205" t="s">
        <v>232</v>
      </c>
      <c r="W777" s="186" t="str">
        <f>IFERROR(VLOOKUP(V777,TD!$N$34:$O$46,2,0)," ")</f>
        <v>Servicio de atención a emergencias y desastres</v>
      </c>
      <c r="X777" s="206" t="str">
        <f>CONCATENATE(V777,"_",W777)</f>
        <v>004_Servicio de atención a emergencias y desastres</v>
      </c>
      <c r="Y777" s="206" t="str">
        <f>CONCATENATE(U777," ",X777)</f>
        <v>04-Servicio de atención a incidentes y emergencias. 004_Servicio de atención a emergencias y desastres</v>
      </c>
      <c r="Z777" s="204" t="str">
        <f>CONCATENATE(P777,Q777,R777,S777,V777)</f>
        <v>O23011745032024025504004</v>
      </c>
      <c r="AA777" s="204" t="str">
        <f>IFERROR(VLOOKUP(Y777,TD!$K$47:$L$65,2,0)," ")</f>
        <v>PM/0131/0104/45030040255</v>
      </c>
      <c r="AB777" s="131" t="s">
        <v>138</v>
      </c>
      <c r="AC777" s="207" t="s">
        <v>205</v>
      </c>
    </row>
    <row r="778" spans="2:29" ht="98" x14ac:dyDescent="0.35">
      <c r="B778" s="132">
        <v>20250823</v>
      </c>
      <c r="C778" s="50" t="s">
        <v>209</v>
      </c>
      <c r="D778" s="184" t="s">
        <v>169</v>
      </c>
      <c r="E778" s="51" t="s">
        <v>465</v>
      </c>
      <c r="F778" s="202" t="s">
        <v>1004</v>
      </c>
      <c r="G778" s="202" t="s">
        <v>156</v>
      </c>
      <c r="H778" s="134">
        <v>80111600</v>
      </c>
      <c r="I778" s="203">
        <v>9</v>
      </c>
      <c r="J778" s="203">
        <v>3</v>
      </c>
      <c r="K778" s="135">
        <v>0</v>
      </c>
      <c r="L778" s="131">
        <f>8700000</f>
        <v>8700000</v>
      </c>
      <c r="M778" s="136" t="s">
        <v>464</v>
      </c>
      <c r="N778" s="53" t="s">
        <v>113</v>
      </c>
      <c r="O778" s="51" t="s">
        <v>222</v>
      </c>
      <c r="P778" s="204" t="str">
        <f>IFERROR(VLOOKUP(C778,TD!$B$33:$F$37,2,0)," ")</f>
        <v>O230117</v>
      </c>
      <c r="Q778" s="204" t="str">
        <f>IFERROR(VLOOKUP(C778,TD!$B$33:$F$37,3,0)," ")</f>
        <v>4503</v>
      </c>
      <c r="R778" s="204">
        <f>IFERROR(VLOOKUP(C778,TD!$B$33:$F$37,4,0)," ")</f>
        <v>20240255</v>
      </c>
      <c r="S778" s="205" t="s">
        <v>175</v>
      </c>
      <c r="T778" s="204" t="str">
        <f>IFERROR(VLOOKUP(S778,TD!$J$34:$K$44,2,0)," ")</f>
        <v>Servicio de atención a incidentes y emergencias.</v>
      </c>
      <c r="U778" s="206" t="str">
        <f>CONCATENATE(S778,"-",T778)</f>
        <v>04-Servicio de atención a incidentes y emergencias.</v>
      </c>
      <c r="V778" s="205" t="s">
        <v>232</v>
      </c>
      <c r="W778" s="186" t="str">
        <f>IFERROR(VLOOKUP(V778,TD!$N$34:$O$46,2,0)," ")</f>
        <v>Servicio de atención a emergencias y desastres</v>
      </c>
      <c r="X778" s="206" t="str">
        <f>CONCATENATE(V778,"_",W778)</f>
        <v>004_Servicio de atención a emergencias y desastres</v>
      </c>
      <c r="Y778" s="206" t="str">
        <f>CONCATENATE(U778," ",X778)</f>
        <v>04-Servicio de atención a incidentes y emergencias. 004_Servicio de atención a emergencias y desastres</v>
      </c>
      <c r="Z778" s="204" t="str">
        <f>CONCATENATE(P778,Q778,R778,S778,V778)</f>
        <v>O23011745032024025504004</v>
      </c>
      <c r="AA778" s="204" t="str">
        <f>IFERROR(VLOOKUP(Y778,TD!$K$47:$L$65,2,0)," ")</f>
        <v>PM/0131/0104/45030040255</v>
      </c>
      <c r="AB778" s="131" t="s">
        <v>138</v>
      </c>
      <c r="AC778" s="207" t="s">
        <v>205</v>
      </c>
    </row>
    <row r="779" spans="2:29" ht="84" x14ac:dyDescent="0.35">
      <c r="B779" s="132">
        <v>20250824</v>
      </c>
      <c r="C779" s="50" t="s">
        <v>209</v>
      </c>
      <c r="D779" s="184" t="s">
        <v>169</v>
      </c>
      <c r="E779" s="51" t="s">
        <v>465</v>
      </c>
      <c r="F779" s="202" t="s">
        <v>1005</v>
      </c>
      <c r="G779" s="202" t="s">
        <v>156</v>
      </c>
      <c r="H779" s="134">
        <v>80111600</v>
      </c>
      <c r="I779" s="203">
        <v>9</v>
      </c>
      <c r="J779" s="203">
        <v>3</v>
      </c>
      <c r="K779" s="135">
        <v>0</v>
      </c>
      <c r="L779" s="131">
        <f>8700000</f>
        <v>8700000</v>
      </c>
      <c r="M779" s="136" t="s">
        <v>464</v>
      </c>
      <c r="N779" s="53" t="s">
        <v>113</v>
      </c>
      <c r="O779" s="51" t="s">
        <v>222</v>
      </c>
      <c r="P779" s="204" t="str">
        <f>IFERROR(VLOOKUP(C779,TD!$B$33:$F$37,2,0)," ")</f>
        <v>O230117</v>
      </c>
      <c r="Q779" s="204" t="str">
        <f>IFERROR(VLOOKUP(C779,TD!$B$33:$F$37,3,0)," ")</f>
        <v>4503</v>
      </c>
      <c r="R779" s="204">
        <f>IFERROR(VLOOKUP(C779,TD!$B$33:$F$37,4,0)," ")</f>
        <v>20240255</v>
      </c>
      <c r="S779" s="205" t="s">
        <v>175</v>
      </c>
      <c r="T779" s="204" t="str">
        <f>IFERROR(VLOOKUP(S779,TD!$J$34:$K$44,2,0)," ")</f>
        <v>Servicio de atención a incidentes y emergencias.</v>
      </c>
      <c r="U779" s="206" t="str">
        <f>CONCATENATE(S779,"-",T779)</f>
        <v>04-Servicio de atención a incidentes y emergencias.</v>
      </c>
      <c r="V779" s="205" t="s">
        <v>232</v>
      </c>
      <c r="W779" s="186" t="str">
        <f>IFERROR(VLOOKUP(V779,TD!$N$34:$O$46,2,0)," ")</f>
        <v>Servicio de atención a emergencias y desastres</v>
      </c>
      <c r="X779" s="206" t="str">
        <f>CONCATENATE(V779,"_",W779)</f>
        <v>004_Servicio de atención a emergencias y desastres</v>
      </c>
      <c r="Y779" s="206" t="str">
        <f>CONCATENATE(U779," ",X779)</f>
        <v>04-Servicio de atención a incidentes y emergencias. 004_Servicio de atención a emergencias y desastres</v>
      </c>
      <c r="Z779" s="204" t="str">
        <f>CONCATENATE(P779,Q779,R779,S779,V779)</f>
        <v>O23011745032024025504004</v>
      </c>
      <c r="AA779" s="204" t="str">
        <f>IFERROR(VLOOKUP(Y779,TD!$K$47:$L$65,2,0)," ")</f>
        <v>PM/0131/0104/45030040255</v>
      </c>
      <c r="AB779" s="131" t="s">
        <v>138</v>
      </c>
      <c r="AC779" s="207" t="s">
        <v>205</v>
      </c>
    </row>
    <row r="780" spans="2:29" ht="70" x14ac:dyDescent="0.35">
      <c r="B780" s="132">
        <v>20250825</v>
      </c>
      <c r="C780" s="133" t="s">
        <v>209</v>
      </c>
      <c r="D780" s="202" t="s">
        <v>169</v>
      </c>
      <c r="E780" s="205" t="s">
        <v>465</v>
      </c>
      <c r="F780" s="202" t="s">
        <v>1006</v>
      </c>
      <c r="G780" s="202" t="s">
        <v>156</v>
      </c>
      <c r="H780" s="134" t="s">
        <v>1010</v>
      </c>
      <c r="I780" s="203">
        <v>9</v>
      </c>
      <c r="J780" s="203">
        <v>3</v>
      </c>
      <c r="K780" s="135">
        <v>0</v>
      </c>
      <c r="L780" s="131">
        <f>9000000</f>
        <v>9000000</v>
      </c>
      <c r="M780" s="136" t="s">
        <v>464</v>
      </c>
      <c r="N780" s="53" t="s">
        <v>113</v>
      </c>
      <c r="O780" s="51" t="s">
        <v>222</v>
      </c>
      <c r="P780" s="204" t="str">
        <f>IFERROR(VLOOKUP(C780,TD!$B$33:$F$37,2,0)," ")</f>
        <v>O230117</v>
      </c>
      <c r="Q780" s="204" t="str">
        <f>IFERROR(VLOOKUP(C780,TD!$B$33:$F$37,3,0)," ")</f>
        <v>4503</v>
      </c>
      <c r="R780" s="204">
        <f>IFERROR(VLOOKUP(C780,TD!$B$33:$F$37,4,0)," ")</f>
        <v>20240255</v>
      </c>
      <c r="S780" s="205" t="s">
        <v>175</v>
      </c>
      <c r="T780" s="204" t="str">
        <f>IFERROR(VLOOKUP(S780,TD!$J$34:$K$44,2,0)," ")</f>
        <v>Servicio de atención a incidentes y emergencias.</v>
      </c>
      <c r="U780" s="206" t="str">
        <f>CONCATENATE(S780,"-",T780)</f>
        <v>04-Servicio de atención a incidentes y emergencias.</v>
      </c>
      <c r="V780" s="205" t="s">
        <v>232</v>
      </c>
      <c r="W780" s="186" t="str">
        <f>IFERROR(VLOOKUP(V780,TD!$N$34:$O$46,2,0)," ")</f>
        <v>Servicio de atención a emergencias y desastres</v>
      </c>
      <c r="X780" s="206" t="str">
        <f>CONCATENATE(V780,"_",W780)</f>
        <v>004_Servicio de atención a emergencias y desastres</v>
      </c>
      <c r="Y780" s="206" t="str">
        <f>CONCATENATE(U780," ",X780)</f>
        <v>04-Servicio de atención a incidentes y emergencias. 004_Servicio de atención a emergencias y desastres</v>
      </c>
      <c r="Z780" s="204" t="str">
        <f>CONCATENATE(P780,Q780,R780,S780,V780)</f>
        <v>O23011745032024025504004</v>
      </c>
      <c r="AA780" s="204" t="str">
        <f>IFERROR(VLOOKUP(Y780,TD!$K$47:$L$65,2,0)," ")</f>
        <v>PM/0131/0104/45030040255</v>
      </c>
      <c r="AB780" s="53" t="s">
        <v>138</v>
      </c>
      <c r="AC780" s="207" t="s">
        <v>205</v>
      </c>
    </row>
    <row r="781" spans="2:29" ht="98" x14ac:dyDescent="0.35">
      <c r="B781" s="77">
        <v>20250826</v>
      </c>
      <c r="C781" s="50" t="s">
        <v>209</v>
      </c>
      <c r="D781" s="184" t="s">
        <v>169</v>
      </c>
      <c r="E781" s="51" t="s">
        <v>465</v>
      </c>
      <c r="F781" s="184" t="s">
        <v>1007</v>
      </c>
      <c r="G781" s="184" t="s">
        <v>156</v>
      </c>
      <c r="H781" s="93">
        <v>80111600</v>
      </c>
      <c r="I781" s="185">
        <v>9</v>
      </c>
      <c r="J781" s="185">
        <v>3</v>
      </c>
      <c r="K781" s="52">
        <v>0</v>
      </c>
      <c r="L781" s="53">
        <f>9000000</f>
        <v>9000000</v>
      </c>
      <c r="M781" s="136" t="s">
        <v>464</v>
      </c>
      <c r="N781" s="53" t="s">
        <v>113</v>
      </c>
      <c r="O781" s="51" t="s">
        <v>222</v>
      </c>
      <c r="P781" s="186" t="str">
        <f>IFERROR(VLOOKUP(C781,TD!$B$33:$F$37,2,0)," ")</f>
        <v>O230117</v>
      </c>
      <c r="Q781" s="186" t="str">
        <f>IFERROR(VLOOKUP(C781,TD!$B$33:$F$37,3,0)," ")</f>
        <v>4503</v>
      </c>
      <c r="R781" s="186">
        <f>IFERROR(VLOOKUP(C781,TD!$B$33:$F$37,4,0)," ")</f>
        <v>20240255</v>
      </c>
      <c r="S781" s="51" t="s">
        <v>175</v>
      </c>
      <c r="T781" s="204" t="str">
        <f>IFERROR(VLOOKUP(S781,TD!$J$34:$K$44,2,0)," ")</f>
        <v>Servicio de atención a incidentes y emergencias.</v>
      </c>
      <c r="U781" s="187" t="str">
        <f>CONCATENATE(S781,"-",T781)</f>
        <v>04-Servicio de atención a incidentes y emergencias.</v>
      </c>
      <c r="V781" s="205" t="s">
        <v>232</v>
      </c>
      <c r="W781" s="186" t="str">
        <f>IFERROR(VLOOKUP(V781,TD!$N$34:$O$46,2,0)," ")</f>
        <v>Servicio de atención a emergencias y desastres</v>
      </c>
      <c r="X781" s="187" t="str">
        <f>CONCATENATE(V781,"_",W781)</f>
        <v>004_Servicio de atención a emergencias y desastres</v>
      </c>
      <c r="Y781" s="187" t="str">
        <f>CONCATENATE(U781," ",X781)</f>
        <v>04-Servicio de atención a incidentes y emergencias. 004_Servicio de atención a emergencias y desastres</v>
      </c>
      <c r="Z781" s="186" t="str">
        <f>CONCATENATE(P781,Q781,R781,S781,V781)</f>
        <v>O23011745032024025504004</v>
      </c>
      <c r="AA781" s="186" t="str">
        <f>IFERROR(VLOOKUP(Y781,TD!$K$47:$L$65,2,0)," ")</f>
        <v>PM/0131/0104/45030040255</v>
      </c>
      <c r="AB781" s="53" t="s">
        <v>138</v>
      </c>
      <c r="AC781" s="188" t="s">
        <v>205</v>
      </c>
    </row>
    <row r="782" spans="2:29" ht="42" x14ac:dyDescent="0.35">
      <c r="B782" s="132">
        <v>20250827</v>
      </c>
      <c r="C782" s="50" t="s">
        <v>209</v>
      </c>
      <c r="D782" s="184" t="s">
        <v>169</v>
      </c>
      <c r="E782" s="51" t="s">
        <v>465</v>
      </c>
      <c r="F782" s="202" t="s">
        <v>1008</v>
      </c>
      <c r="G782" s="202" t="s">
        <v>156</v>
      </c>
      <c r="H782" s="134">
        <v>80111600</v>
      </c>
      <c r="I782" s="203">
        <v>9</v>
      </c>
      <c r="J782" s="203">
        <v>3</v>
      </c>
      <c r="K782" s="135">
        <v>0</v>
      </c>
      <c r="L782" s="131">
        <f>8700000</f>
        <v>8700000</v>
      </c>
      <c r="M782" s="136" t="s">
        <v>464</v>
      </c>
      <c r="N782" s="131" t="s">
        <v>113</v>
      </c>
      <c r="O782" s="51" t="s">
        <v>222</v>
      </c>
      <c r="P782" s="204" t="str">
        <f>IFERROR(VLOOKUP(C782,TD!$B$33:$F$37,2,0)," ")</f>
        <v>O230117</v>
      </c>
      <c r="Q782" s="204" t="str">
        <f>IFERROR(VLOOKUP(C782,TD!$B$33:$F$37,3,0)," ")</f>
        <v>4503</v>
      </c>
      <c r="R782" s="204">
        <f>IFERROR(VLOOKUP(C782,TD!$B$33:$F$37,4,0)," ")</f>
        <v>20240255</v>
      </c>
      <c r="S782" s="51" t="s">
        <v>175</v>
      </c>
      <c r="T782" s="204" t="str">
        <f>IFERROR(VLOOKUP(S782,TD!$J$34:$K$44,2,0)," ")</f>
        <v>Servicio de atención a incidentes y emergencias.</v>
      </c>
      <c r="U782" s="206" t="str">
        <f>CONCATENATE(S782,"-",T782)</f>
        <v>04-Servicio de atención a incidentes y emergencias.</v>
      </c>
      <c r="V782" s="205" t="s">
        <v>232</v>
      </c>
      <c r="W782" s="186" t="str">
        <f>IFERROR(VLOOKUP(V782,TD!$N$34:$O$46,2,0)," ")</f>
        <v>Servicio de atención a emergencias y desastres</v>
      </c>
      <c r="X782" s="206" t="str">
        <f>CONCATENATE(V782,"_",W782)</f>
        <v>004_Servicio de atención a emergencias y desastres</v>
      </c>
      <c r="Y782" s="206" t="str">
        <f>CONCATENATE(U782," ",X782)</f>
        <v>04-Servicio de atención a incidentes y emergencias. 004_Servicio de atención a emergencias y desastres</v>
      </c>
      <c r="Z782" s="204" t="str">
        <f>CONCATENATE(P782,Q782,R782,S782,V782)</f>
        <v>O23011745032024025504004</v>
      </c>
      <c r="AA782" s="204" t="str">
        <f>IFERROR(VLOOKUP(Y782,TD!$K$47:$L$65,2,0)," ")</f>
        <v>PM/0131/0104/45030040255</v>
      </c>
      <c r="AB782" s="131" t="s">
        <v>138</v>
      </c>
      <c r="AC782" s="207" t="s">
        <v>205</v>
      </c>
    </row>
    <row r="783" spans="2:29" ht="42" x14ac:dyDescent="0.35">
      <c r="B783" s="137">
        <v>20250828</v>
      </c>
      <c r="C783" s="129" t="s">
        <v>209</v>
      </c>
      <c r="D783" s="189" t="s">
        <v>169</v>
      </c>
      <c r="E783" s="190" t="s">
        <v>465</v>
      </c>
      <c r="F783" s="208" t="s">
        <v>1083</v>
      </c>
      <c r="G783" s="208" t="s">
        <v>156</v>
      </c>
      <c r="H783" s="139">
        <v>80111600</v>
      </c>
      <c r="I783" s="210">
        <v>9</v>
      </c>
      <c r="J783" s="210">
        <v>3</v>
      </c>
      <c r="K783" s="140">
        <v>0</v>
      </c>
      <c r="L783" s="141">
        <f>8700000</f>
        <v>8700000</v>
      </c>
      <c r="M783" s="159" t="s">
        <v>464</v>
      </c>
      <c r="N783" s="141" t="s">
        <v>113</v>
      </c>
      <c r="O783" s="190" t="s">
        <v>222</v>
      </c>
      <c r="P783" s="211" t="str">
        <f>IFERROR(VLOOKUP(C783,TD!$B$33:$F$37,2,0)," ")</f>
        <v>O230117</v>
      </c>
      <c r="Q783" s="211" t="str">
        <f>IFERROR(VLOOKUP(C783,TD!$B$33:$F$37,3,0)," ")</f>
        <v>4503</v>
      </c>
      <c r="R783" s="211">
        <f>IFERROR(VLOOKUP(C783,TD!$B$33:$F$37,4,0)," ")</f>
        <v>20240255</v>
      </c>
      <c r="S783" s="190" t="s">
        <v>175</v>
      </c>
      <c r="T783" s="211" t="str">
        <f>IFERROR(VLOOKUP(S783,TD!$J$34:$K$44,2,0)," ")</f>
        <v>Servicio de atención a incidentes y emergencias.</v>
      </c>
      <c r="U783" s="206" t="str">
        <f>CONCATENATE(S783,"-",T783)</f>
        <v>04-Servicio de atención a incidentes y emergencias.</v>
      </c>
      <c r="V783" s="209" t="s">
        <v>232</v>
      </c>
      <c r="W783" s="192" t="str">
        <f>IFERROR(VLOOKUP(V783,TD!$N$34:$O$46,2,0)," ")</f>
        <v>Servicio de atención a emergencias y desastres</v>
      </c>
      <c r="X783" s="206" t="str">
        <f>CONCATENATE(V783,"_",W783)</f>
        <v>004_Servicio de atención a emergencias y desastres</v>
      </c>
      <c r="Y783" s="206" t="str">
        <f>CONCATENATE(U783," ",X783)</f>
        <v>04-Servicio de atención a incidentes y emergencias. 004_Servicio de atención a emergencias y desastres</v>
      </c>
      <c r="Z783" s="211" t="str">
        <f>CONCATENATE(P783,Q783,R783,S783,V783)</f>
        <v>O23011745032024025504004</v>
      </c>
      <c r="AA783" s="211" t="str">
        <f>IFERROR(VLOOKUP(Y783,TD!$K$47:$L$65,2,0)," ")</f>
        <v>PM/0131/0104/45030040255</v>
      </c>
      <c r="AB783" s="141" t="s">
        <v>138</v>
      </c>
      <c r="AC783" s="212" t="s">
        <v>205</v>
      </c>
    </row>
    <row r="784" spans="2:29" ht="84" x14ac:dyDescent="0.35">
      <c r="B784" s="132">
        <v>20250829</v>
      </c>
      <c r="C784" s="50" t="s">
        <v>209</v>
      </c>
      <c r="D784" s="184" t="s">
        <v>169</v>
      </c>
      <c r="E784" s="51" t="s">
        <v>465</v>
      </c>
      <c r="F784" s="202" t="s">
        <v>1009</v>
      </c>
      <c r="G784" s="202" t="s">
        <v>155</v>
      </c>
      <c r="H784" s="134">
        <v>80111600</v>
      </c>
      <c r="I784" s="203">
        <v>8</v>
      </c>
      <c r="J784" s="203">
        <v>5</v>
      </c>
      <c r="K784" s="135">
        <v>0</v>
      </c>
      <c r="L784" s="131">
        <f>42500000</f>
        <v>42500000</v>
      </c>
      <c r="M784" s="136" t="s">
        <v>464</v>
      </c>
      <c r="N784" s="131" t="s">
        <v>113</v>
      </c>
      <c r="O784" s="51" t="s">
        <v>222</v>
      </c>
      <c r="P784" s="204" t="str">
        <f>IFERROR(VLOOKUP(C784,TD!$B$33:$F$37,2,0)," ")</f>
        <v>O230117</v>
      </c>
      <c r="Q784" s="204" t="str">
        <f>IFERROR(VLOOKUP(C784,TD!$B$33:$F$37,3,0)," ")</f>
        <v>4503</v>
      </c>
      <c r="R784" s="204">
        <f>IFERROR(VLOOKUP(C784,TD!$B$33:$F$37,4,0)," ")</f>
        <v>20240255</v>
      </c>
      <c r="S784" s="51" t="s">
        <v>175</v>
      </c>
      <c r="T784" s="204" t="str">
        <f>IFERROR(VLOOKUP(S784,TD!$J$34:$K$44,2,0)," ")</f>
        <v>Servicio de atención a incidentes y emergencias.</v>
      </c>
      <c r="U784" s="206" t="str">
        <f>CONCATENATE(S784,"-",T784)</f>
        <v>04-Servicio de atención a incidentes y emergencias.</v>
      </c>
      <c r="V784" s="205" t="s">
        <v>232</v>
      </c>
      <c r="W784" s="186" t="str">
        <f>IFERROR(VLOOKUP(V784,TD!$N$34:$O$46,2,0)," ")</f>
        <v>Servicio de atención a emergencias y desastres</v>
      </c>
      <c r="X784" s="206" t="str">
        <f>CONCATENATE(V784,"_",W784)</f>
        <v>004_Servicio de atención a emergencias y desastres</v>
      </c>
      <c r="Y784" s="206" t="str">
        <f>CONCATENATE(U784," ",X784)</f>
        <v>04-Servicio de atención a incidentes y emergencias. 004_Servicio de atención a emergencias y desastres</v>
      </c>
      <c r="Z784" s="204" t="str">
        <f>CONCATENATE(P784,Q784,R784,S784,V784)</f>
        <v>O23011745032024025504004</v>
      </c>
      <c r="AA784" s="204" t="str">
        <f>IFERROR(VLOOKUP(Y784,TD!$K$47:$L$65,2,0)," ")</f>
        <v>PM/0131/0104/45030040255</v>
      </c>
      <c r="AB784" s="131" t="s">
        <v>120</v>
      </c>
      <c r="AC784" s="207" t="s">
        <v>204</v>
      </c>
    </row>
    <row r="785" spans="2:29" ht="56" x14ac:dyDescent="0.35">
      <c r="B785" s="132">
        <v>20250830</v>
      </c>
      <c r="C785" s="50" t="s">
        <v>346</v>
      </c>
      <c r="D785" s="184" t="s">
        <v>165</v>
      </c>
      <c r="E785" s="51" t="s">
        <v>484</v>
      </c>
      <c r="F785" s="202" t="s">
        <v>1011</v>
      </c>
      <c r="G785" s="202" t="s">
        <v>137</v>
      </c>
      <c r="H785" s="134" t="s">
        <v>406</v>
      </c>
      <c r="I785" s="203">
        <v>8</v>
      </c>
      <c r="J785" s="203">
        <v>1</v>
      </c>
      <c r="K785" s="135">
        <v>0</v>
      </c>
      <c r="L785" s="131">
        <v>74022000</v>
      </c>
      <c r="M785" s="136" t="s">
        <v>172</v>
      </c>
      <c r="N785" s="131" t="s">
        <v>128</v>
      </c>
      <c r="O785" s="51" t="s">
        <v>347</v>
      </c>
      <c r="P785" s="204" t="str">
        <f>IFERROR(VLOOKUP(C785,TD!$B$33:$F$37,2,0)," ")</f>
        <v>NA</v>
      </c>
      <c r="Q785" s="204" t="str">
        <f>IFERROR(VLOOKUP(C785,TD!$B$33:$F$37,3,0)," ")</f>
        <v>NA</v>
      </c>
      <c r="R785" s="204" t="str">
        <f>IFERROR(VLOOKUP(C785,TD!$B$33:$F$37,4,0)," ")</f>
        <v>NA</v>
      </c>
      <c r="S785" s="51" t="s">
        <v>406</v>
      </c>
      <c r="T785" s="204" t="str">
        <f>IFERROR(VLOOKUP(S785,TD!$J$34:$K$44,2,0)," ")</f>
        <v>N/A</v>
      </c>
      <c r="U785" s="206" t="str">
        <f>CONCATENATE(S785,"-",T785)</f>
        <v>N/A-N/A</v>
      </c>
      <c r="V785" s="205" t="s">
        <v>406</v>
      </c>
      <c r="W785" s="186" t="str">
        <f>IFERROR(VLOOKUP(V785,TD!$N$34:$O$46,2,0)," ")</f>
        <v>N/A</v>
      </c>
      <c r="X785" s="206" t="str">
        <f>CONCATENATE(V785,"_",W785)</f>
        <v>N/A_N/A</v>
      </c>
      <c r="Y785" s="206" t="str">
        <f>CONCATENATE(U785," ",X785)</f>
        <v>N/A-N/A N/A_N/A</v>
      </c>
      <c r="Z785" s="204" t="str">
        <f>CONCATENATE(P785,Q785,R785,S785,V785)</f>
        <v>NANANAN/AN/A</v>
      </c>
      <c r="AA785" s="204" t="str">
        <f>IFERROR(VLOOKUP(Y785,TD!$K$47:$L$65,2,0)," ")</f>
        <v>N/A</v>
      </c>
      <c r="AB785" s="131" t="s">
        <v>348</v>
      </c>
      <c r="AC785" s="207" t="s">
        <v>204</v>
      </c>
    </row>
    <row r="786" spans="2:29" ht="42" x14ac:dyDescent="0.35">
      <c r="B786" s="132">
        <v>20250831</v>
      </c>
      <c r="C786" s="50" t="s">
        <v>209</v>
      </c>
      <c r="D786" s="184" t="s">
        <v>165</v>
      </c>
      <c r="E786" s="51" t="s">
        <v>484</v>
      </c>
      <c r="F786" s="202" t="s">
        <v>1137</v>
      </c>
      <c r="G786" s="202" t="s">
        <v>137</v>
      </c>
      <c r="H786" s="134" t="s">
        <v>406</v>
      </c>
      <c r="I786" s="203" t="s">
        <v>406</v>
      </c>
      <c r="J786" s="203" t="s">
        <v>406</v>
      </c>
      <c r="K786" s="135" t="s">
        <v>406</v>
      </c>
      <c r="L786" s="131">
        <v>2100000</v>
      </c>
      <c r="M786" s="136" t="s">
        <v>173</v>
      </c>
      <c r="N786" s="131" t="s">
        <v>128</v>
      </c>
      <c r="O786" s="51" t="s">
        <v>229</v>
      </c>
      <c r="P786" s="204" t="str">
        <f>IFERROR(VLOOKUP(C786,TD!$B$33:$F$37,2,0)," ")</f>
        <v>O230117</v>
      </c>
      <c r="Q786" s="204" t="str">
        <f>IFERROR(VLOOKUP(C786,TD!$B$33:$F$37,3,0)," ")</f>
        <v>4503</v>
      </c>
      <c r="R786" s="204">
        <f>IFERROR(VLOOKUP(C786,TD!$B$33:$F$37,4,0)," ")</f>
        <v>20240255</v>
      </c>
      <c r="S786" s="51" t="s">
        <v>183</v>
      </c>
      <c r="T786" s="204" t="str">
        <f>IFERROR(VLOOKUP(S786,TD!$J$34:$K$44,2,0)," ")</f>
        <v>Servicio de formación en gestión del riesgo de incendios para el personal UAECOB</v>
      </c>
      <c r="U786" s="206" t="str">
        <f>CONCATENATE(S786,"-",T786)</f>
        <v>07-Servicio de formación en gestión del riesgo de incendios para el personal UAECOB</v>
      </c>
      <c r="V786" s="205" t="s">
        <v>233</v>
      </c>
      <c r="W786" s="186" t="str">
        <f>IFERROR(VLOOKUP(V786,TD!$N$34:$O$46,2,0)," ")</f>
        <v>Servicio de educación informal</v>
      </c>
      <c r="X786" s="206" t="str">
        <f>CONCATENATE(V786,"_",W786)</f>
        <v>002_Servicio de educación informal</v>
      </c>
      <c r="Y786" s="206" t="str">
        <f>CONCATENATE(U786," ",X786)</f>
        <v>07-Servicio de formación en gestión del riesgo de incendios para el personal UAECOB 002_Servicio de educación informal</v>
      </c>
      <c r="Z786" s="204" t="str">
        <f>CONCATENATE(P786,Q786,R786,S786,V786)</f>
        <v>O23011745032024025507002</v>
      </c>
      <c r="AA786" s="204" t="str">
        <f>IFERROR(VLOOKUP(Y786,TD!$K$47:$L$65,2,0)," ")</f>
        <v>PM/0131/0107/45030020255</v>
      </c>
      <c r="AB786" s="131" t="s">
        <v>138</v>
      </c>
      <c r="AC786" s="207" t="s">
        <v>205</v>
      </c>
    </row>
    <row r="787" spans="2:29" ht="70" x14ac:dyDescent="0.35">
      <c r="B787" s="132">
        <v>20250832</v>
      </c>
      <c r="C787" s="50" t="s">
        <v>208</v>
      </c>
      <c r="D787" s="184" t="s">
        <v>166</v>
      </c>
      <c r="E787" s="51" t="s">
        <v>558</v>
      </c>
      <c r="F787" s="202" t="s">
        <v>1013</v>
      </c>
      <c r="G787" s="202" t="s">
        <v>96</v>
      </c>
      <c r="H787" s="134" t="s">
        <v>560</v>
      </c>
      <c r="I787" s="203">
        <v>8</v>
      </c>
      <c r="J787" s="203">
        <v>1</v>
      </c>
      <c r="K787" s="135">
        <v>0</v>
      </c>
      <c r="L787" s="131">
        <v>39178422</v>
      </c>
      <c r="M787" s="136" t="s">
        <v>464</v>
      </c>
      <c r="N787" s="131" t="s">
        <v>123</v>
      </c>
      <c r="O787" s="51" t="s">
        <v>218</v>
      </c>
      <c r="P787" s="204" t="str">
        <f>IFERROR(VLOOKUP(C787,TD!$B$33:$F$37,2,0)," ")</f>
        <v>O230117</v>
      </c>
      <c r="Q787" s="204" t="str">
        <f>IFERROR(VLOOKUP(C787,TD!$B$33:$F$37,3,0)," ")</f>
        <v>4599</v>
      </c>
      <c r="R787" s="204">
        <f>IFERROR(VLOOKUP(C787,TD!$B$33:$F$37,4,0)," ")</f>
        <v>20240207</v>
      </c>
      <c r="S787" s="51" t="s">
        <v>185</v>
      </c>
      <c r="T787" s="204" t="str">
        <f>IFERROR(VLOOKUP(S787,TD!$J$34:$K$44,2,0)," ")</f>
        <v>Infraestructura física, mantenimiento y dotación (Sedes construidas, mantenidas reforzadas)</v>
      </c>
      <c r="U787" s="206" t="str">
        <f>CONCATENATE(S787,"-",T787)</f>
        <v>08-Infraestructura física, mantenimiento y dotación (Sedes construidas, mantenidas reforzadas)</v>
      </c>
      <c r="V787" s="205" t="s">
        <v>238</v>
      </c>
      <c r="W787" s="186" t="str">
        <f>IFERROR(VLOOKUP(V787,TD!$N$34:$O$46,2,0)," ")</f>
        <v>Sedes mantenidas</v>
      </c>
      <c r="X787" s="206" t="str">
        <f>CONCATENATE(V787,"_",W787)</f>
        <v>016_Sedes mantenidas</v>
      </c>
      <c r="Y787" s="206" t="str">
        <f>CONCATENATE(U787," ",X787)</f>
        <v>08-Infraestructura física, mantenimiento y dotación (Sedes construidas, mantenidas reforzadas) 016_Sedes mantenidas</v>
      </c>
      <c r="Z787" s="204" t="str">
        <f>CONCATENATE(P787,Q787,R787,S787,V787)</f>
        <v>O23011745992024020708016</v>
      </c>
      <c r="AA787" s="204" t="str">
        <f>IFERROR(VLOOKUP(Y787,TD!$K$47:$L$65,2,0)," ")</f>
        <v>PM/0131/0108/45990160207</v>
      </c>
      <c r="AB787" s="131" t="s">
        <v>143</v>
      </c>
      <c r="AC787" s="207" t="s">
        <v>204</v>
      </c>
    </row>
    <row r="788" spans="2:29" ht="42" x14ac:dyDescent="0.35">
      <c r="B788" s="132">
        <v>20250833</v>
      </c>
      <c r="C788" s="50" t="s">
        <v>346</v>
      </c>
      <c r="D788" s="184" t="s">
        <v>166</v>
      </c>
      <c r="E788" s="51" t="s">
        <v>558</v>
      </c>
      <c r="F788" s="202" t="s">
        <v>1013</v>
      </c>
      <c r="G788" s="202" t="s">
        <v>96</v>
      </c>
      <c r="H788" s="134" t="s">
        <v>560</v>
      </c>
      <c r="I788" s="203">
        <v>8</v>
      </c>
      <c r="J788" s="203">
        <v>1</v>
      </c>
      <c r="K788" s="135">
        <v>0</v>
      </c>
      <c r="L788" s="131">
        <v>39178422</v>
      </c>
      <c r="M788" s="136" t="s">
        <v>172</v>
      </c>
      <c r="N788" s="131" t="s">
        <v>123</v>
      </c>
      <c r="O788" s="51" t="s">
        <v>347</v>
      </c>
      <c r="P788" s="204" t="str">
        <f>IFERROR(VLOOKUP(C788,TD!$B$33:$F$37,2,0)," ")</f>
        <v>NA</v>
      </c>
      <c r="Q788" s="204" t="str">
        <f>IFERROR(VLOOKUP(C788,TD!$B$33:$F$37,3,0)," ")</f>
        <v>NA</v>
      </c>
      <c r="R788" s="204" t="str">
        <f>IFERROR(VLOOKUP(C788,TD!$B$33:$F$37,4,0)," ")</f>
        <v>NA</v>
      </c>
      <c r="S788" s="51" t="s">
        <v>406</v>
      </c>
      <c r="T788" s="204" t="str">
        <f>IFERROR(VLOOKUP(S788,TD!$J$34:$K$44,2,0)," ")</f>
        <v>N/A</v>
      </c>
      <c r="U788" s="206" t="str">
        <f>CONCATENATE(S788,"-",T788)</f>
        <v>N/A-N/A</v>
      </c>
      <c r="V788" s="205" t="s">
        <v>406</v>
      </c>
      <c r="W788" s="186" t="str">
        <f>IFERROR(VLOOKUP(V788,TD!$J$34:$K$44,2,0)," ")</f>
        <v>N/A</v>
      </c>
      <c r="X788" s="206" t="str">
        <f>CONCATENATE(V788,"_",W788)</f>
        <v>N/A_N/A</v>
      </c>
      <c r="Y788" s="206" t="str">
        <f>CONCATENATE(U788," ",X788)</f>
        <v>N/A-N/A N/A_N/A</v>
      </c>
      <c r="Z788" s="204" t="str">
        <f>CONCATENATE(P788,Q788,R788,S788,V788)</f>
        <v>NANANAN/AN/A</v>
      </c>
      <c r="AA788" s="204" t="str">
        <f>IFERROR(VLOOKUP(Y788,TD!$K$47:$L$65,2,0)," ")</f>
        <v>N/A</v>
      </c>
      <c r="AB788" s="131" t="s">
        <v>348</v>
      </c>
      <c r="AC788" s="207" t="s">
        <v>204</v>
      </c>
    </row>
    <row r="789" spans="2:29" ht="56" x14ac:dyDescent="0.35">
      <c r="B789" s="132">
        <v>20250834</v>
      </c>
      <c r="C789" s="50" t="s">
        <v>346</v>
      </c>
      <c r="D789" s="184" t="s">
        <v>166</v>
      </c>
      <c r="E789" s="51" t="s">
        <v>558</v>
      </c>
      <c r="F789" s="202" t="s">
        <v>1013</v>
      </c>
      <c r="G789" s="202" t="s">
        <v>96</v>
      </c>
      <c r="H789" s="134" t="s">
        <v>560</v>
      </c>
      <c r="I789" s="203">
        <v>8</v>
      </c>
      <c r="J789" s="203">
        <v>1</v>
      </c>
      <c r="K789" s="135">
        <v>0</v>
      </c>
      <c r="L789" s="131">
        <v>24625216</v>
      </c>
      <c r="M789" s="136" t="s">
        <v>172</v>
      </c>
      <c r="N789" s="131" t="s">
        <v>123</v>
      </c>
      <c r="O789" s="51" t="s">
        <v>347</v>
      </c>
      <c r="P789" s="204" t="str">
        <f>IFERROR(VLOOKUP(C789,TD!$B$33:$F$37,2,0)," ")</f>
        <v>NA</v>
      </c>
      <c r="Q789" s="204" t="str">
        <f>IFERROR(VLOOKUP(C789,TD!$B$33:$F$37,3,0)," ")</f>
        <v>NA</v>
      </c>
      <c r="R789" s="204" t="str">
        <f>IFERROR(VLOOKUP(C789,TD!$B$33:$F$37,4,0)," ")</f>
        <v>NA</v>
      </c>
      <c r="S789" s="51" t="s">
        <v>406</v>
      </c>
      <c r="T789" s="204" t="str">
        <f>IFERROR(VLOOKUP(S789,TD!$J$34:$K$44,2,0)," ")</f>
        <v>N/A</v>
      </c>
      <c r="U789" s="206" t="str">
        <f>CONCATENATE(S789,"-",T789)</f>
        <v>N/A-N/A</v>
      </c>
      <c r="V789" s="205" t="s">
        <v>406</v>
      </c>
      <c r="W789" s="186" t="str">
        <f>IFERROR(VLOOKUP(V789,TD!$N$34:$O$46,2,0)," ")</f>
        <v>N/A</v>
      </c>
      <c r="X789" s="206" t="str">
        <f>CONCATENATE(V789,"_",W789)</f>
        <v>N/A_N/A</v>
      </c>
      <c r="Y789" s="206" t="str">
        <f>CONCATENATE(U789," ",X789)</f>
        <v>N/A-N/A N/A_N/A</v>
      </c>
      <c r="Z789" s="204" t="str">
        <f>CONCATENATE(P789,Q789,R789,S789,V789)</f>
        <v>NANANAN/AN/A</v>
      </c>
      <c r="AA789" s="204" t="str">
        <f>IFERROR(VLOOKUP(Y789,TD!$K$47:$L$65,2,0)," ")</f>
        <v>N/A</v>
      </c>
      <c r="AB789" s="131" t="s">
        <v>348</v>
      </c>
      <c r="AC789" s="207" t="s">
        <v>204</v>
      </c>
    </row>
    <row r="790" spans="2:29" ht="56" x14ac:dyDescent="0.35">
      <c r="B790" s="132">
        <v>20250835</v>
      </c>
      <c r="C790" s="50" t="s">
        <v>209</v>
      </c>
      <c r="D790" s="184" t="s">
        <v>166</v>
      </c>
      <c r="E790" s="51" t="s">
        <v>558</v>
      </c>
      <c r="F790" s="202" t="s">
        <v>1014</v>
      </c>
      <c r="G790" s="202" t="s">
        <v>137</v>
      </c>
      <c r="H790" s="134" t="s">
        <v>406</v>
      </c>
      <c r="I790" s="203" t="s">
        <v>406</v>
      </c>
      <c r="J790" s="203" t="s">
        <v>406</v>
      </c>
      <c r="K790" s="135" t="s">
        <v>406</v>
      </c>
      <c r="L790" s="131">
        <v>12461974</v>
      </c>
      <c r="M790" s="136" t="s">
        <v>173</v>
      </c>
      <c r="N790" s="131" t="s">
        <v>128</v>
      </c>
      <c r="O790" s="51" t="s">
        <v>227</v>
      </c>
      <c r="P790" s="204" t="str">
        <f>IFERROR(VLOOKUP(C790,TD!$B$33:$F$37,2,0)," ")</f>
        <v>O230117</v>
      </c>
      <c r="Q790" s="204" t="str">
        <f>IFERROR(VLOOKUP(C790,TD!$B$33:$F$37,3,0)," ")</f>
        <v>4503</v>
      </c>
      <c r="R790" s="204">
        <f>IFERROR(VLOOKUP(C790,TD!$B$33:$F$37,4,0)," ")</f>
        <v>20240255</v>
      </c>
      <c r="S790" s="51" t="s">
        <v>185</v>
      </c>
      <c r="T790" s="204" t="str">
        <f>IFERROR(VLOOKUP(S790,TD!$J$34:$K$44,2,0)," ")</f>
        <v>Infraestructura física, mantenimiento y dotación (Sedes construidas, mantenidas reforzadas)</v>
      </c>
      <c r="U790" s="206" t="str">
        <f>CONCATENATE(S790,"-",T790)</f>
        <v>08-Infraestructura física, mantenimiento y dotación (Sedes construidas, mantenidas reforzadas)</v>
      </c>
      <c r="V790" s="205" t="s">
        <v>236</v>
      </c>
      <c r="W790" s="186" t="str">
        <f>IFERROR(VLOOKUP(V790,TD!$N$34:$O$46,2,0)," ")</f>
        <v>Estaciones de bomberos adecuadas</v>
      </c>
      <c r="X790" s="206" t="str">
        <f>CONCATENATE(V790,"_",W790)</f>
        <v>014_Estaciones de bomberos adecuadas</v>
      </c>
      <c r="Y790" s="206" t="str">
        <f>CONCATENATE(U790," ",X790)</f>
        <v>08-Infraestructura física, mantenimiento y dotación (Sedes construidas, mantenidas reforzadas) 014_Estaciones de bomberos adecuadas</v>
      </c>
      <c r="Z790" s="204" t="str">
        <f>CONCATENATE(P790,Q790,R790,S790,V790)</f>
        <v>O23011745032024025508014</v>
      </c>
      <c r="AA790" s="204" t="str">
        <f>IFERROR(VLOOKUP(Y790,TD!$K$47:$L$65,2,0)," ")</f>
        <v>PM/0131/0108/45030140255</v>
      </c>
      <c r="AB790" s="131" t="s">
        <v>102</v>
      </c>
      <c r="AC790" s="207" t="s">
        <v>205</v>
      </c>
    </row>
    <row r="791" spans="2:29" ht="84" x14ac:dyDescent="0.35">
      <c r="B791" s="132">
        <v>20250836</v>
      </c>
      <c r="C791" s="50" t="s">
        <v>209</v>
      </c>
      <c r="D791" s="184" t="s">
        <v>166</v>
      </c>
      <c r="E791" s="51" t="s">
        <v>558</v>
      </c>
      <c r="F791" s="202" t="s">
        <v>1015</v>
      </c>
      <c r="G791" s="202" t="s">
        <v>137</v>
      </c>
      <c r="H791" s="134" t="s">
        <v>406</v>
      </c>
      <c r="I791" s="203" t="s">
        <v>406</v>
      </c>
      <c r="J791" s="203" t="s">
        <v>406</v>
      </c>
      <c r="K791" s="135" t="s">
        <v>406</v>
      </c>
      <c r="L791" s="131">
        <v>19812726</v>
      </c>
      <c r="M791" s="136" t="s">
        <v>173</v>
      </c>
      <c r="N791" s="131" t="s">
        <v>128</v>
      </c>
      <c r="O791" s="51" t="s">
        <v>227</v>
      </c>
      <c r="P791" s="204" t="str">
        <f>IFERROR(VLOOKUP(C791,TD!$B$33:$F$37,2,0)," ")</f>
        <v>O230117</v>
      </c>
      <c r="Q791" s="204" t="str">
        <f>IFERROR(VLOOKUP(C791,TD!$B$33:$F$37,3,0)," ")</f>
        <v>4503</v>
      </c>
      <c r="R791" s="204">
        <f>IFERROR(VLOOKUP(C791,TD!$B$33:$F$37,4,0)," ")</f>
        <v>20240255</v>
      </c>
      <c r="S791" s="51" t="s">
        <v>185</v>
      </c>
      <c r="T791" s="204" t="str">
        <f>IFERROR(VLOOKUP(S791,TD!$J$34:$K$44,2,0)," ")</f>
        <v>Infraestructura física, mantenimiento y dotación (Sedes construidas, mantenidas reforzadas)</v>
      </c>
      <c r="U791" s="206" t="str">
        <f>CONCATENATE(S791,"-",T791)</f>
        <v>08-Infraestructura física, mantenimiento y dotación (Sedes construidas, mantenidas reforzadas)</v>
      </c>
      <c r="V791" s="205" t="s">
        <v>236</v>
      </c>
      <c r="W791" s="186" t="str">
        <f>IFERROR(VLOOKUP(V791,TD!$N$34:$O$46,2,0)," ")</f>
        <v>Estaciones de bomberos adecuadas</v>
      </c>
      <c r="X791" s="206" t="str">
        <f>CONCATENATE(V791,"_",W791)</f>
        <v>014_Estaciones de bomberos adecuadas</v>
      </c>
      <c r="Y791" s="206" t="str">
        <f>CONCATENATE(U791," ",X791)</f>
        <v>08-Infraestructura física, mantenimiento y dotación (Sedes construidas, mantenidas reforzadas) 014_Estaciones de bomberos adecuadas</v>
      </c>
      <c r="Z791" s="204" t="str">
        <f>CONCATENATE(P791,Q791,R791,S791,V791)</f>
        <v>O23011745032024025508014</v>
      </c>
      <c r="AA791" s="204" t="str">
        <f>IFERROR(VLOOKUP(Y791,TD!$K$47:$L$65,2,0)," ")</f>
        <v>PM/0131/0108/45030140255</v>
      </c>
      <c r="AB791" s="131" t="s">
        <v>102</v>
      </c>
      <c r="AC791" s="207" t="s">
        <v>205</v>
      </c>
    </row>
    <row r="792" spans="2:29" ht="84" x14ac:dyDescent="0.35">
      <c r="B792" s="132">
        <v>20250837</v>
      </c>
      <c r="C792" s="50" t="s">
        <v>209</v>
      </c>
      <c r="D792" s="184" t="s">
        <v>166</v>
      </c>
      <c r="E792" s="51" t="s">
        <v>558</v>
      </c>
      <c r="F792" s="202" t="s">
        <v>1016</v>
      </c>
      <c r="G792" s="202" t="s">
        <v>137</v>
      </c>
      <c r="H792" s="134" t="s">
        <v>406</v>
      </c>
      <c r="I792" s="203" t="s">
        <v>406</v>
      </c>
      <c r="J792" s="203" t="s">
        <v>406</v>
      </c>
      <c r="K792" s="135" t="s">
        <v>406</v>
      </c>
      <c r="L792" s="131">
        <v>21730672</v>
      </c>
      <c r="M792" s="142" t="s">
        <v>173</v>
      </c>
      <c r="N792" s="131" t="s">
        <v>128</v>
      </c>
      <c r="O792" s="51" t="s">
        <v>227</v>
      </c>
      <c r="P792" s="204" t="str">
        <f>IFERROR(VLOOKUP(C792,TD!$B$33:$F$37,2,0)," ")</f>
        <v>O230117</v>
      </c>
      <c r="Q792" s="204" t="str">
        <f>IFERROR(VLOOKUP(C792,TD!$B$33:$F$37,3,0)," ")</f>
        <v>4503</v>
      </c>
      <c r="R792" s="204">
        <f>IFERROR(VLOOKUP(C792,TD!$B$33:$F$37,4,0)," ")</f>
        <v>20240255</v>
      </c>
      <c r="S792" s="205" t="s">
        <v>185</v>
      </c>
      <c r="T792" s="204" t="str">
        <f>IFERROR(VLOOKUP(S792,TD!$J$34:$K$44,2,0)," ")</f>
        <v>Infraestructura física, mantenimiento y dotación (Sedes construidas, mantenidas reforzadas)</v>
      </c>
      <c r="U792" s="206" t="str">
        <f>CONCATENATE(S792,"-",T792)</f>
        <v>08-Infraestructura física, mantenimiento y dotación (Sedes construidas, mantenidas reforzadas)</v>
      </c>
      <c r="V792" s="205" t="s">
        <v>236</v>
      </c>
      <c r="W792" s="186" t="str">
        <f>IFERROR(VLOOKUP(V792,TD!$N$34:$O$46,2,0)," ")</f>
        <v>Estaciones de bomberos adecuadas</v>
      </c>
      <c r="X792" s="206" t="str">
        <f>CONCATENATE(V792,"_",W792)</f>
        <v>014_Estaciones de bomberos adecuadas</v>
      </c>
      <c r="Y792" s="206" t="str">
        <f>CONCATENATE(U792," ",X792)</f>
        <v>08-Infraestructura física, mantenimiento y dotación (Sedes construidas, mantenidas reforzadas) 014_Estaciones de bomberos adecuadas</v>
      </c>
      <c r="Z792" s="204" t="str">
        <f>CONCATENATE(P792,Q792,R792,S792,V792)</f>
        <v>O23011745032024025508014</v>
      </c>
      <c r="AA792" s="204" t="str">
        <f>IFERROR(VLOOKUP(Y792,TD!$K$47:$L$65,2,0)," ")</f>
        <v>PM/0131/0108/45030140255</v>
      </c>
      <c r="AB792" s="131" t="s">
        <v>102</v>
      </c>
      <c r="AC792" s="207" t="s">
        <v>205</v>
      </c>
    </row>
    <row r="793" spans="2:29" ht="126" x14ac:dyDescent="0.35">
      <c r="B793" s="132">
        <v>20250838</v>
      </c>
      <c r="C793" s="133" t="s">
        <v>208</v>
      </c>
      <c r="D793" s="184" t="s">
        <v>166</v>
      </c>
      <c r="E793" s="51" t="s">
        <v>558</v>
      </c>
      <c r="F793" s="202" t="s">
        <v>1017</v>
      </c>
      <c r="G793" s="202" t="s">
        <v>137</v>
      </c>
      <c r="H793" s="134" t="s">
        <v>406</v>
      </c>
      <c r="I793" s="203" t="s">
        <v>406</v>
      </c>
      <c r="J793" s="203" t="s">
        <v>406</v>
      </c>
      <c r="K793" s="135" t="s">
        <v>406</v>
      </c>
      <c r="L793" s="131">
        <v>9295000</v>
      </c>
      <c r="M793" s="142" t="s">
        <v>173</v>
      </c>
      <c r="N793" s="131" t="s">
        <v>128</v>
      </c>
      <c r="O793" s="51" t="s">
        <v>218</v>
      </c>
      <c r="P793" s="204" t="str">
        <f>IFERROR(VLOOKUP(C793,TD!$B$33:$F$37,2,0)," ")</f>
        <v>O230117</v>
      </c>
      <c r="Q793" s="204" t="str">
        <f>IFERROR(VLOOKUP(C793,TD!$B$33:$F$37,3,0)," ")</f>
        <v>4599</v>
      </c>
      <c r="R793" s="204">
        <f>IFERROR(VLOOKUP(C793,TD!$B$33:$F$37,4,0)," ")</f>
        <v>20240207</v>
      </c>
      <c r="S793" s="205" t="s">
        <v>185</v>
      </c>
      <c r="T793" s="204" t="str">
        <f>IFERROR(VLOOKUP(S793,TD!$J$34:$K$44,2,0)," ")</f>
        <v>Infraestructura física, mantenimiento y dotación (Sedes construidas, mantenidas reforzadas)</v>
      </c>
      <c r="U793" s="206" t="str">
        <f>CONCATENATE(S793,"-",T793)</f>
        <v>08-Infraestructura física, mantenimiento y dotación (Sedes construidas, mantenidas reforzadas)</v>
      </c>
      <c r="V793" s="205" t="s">
        <v>238</v>
      </c>
      <c r="W793" s="186" t="str">
        <f>IFERROR(VLOOKUP(V793,TD!$N$34:$O$46,2,0)," ")</f>
        <v>Sedes mantenidas</v>
      </c>
      <c r="X793" s="206" t="str">
        <f>CONCATENATE(V793,"_",W793)</f>
        <v>016_Sedes mantenidas</v>
      </c>
      <c r="Y793" s="206" t="str">
        <f>CONCATENATE(U793," ",X793)</f>
        <v>08-Infraestructura física, mantenimiento y dotación (Sedes construidas, mantenidas reforzadas) 016_Sedes mantenidas</v>
      </c>
      <c r="Z793" s="204" t="str">
        <f>CONCATENATE(P793,Q793,R793,S793,V793)</f>
        <v>O23011745992024020708016</v>
      </c>
      <c r="AA793" s="204" t="str">
        <f>IFERROR(VLOOKUP(Y793,TD!$K$47:$L$65,2,0)," ")</f>
        <v>PM/0131/0108/45990160207</v>
      </c>
      <c r="AB793" s="131" t="s">
        <v>147</v>
      </c>
      <c r="AC793" s="207" t="s">
        <v>205</v>
      </c>
    </row>
    <row r="794" spans="2:29" ht="56" x14ac:dyDescent="0.35">
      <c r="B794" s="77">
        <v>20250839</v>
      </c>
      <c r="C794" s="50" t="s">
        <v>208</v>
      </c>
      <c r="D794" s="184" t="s">
        <v>166</v>
      </c>
      <c r="E794" s="51" t="s">
        <v>558</v>
      </c>
      <c r="F794" s="184" t="s">
        <v>1018</v>
      </c>
      <c r="G794" s="184" t="s">
        <v>137</v>
      </c>
      <c r="H794" s="93" t="s">
        <v>406</v>
      </c>
      <c r="I794" s="185" t="s">
        <v>406</v>
      </c>
      <c r="J794" s="185" t="s">
        <v>406</v>
      </c>
      <c r="K794" s="52" t="s">
        <v>406</v>
      </c>
      <c r="L794" s="53">
        <v>735000</v>
      </c>
      <c r="M794" s="136" t="s">
        <v>173</v>
      </c>
      <c r="N794" s="53" t="s">
        <v>128</v>
      </c>
      <c r="O794" s="51" t="s">
        <v>218</v>
      </c>
      <c r="P794" s="186" t="str">
        <f>IFERROR(VLOOKUP(C794,TD!$B$33:$F$37,2,0)," ")</f>
        <v>O230117</v>
      </c>
      <c r="Q794" s="186" t="str">
        <f>IFERROR(VLOOKUP(C794,TD!$B$33:$F$37,3,0)," ")</f>
        <v>4599</v>
      </c>
      <c r="R794" s="186">
        <f>IFERROR(VLOOKUP(C794,TD!$B$33:$F$37,4,0)," ")</f>
        <v>20240207</v>
      </c>
      <c r="S794" s="51" t="s">
        <v>185</v>
      </c>
      <c r="T794" s="186" t="str">
        <f>IFERROR(VLOOKUP(S794,TD!$J$34:$K$44,2,0)," ")</f>
        <v>Infraestructura física, mantenimiento y dotación (Sedes construidas, mantenidas reforzadas)</v>
      </c>
      <c r="U794" s="187" t="str">
        <f>CONCATENATE(S794,"-",T794)</f>
        <v>08-Infraestructura física, mantenimiento y dotación (Sedes construidas, mantenidas reforzadas)</v>
      </c>
      <c r="V794" s="51" t="s">
        <v>238</v>
      </c>
      <c r="W794" s="186" t="str">
        <f>IFERROR(VLOOKUP(V794,TD!$N$34:$O$46,2,0)," ")</f>
        <v>Sedes mantenidas</v>
      </c>
      <c r="X794" s="187" t="str">
        <f>CONCATENATE(V794,"_",W794)</f>
        <v>016_Sedes mantenidas</v>
      </c>
      <c r="Y794" s="187" t="str">
        <f>CONCATENATE(U794," ",X794)</f>
        <v>08-Infraestructura física, mantenimiento y dotación (Sedes construidas, mantenidas reforzadas) 016_Sedes mantenidas</v>
      </c>
      <c r="Z794" s="186" t="str">
        <f>CONCATENATE(P794,Q794,R794,S794,V794)</f>
        <v>O23011745992024020708016</v>
      </c>
      <c r="AA794" s="186" t="str">
        <f>IFERROR(VLOOKUP(Y794,TD!$K$47:$L$65,2,0)," ")</f>
        <v>PM/0131/0108/45990160207</v>
      </c>
      <c r="AB794" s="53" t="s">
        <v>138</v>
      </c>
      <c r="AC794" s="188" t="s">
        <v>205</v>
      </c>
    </row>
    <row r="795" spans="2:29" ht="56" x14ac:dyDescent="0.35">
      <c r="B795" s="132">
        <v>20250840</v>
      </c>
      <c r="C795" s="133" t="s">
        <v>208</v>
      </c>
      <c r="D795" s="202" t="s">
        <v>166</v>
      </c>
      <c r="E795" s="205" t="s">
        <v>558</v>
      </c>
      <c r="F795" s="202" t="s">
        <v>1019</v>
      </c>
      <c r="G795" s="202" t="s">
        <v>137</v>
      </c>
      <c r="H795" s="134" t="s">
        <v>406</v>
      </c>
      <c r="I795" s="203" t="s">
        <v>406</v>
      </c>
      <c r="J795" s="203" t="s">
        <v>406</v>
      </c>
      <c r="K795" s="135" t="s">
        <v>406</v>
      </c>
      <c r="L795" s="131">
        <v>1306667</v>
      </c>
      <c r="M795" s="136" t="s">
        <v>173</v>
      </c>
      <c r="N795" s="53" t="s">
        <v>128</v>
      </c>
      <c r="O795" s="51" t="s">
        <v>218</v>
      </c>
      <c r="P795" s="204" t="str">
        <f>IFERROR(VLOOKUP(C795,TD!$B$33:$F$37,2,0)," ")</f>
        <v>O230117</v>
      </c>
      <c r="Q795" s="204" t="str">
        <f>IFERROR(VLOOKUP(C795,TD!$B$33:$F$37,3,0)," ")</f>
        <v>4599</v>
      </c>
      <c r="R795" s="204">
        <f>IFERROR(VLOOKUP(C795,TD!$B$33:$F$37,4,0)," ")</f>
        <v>20240207</v>
      </c>
      <c r="S795" s="51" t="s">
        <v>185</v>
      </c>
      <c r="T795" s="186" t="str">
        <f>IFERROR(VLOOKUP(S795,TD!$J$34:$K$44,2,0)," ")</f>
        <v>Infraestructura física, mantenimiento y dotación (Sedes construidas, mantenidas reforzadas)</v>
      </c>
      <c r="U795" s="187" t="str">
        <f>CONCATENATE(S795,"-",T795)</f>
        <v>08-Infraestructura física, mantenimiento y dotación (Sedes construidas, mantenidas reforzadas)</v>
      </c>
      <c r="V795" s="51" t="s">
        <v>238</v>
      </c>
      <c r="W795" s="186" t="str">
        <f>IFERROR(VLOOKUP(V795,TD!$N$34:$O$46,2,0)," ")</f>
        <v>Sedes mantenidas</v>
      </c>
      <c r="X795" s="206" t="str">
        <f>CONCATENATE(V795,"_",W795)</f>
        <v>016_Sedes mantenidas</v>
      </c>
      <c r="Y795" s="206" t="str">
        <f>CONCATENATE(U795," ",X795)</f>
        <v>08-Infraestructura física, mantenimiento y dotación (Sedes construidas, mantenidas reforzadas) 016_Sedes mantenidas</v>
      </c>
      <c r="Z795" s="204" t="str">
        <f>CONCATENATE(P795,Q795,R795,S795,V795)</f>
        <v>O23011745992024020708016</v>
      </c>
      <c r="AA795" s="204" t="str">
        <f>IFERROR(VLOOKUP(Y795,TD!$K$47:$L$65,2,0)," ")</f>
        <v>PM/0131/0108/45990160207</v>
      </c>
      <c r="AB795" s="53" t="s">
        <v>138</v>
      </c>
      <c r="AC795" s="207" t="s">
        <v>205</v>
      </c>
    </row>
    <row r="796" spans="2:29" ht="56" x14ac:dyDescent="0.35">
      <c r="B796" s="132">
        <v>20250841</v>
      </c>
      <c r="C796" s="133" t="s">
        <v>208</v>
      </c>
      <c r="D796" s="202" t="s">
        <v>166</v>
      </c>
      <c r="E796" s="205" t="s">
        <v>558</v>
      </c>
      <c r="F796" s="202" t="s">
        <v>1020</v>
      </c>
      <c r="G796" s="202" t="s">
        <v>137</v>
      </c>
      <c r="H796" s="134" t="s">
        <v>406</v>
      </c>
      <c r="I796" s="203" t="s">
        <v>406</v>
      </c>
      <c r="J796" s="203" t="s">
        <v>406</v>
      </c>
      <c r="K796" s="135" t="s">
        <v>406</v>
      </c>
      <c r="L796" s="131">
        <v>1460000</v>
      </c>
      <c r="M796" s="136" t="s">
        <v>173</v>
      </c>
      <c r="N796" s="53" t="s">
        <v>128</v>
      </c>
      <c r="O796" s="51" t="s">
        <v>218</v>
      </c>
      <c r="P796" s="204" t="str">
        <f>IFERROR(VLOOKUP(C796,TD!$B$33:$F$37,2,0)," ")</f>
        <v>O230117</v>
      </c>
      <c r="Q796" s="204" t="str">
        <f>IFERROR(VLOOKUP(C796,TD!$B$33:$F$37,3,0)," ")</f>
        <v>4599</v>
      </c>
      <c r="R796" s="204">
        <f>IFERROR(VLOOKUP(C796,TD!$B$33:$F$37,4,0)," ")</f>
        <v>20240207</v>
      </c>
      <c r="S796" s="51" t="s">
        <v>185</v>
      </c>
      <c r="T796" s="186" t="str">
        <f>IFERROR(VLOOKUP(S796,TD!$J$34:$K$44,2,0)," ")</f>
        <v>Infraestructura física, mantenimiento y dotación (Sedes construidas, mantenidas reforzadas)</v>
      </c>
      <c r="U796" s="187" t="str">
        <f>CONCATENATE(S796,"-",T796)</f>
        <v>08-Infraestructura física, mantenimiento y dotación (Sedes construidas, mantenidas reforzadas)</v>
      </c>
      <c r="V796" s="51" t="s">
        <v>238</v>
      </c>
      <c r="W796" s="186" t="str">
        <f>IFERROR(VLOOKUP(V796,TD!$N$34:$O$46,2,0)," ")</f>
        <v>Sedes mantenidas</v>
      </c>
      <c r="X796" s="206" t="str">
        <f>CONCATENATE(V796,"_",W796)</f>
        <v>016_Sedes mantenidas</v>
      </c>
      <c r="Y796" s="206" t="str">
        <f>CONCATENATE(U796," ",X796)</f>
        <v>08-Infraestructura física, mantenimiento y dotación (Sedes construidas, mantenidas reforzadas) 016_Sedes mantenidas</v>
      </c>
      <c r="Z796" s="204" t="str">
        <f>CONCATENATE(P796,Q796,R796,S796,V796)</f>
        <v>O23011745992024020708016</v>
      </c>
      <c r="AA796" s="204" t="str">
        <f>IFERROR(VLOOKUP(Y796,TD!$K$47:$L$65,2,0)," ")</f>
        <v>PM/0131/0108/45990160207</v>
      </c>
      <c r="AB796" s="53" t="s">
        <v>138</v>
      </c>
      <c r="AC796" s="207" t="s">
        <v>205</v>
      </c>
    </row>
    <row r="797" spans="2:29" ht="56" x14ac:dyDescent="0.35">
      <c r="B797" s="132">
        <v>20250842</v>
      </c>
      <c r="C797" s="133" t="s">
        <v>208</v>
      </c>
      <c r="D797" s="202" t="s">
        <v>166</v>
      </c>
      <c r="E797" s="205" t="s">
        <v>558</v>
      </c>
      <c r="F797" s="202" t="s">
        <v>1021</v>
      </c>
      <c r="G797" s="202" t="s">
        <v>137</v>
      </c>
      <c r="H797" s="134" t="s">
        <v>406</v>
      </c>
      <c r="I797" s="203" t="s">
        <v>406</v>
      </c>
      <c r="J797" s="203" t="s">
        <v>406</v>
      </c>
      <c r="K797" s="135" t="s">
        <v>406</v>
      </c>
      <c r="L797" s="131">
        <v>2041667</v>
      </c>
      <c r="M797" s="136" t="s">
        <v>173</v>
      </c>
      <c r="N797" s="53" t="s">
        <v>128</v>
      </c>
      <c r="O797" s="51" t="s">
        <v>218</v>
      </c>
      <c r="P797" s="204" t="str">
        <f>IFERROR(VLOOKUP(C797,TD!$B$33:$F$37,2,0)," ")</f>
        <v>O230117</v>
      </c>
      <c r="Q797" s="204" t="str">
        <f>IFERROR(VLOOKUP(C797,TD!$B$33:$F$37,3,0)," ")</f>
        <v>4599</v>
      </c>
      <c r="R797" s="204">
        <f>IFERROR(VLOOKUP(C797,TD!$B$33:$F$37,4,0)," ")</f>
        <v>20240207</v>
      </c>
      <c r="S797" s="51" t="s">
        <v>185</v>
      </c>
      <c r="T797" s="186" t="str">
        <f>IFERROR(VLOOKUP(S797,TD!$J$34:$K$44,2,0)," ")</f>
        <v>Infraestructura física, mantenimiento y dotación (Sedes construidas, mantenidas reforzadas)</v>
      </c>
      <c r="U797" s="187" t="str">
        <f>CONCATENATE(S797,"-",T797)</f>
        <v>08-Infraestructura física, mantenimiento y dotación (Sedes construidas, mantenidas reforzadas)</v>
      </c>
      <c r="V797" s="51" t="s">
        <v>238</v>
      </c>
      <c r="W797" s="186" t="str">
        <f>IFERROR(VLOOKUP(V797,TD!$N$34:$O$46,2,0)," ")</f>
        <v>Sedes mantenidas</v>
      </c>
      <c r="X797" s="206" t="str">
        <f>CONCATENATE(V797,"_",W797)</f>
        <v>016_Sedes mantenidas</v>
      </c>
      <c r="Y797" s="206" t="str">
        <f>CONCATENATE(U797," ",X797)</f>
        <v>08-Infraestructura física, mantenimiento y dotación (Sedes construidas, mantenidas reforzadas) 016_Sedes mantenidas</v>
      </c>
      <c r="Z797" s="204" t="str">
        <f>CONCATENATE(P797,Q797,R797,S797,V797)</f>
        <v>O23011745992024020708016</v>
      </c>
      <c r="AA797" s="204" t="str">
        <f>IFERROR(VLOOKUP(Y797,TD!$K$47:$L$65,2,0)," ")</f>
        <v>PM/0131/0108/45990160207</v>
      </c>
      <c r="AB797" s="53" t="s">
        <v>138</v>
      </c>
      <c r="AC797" s="207" t="s">
        <v>205</v>
      </c>
    </row>
    <row r="798" spans="2:29" ht="56" x14ac:dyDescent="0.35">
      <c r="B798" s="132">
        <v>20250843</v>
      </c>
      <c r="C798" s="133" t="s">
        <v>208</v>
      </c>
      <c r="D798" s="202" t="s">
        <v>166</v>
      </c>
      <c r="E798" s="205" t="s">
        <v>558</v>
      </c>
      <c r="F798" s="202" t="s">
        <v>1022</v>
      </c>
      <c r="G798" s="202" t="s">
        <v>137</v>
      </c>
      <c r="H798" s="134" t="s">
        <v>406</v>
      </c>
      <c r="I798" s="203" t="s">
        <v>406</v>
      </c>
      <c r="J798" s="203" t="s">
        <v>406</v>
      </c>
      <c r="K798" s="135" t="s">
        <v>406</v>
      </c>
      <c r="L798" s="131">
        <v>4583333</v>
      </c>
      <c r="M798" s="136" t="s">
        <v>173</v>
      </c>
      <c r="N798" s="131" t="s">
        <v>128</v>
      </c>
      <c r="O798" s="51" t="s">
        <v>219</v>
      </c>
      <c r="P798" s="204" t="str">
        <f>IFERROR(VLOOKUP(C798,TD!$B$33:$F$37,2,0)," ")</f>
        <v>O230117</v>
      </c>
      <c r="Q798" s="204" t="str">
        <f>IFERROR(VLOOKUP(C798,TD!$B$33:$F$37,3,0)," ")</f>
        <v>4599</v>
      </c>
      <c r="R798" s="204">
        <f>IFERROR(VLOOKUP(C798,TD!$B$33:$F$37,4,0)," ")</f>
        <v>20240207</v>
      </c>
      <c r="S798" s="51" t="s">
        <v>185</v>
      </c>
      <c r="T798" s="186" t="str">
        <f>IFERROR(VLOOKUP(S798,TD!$J$34:$K$44,2,0)," ")</f>
        <v>Infraestructura física, mantenimiento y dotación (Sedes construidas, mantenidas reforzadas)</v>
      </c>
      <c r="U798" s="187" t="str">
        <f>CONCATENATE(S798,"-",T798)</f>
        <v>08-Infraestructura física, mantenimiento y dotación (Sedes construidas, mantenidas reforzadas)</v>
      </c>
      <c r="V798" s="51" t="s">
        <v>238</v>
      </c>
      <c r="W798" s="186" t="str">
        <f>IFERROR(VLOOKUP(V798,TD!$N$34:$O$46,2,0)," ")</f>
        <v>Sedes mantenidas</v>
      </c>
      <c r="X798" s="206" t="str">
        <f>CONCATENATE(V798,"_",W798)</f>
        <v>016_Sedes mantenidas</v>
      </c>
      <c r="Y798" s="206" t="str">
        <f>CONCATENATE(U798," ",X798)</f>
        <v>08-Infraestructura física, mantenimiento y dotación (Sedes construidas, mantenidas reforzadas) 016_Sedes mantenidas</v>
      </c>
      <c r="Z798" s="204" t="str">
        <f>CONCATENATE(P798,Q798,R798,S798,V798)</f>
        <v>O23011745992024020708016</v>
      </c>
      <c r="AA798" s="204" t="str">
        <f>IFERROR(VLOOKUP(Y798,TD!$K$47:$L$65,2,0)," ")</f>
        <v>PM/0131/0108/45990160207</v>
      </c>
      <c r="AB798" s="53" t="s">
        <v>138</v>
      </c>
      <c r="AC798" s="207" t="s">
        <v>205</v>
      </c>
    </row>
    <row r="799" spans="2:29" ht="56" x14ac:dyDescent="0.35">
      <c r="B799" s="132">
        <v>20250845</v>
      </c>
      <c r="C799" s="133" t="s">
        <v>208</v>
      </c>
      <c r="D799" s="202" t="s">
        <v>36</v>
      </c>
      <c r="E799" s="205" t="s">
        <v>378</v>
      </c>
      <c r="F799" s="202" t="s">
        <v>1023</v>
      </c>
      <c r="G799" s="202" t="s">
        <v>156</v>
      </c>
      <c r="H799" s="134">
        <v>80111600</v>
      </c>
      <c r="I799" s="203">
        <v>10</v>
      </c>
      <c r="J799" s="203">
        <v>3</v>
      </c>
      <c r="K799" s="135">
        <v>0</v>
      </c>
      <c r="L799" s="131">
        <v>13472448</v>
      </c>
      <c r="M799" s="136" t="s">
        <v>464</v>
      </c>
      <c r="N799" s="53" t="s">
        <v>113</v>
      </c>
      <c r="O799" s="51" t="s">
        <v>211</v>
      </c>
      <c r="P799" s="204" t="str">
        <f>IFERROR(VLOOKUP(C799,TD!$B$33:$F$37,2,0)," ")</f>
        <v>O230117</v>
      </c>
      <c r="Q799" s="204" t="str">
        <f>IFERROR(VLOOKUP(C799,TD!$B$33:$F$37,3,0)," ")</f>
        <v>4599</v>
      </c>
      <c r="R799" s="204">
        <f>IFERROR(VLOOKUP(C799,TD!$B$33:$F$37,4,0)," ")</f>
        <v>20240207</v>
      </c>
      <c r="S799" s="51" t="s">
        <v>193</v>
      </c>
      <c r="T799" s="186" t="str">
        <f>IFERROR(VLOOKUP(S799,TD!$J$34:$K$44,2,0)," ")</f>
        <v>Servicios para la planeación y sistemas de gestión y comunicación estratégica</v>
      </c>
      <c r="U799" s="187" t="str">
        <f>CONCATENATE(S799,"-",T799)</f>
        <v>13-Servicios para la planeación y sistemas de gestión y comunicación estratégica</v>
      </c>
      <c r="V799" s="51" t="s">
        <v>240</v>
      </c>
      <c r="W799" s="186" t="str">
        <f>IFERROR(VLOOKUP(V799,TD!$N$34:$O$46,2,0)," ")</f>
        <v>Servicio de asistencia técnica</v>
      </c>
      <c r="X799" s="206" t="str">
        <f>CONCATENATE(V799,"_",W799)</f>
        <v>031_Servicio de asistencia técnica</v>
      </c>
      <c r="Y799" s="206" t="str">
        <f>CONCATENATE(U799," ",X799)</f>
        <v>13-Servicios para la planeación y sistemas de gestión y comunicación estratégica 031_Servicio de asistencia técnica</v>
      </c>
      <c r="Z799" s="204" t="str">
        <f>CONCATENATE(P799,Q799,R799,S799,V799)</f>
        <v>O23011745992024020713031</v>
      </c>
      <c r="AA799" s="204" t="str">
        <f>IFERROR(VLOOKUP(Y799,TD!$K$47:$L$65,2,0)," ")</f>
        <v>PM/0131/0113/45990310207</v>
      </c>
      <c r="AB799" s="53" t="s">
        <v>138</v>
      </c>
      <c r="AC799" s="207" t="s">
        <v>205</v>
      </c>
    </row>
    <row r="800" spans="2:29" ht="56" x14ac:dyDescent="0.35">
      <c r="B800" s="132">
        <v>20250846</v>
      </c>
      <c r="C800" s="133" t="s">
        <v>208</v>
      </c>
      <c r="D800" s="202" t="s">
        <v>36</v>
      </c>
      <c r="E800" s="205" t="s">
        <v>378</v>
      </c>
      <c r="F800" s="202" t="s">
        <v>1024</v>
      </c>
      <c r="G800" s="202" t="s">
        <v>155</v>
      </c>
      <c r="H800" s="134">
        <v>80111600</v>
      </c>
      <c r="I800" s="203">
        <v>9</v>
      </c>
      <c r="J800" s="203">
        <v>4</v>
      </c>
      <c r="K800" s="135">
        <v>0</v>
      </c>
      <c r="L800" s="131">
        <v>28000000</v>
      </c>
      <c r="M800" s="136" t="s">
        <v>464</v>
      </c>
      <c r="N800" s="131" t="s">
        <v>113</v>
      </c>
      <c r="O800" s="51" t="s">
        <v>213</v>
      </c>
      <c r="P800" s="204" t="str">
        <f>IFERROR(VLOOKUP(C800,TD!$B$33:$F$37,2,0)," ")</f>
        <v>O230117</v>
      </c>
      <c r="Q800" s="204" t="str">
        <f>IFERROR(VLOOKUP(C800,TD!$B$33:$F$37,3,0)," ")</f>
        <v>4599</v>
      </c>
      <c r="R800" s="204">
        <f>IFERROR(VLOOKUP(C800,TD!$B$33:$F$37,4,0)," ")</f>
        <v>20240207</v>
      </c>
      <c r="S800" s="51" t="s">
        <v>193</v>
      </c>
      <c r="T800" s="186" t="str">
        <f>IFERROR(VLOOKUP(S800,TD!$J$34:$K$44,2,0)," ")</f>
        <v>Servicios para la planeación y sistemas de gestión y comunicación estratégica</v>
      </c>
      <c r="U800" s="187" t="str">
        <f>CONCATENATE(S800,"-",T800)</f>
        <v>13-Servicios para la planeación y sistemas de gestión y comunicación estratégica</v>
      </c>
      <c r="V800" s="51" t="s">
        <v>240</v>
      </c>
      <c r="W800" s="186" t="str">
        <f>IFERROR(VLOOKUP(V800,TD!$N$34:$O$46,2,0)," ")</f>
        <v>Servicio de asistencia técnica</v>
      </c>
      <c r="X800" s="206" t="str">
        <f>CONCATENATE(V800,"_",W800)</f>
        <v>031_Servicio de asistencia técnica</v>
      </c>
      <c r="Y800" s="206" t="str">
        <f>CONCATENATE(U800," ",X800)</f>
        <v>13-Servicios para la planeación y sistemas de gestión y comunicación estratégica 031_Servicio de asistencia técnica</v>
      </c>
      <c r="Z800" s="204" t="str">
        <f>CONCATENATE(P800,Q800,R800,S800,V800)</f>
        <v>O23011745992024020713031</v>
      </c>
      <c r="AA800" s="204" t="str">
        <f>IFERROR(VLOOKUP(Y800,TD!$K$47:$L$65,2,0)," ")</f>
        <v>PM/0131/0113/45990310207</v>
      </c>
      <c r="AB800" s="53" t="s">
        <v>138</v>
      </c>
      <c r="AC800" s="207" t="s">
        <v>204</v>
      </c>
    </row>
    <row r="801" spans="2:29" ht="56" x14ac:dyDescent="0.35">
      <c r="B801" s="132">
        <v>20250847</v>
      </c>
      <c r="C801" s="133" t="s">
        <v>208</v>
      </c>
      <c r="D801" s="202" t="s">
        <v>36</v>
      </c>
      <c r="E801" s="205" t="s">
        <v>378</v>
      </c>
      <c r="F801" s="202" t="s">
        <v>1065</v>
      </c>
      <c r="G801" s="202" t="s">
        <v>155</v>
      </c>
      <c r="H801" s="134">
        <v>80111600</v>
      </c>
      <c r="I801" s="203">
        <v>9</v>
      </c>
      <c r="J801" s="203">
        <v>3</v>
      </c>
      <c r="K801" s="135">
        <v>0</v>
      </c>
      <c r="L801" s="131">
        <v>21900000</v>
      </c>
      <c r="M801" s="136" t="s">
        <v>464</v>
      </c>
      <c r="N801" s="53" t="s">
        <v>113</v>
      </c>
      <c r="O801" s="51" t="s">
        <v>211</v>
      </c>
      <c r="P801" s="204" t="str">
        <f>IFERROR(VLOOKUP(C801,TD!$B$33:$F$37,2,0)," ")</f>
        <v>O230117</v>
      </c>
      <c r="Q801" s="204" t="str">
        <f>IFERROR(VLOOKUP(C801,TD!$B$33:$F$37,3,0)," ")</f>
        <v>4599</v>
      </c>
      <c r="R801" s="204">
        <f>IFERROR(VLOOKUP(C801,TD!$B$33:$F$37,4,0)," ")</f>
        <v>20240207</v>
      </c>
      <c r="S801" s="51" t="s">
        <v>193</v>
      </c>
      <c r="T801" s="186" t="str">
        <f>IFERROR(VLOOKUP(S801,TD!$J$34:$K$44,2,0)," ")</f>
        <v>Servicios para la planeación y sistemas de gestión y comunicación estratégica</v>
      </c>
      <c r="U801" s="187" t="str">
        <f>CONCATENATE(S801,"-",T801)</f>
        <v>13-Servicios para la planeación y sistemas de gestión y comunicación estratégica</v>
      </c>
      <c r="V801" s="51" t="s">
        <v>240</v>
      </c>
      <c r="W801" s="186" t="str">
        <f>IFERROR(VLOOKUP(V801,TD!$N$34:$O$46,2,0)," ")</f>
        <v>Servicio de asistencia técnica</v>
      </c>
      <c r="X801" s="206" t="str">
        <f>CONCATENATE(V801,"_",W801)</f>
        <v>031_Servicio de asistencia técnica</v>
      </c>
      <c r="Y801" s="206" t="str">
        <f>CONCATENATE(U801," ",X801)</f>
        <v>13-Servicios para la planeación y sistemas de gestión y comunicación estratégica 031_Servicio de asistencia técnica</v>
      </c>
      <c r="Z801" s="204" t="str">
        <f>CONCATENATE(P801,Q801,R801,S801,V801)</f>
        <v>O23011745992024020713031</v>
      </c>
      <c r="AA801" s="204" t="str">
        <f>IFERROR(VLOOKUP(Y801,TD!$K$47:$L$65,2,0)," ")</f>
        <v>PM/0131/0113/45990310207</v>
      </c>
      <c r="AB801" s="53" t="s">
        <v>138</v>
      </c>
      <c r="AC801" s="207" t="s">
        <v>205</v>
      </c>
    </row>
    <row r="802" spans="2:29" ht="56" x14ac:dyDescent="0.35">
      <c r="B802" s="132">
        <v>20250848</v>
      </c>
      <c r="C802" s="133" t="s">
        <v>208</v>
      </c>
      <c r="D802" s="202" t="s">
        <v>36</v>
      </c>
      <c r="E802" s="205" t="s">
        <v>378</v>
      </c>
      <c r="F802" s="202" t="s">
        <v>1025</v>
      </c>
      <c r="G802" s="202" t="s">
        <v>155</v>
      </c>
      <c r="H802" s="134">
        <v>80111600</v>
      </c>
      <c r="I802" s="203">
        <v>9</v>
      </c>
      <c r="J802" s="203">
        <v>4</v>
      </c>
      <c r="K802" s="135">
        <v>0</v>
      </c>
      <c r="L802" s="131">
        <v>30000000</v>
      </c>
      <c r="M802" s="136" t="s">
        <v>464</v>
      </c>
      <c r="N802" s="53" t="s">
        <v>113</v>
      </c>
      <c r="O802" s="51" t="s">
        <v>213</v>
      </c>
      <c r="P802" s="204" t="str">
        <f>IFERROR(VLOOKUP(C802,TD!$B$33:$F$37,2,0)," ")</f>
        <v>O230117</v>
      </c>
      <c r="Q802" s="204" t="str">
        <f>IFERROR(VLOOKUP(C802,TD!$B$33:$F$37,3,0)," ")</f>
        <v>4599</v>
      </c>
      <c r="R802" s="204">
        <f>IFERROR(VLOOKUP(C802,TD!$B$33:$F$37,4,0)," ")</f>
        <v>20240207</v>
      </c>
      <c r="S802" s="51" t="s">
        <v>193</v>
      </c>
      <c r="T802" s="186" t="str">
        <f>IFERROR(VLOOKUP(S802,TD!$J$34:$K$44,2,0)," ")</f>
        <v>Servicios para la planeación y sistemas de gestión y comunicación estratégica</v>
      </c>
      <c r="U802" s="187" t="str">
        <f>CONCATENATE(S802,"-",T802)</f>
        <v>13-Servicios para la planeación y sistemas de gestión y comunicación estratégica</v>
      </c>
      <c r="V802" s="51" t="s">
        <v>240</v>
      </c>
      <c r="W802" s="186" t="str">
        <f>IFERROR(VLOOKUP(V802,TD!$N$34:$O$46,2,0)," ")</f>
        <v>Servicio de asistencia técnica</v>
      </c>
      <c r="X802" s="206" t="str">
        <f>CONCATENATE(V802,"_",W802)</f>
        <v>031_Servicio de asistencia técnica</v>
      </c>
      <c r="Y802" s="206" t="str">
        <f>CONCATENATE(U802," ",X802)</f>
        <v>13-Servicios para la planeación y sistemas de gestión y comunicación estratégica 031_Servicio de asistencia técnica</v>
      </c>
      <c r="Z802" s="204" t="str">
        <f>CONCATENATE(P802,Q802,R802,S802,V802)</f>
        <v>O23011745992024020713031</v>
      </c>
      <c r="AA802" s="204" t="str">
        <f>IFERROR(VLOOKUP(Y802,TD!$K$47:$L$65,2,0)," ")</f>
        <v>PM/0131/0113/45990310207</v>
      </c>
      <c r="AB802" s="53" t="s">
        <v>138</v>
      </c>
      <c r="AC802" s="207" t="s">
        <v>204</v>
      </c>
    </row>
    <row r="803" spans="2:29" ht="56" x14ac:dyDescent="0.35">
      <c r="B803" s="132">
        <v>20250849</v>
      </c>
      <c r="C803" s="133" t="s">
        <v>208</v>
      </c>
      <c r="D803" s="202" t="s">
        <v>36</v>
      </c>
      <c r="E803" s="205" t="s">
        <v>378</v>
      </c>
      <c r="F803" s="202" t="s">
        <v>1026</v>
      </c>
      <c r="G803" s="202" t="s">
        <v>156</v>
      </c>
      <c r="H803" s="134">
        <v>80111600</v>
      </c>
      <c r="I803" s="203">
        <v>9</v>
      </c>
      <c r="J803" s="203">
        <v>4</v>
      </c>
      <c r="K803" s="135">
        <v>0</v>
      </c>
      <c r="L803" s="131">
        <v>16000000</v>
      </c>
      <c r="M803" s="136" t="s">
        <v>464</v>
      </c>
      <c r="N803" s="53" t="s">
        <v>113</v>
      </c>
      <c r="O803" s="51" t="s">
        <v>213</v>
      </c>
      <c r="P803" s="204" t="str">
        <f>IFERROR(VLOOKUP(C803,TD!$B$33:$F$37,2,0)," ")</f>
        <v>O230117</v>
      </c>
      <c r="Q803" s="204" t="str">
        <f>IFERROR(VLOOKUP(C803,TD!$B$33:$F$37,3,0)," ")</f>
        <v>4599</v>
      </c>
      <c r="R803" s="204">
        <f>IFERROR(VLOOKUP(C803,TD!$B$33:$F$37,4,0)," ")</f>
        <v>20240207</v>
      </c>
      <c r="S803" s="51" t="s">
        <v>193</v>
      </c>
      <c r="T803" s="186" t="str">
        <f>IFERROR(VLOOKUP(S803,TD!$J$34:$K$44,2,0)," ")</f>
        <v>Servicios para la planeación y sistemas de gestión y comunicación estratégica</v>
      </c>
      <c r="U803" s="187" t="str">
        <f>CONCATENATE(S803,"-",T803)</f>
        <v>13-Servicios para la planeación y sistemas de gestión y comunicación estratégica</v>
      </c>
      <c r="V803" s="51" t="s">
        <v>240</v>
      </c>
      <c r="W803" s="186" t="str">
        <f>IFERROR(VLOOKUP(V803,TD!$N$34:$O$46,2,0)," ")</f>
        <v>Servicio de asistencia técnica</v>
      </c>
      <c r="X803" s="206" t="str">
        <f>CONCATENATE(V803,"_",W803)</f>
        <v>031_Servicio de asistencia técnica</v>
      </c>
      <c r="Y803" s="206" t="str">
        <f>CONCATENATE(U803," ",X803)</f>
        <v>13-Servicios para la planeación y sistemas de gestión y comunicación estratégica 031_Servicio de asistencia técnica</v>
      </c>
      <c r="Z803" s="204" t="str">
        <f>CONCATENATE(P803,Q803,R803,S803,V803)</f>
        <v>O23011745992024020713031</v>
      </c>
      <c r="AA803" s="204" t="str">
        <f>IFERROR(VLOOKUP(Y803,TD!$K$47:$L$65,2,0)," ")</f>
        <v>PM/0131/0113/45990310207</v>
      </c>
      <c r="AB803" s="53" t="s">
        <v>138</v>
      </c>
      <c r="AC803" s="207" t="s">
        <v>204</v>
      </c>
    </row>
    <row r="804" spans="2:29" ht="56" x14ac:dyDescent="0.35">
      <c r="B804" s="132">
        <v>20250850</v>
      </c>
      <c r="C804" s="133" t="s">
        <v>208</v>
      </c>
      <c r="D804" s="202" t="s">
        <v>36</v>
      </c>
      <c r="E804" s="205" t="s">
        <v>378</v>
      </c>
      <c r="F804" s="202" t="s">
        <v>1027</v>
      </c>
      <c r="G804" s="202" t="s">
        <v>155</v>
      </c>
      <c r="H804" s="134">
        <v>80111600</v>
      </c>
      <c r="I804" s="203">
        <v>9</v>
      </c>
      <c r="J804" s="203">
        <v>3</v>
      </c>
      <c r="K804" s="135">
        <v>0</v>
      </c>
      <c r="L804" s="131">
        <v>25500000</v>
      </c>
      <c r="M804" s="136" t="s">
        <v>464</v>
      </c>
      <c r="N804" s="53" t="s">
        <v>113</v>
      </c>
      <c r="O804" s="51" t="s">
        <v>211</v>
      </c>
      <c r="P804" s="204" t="str">
        <f>IFERROR(VLOOKUP(C804,TD!$B$33:$F$37,2,0)," ")</f>
        <v>O230117</v>
      </c>
      <c r="Q804" s="204" t="str">
        <f>IFERROR(VLOOKUP(C804,TD!$B$33:$F$37,3,0)," ")</f>
        <v>4599</v>
      </c>
      <c r="R804" s="204">
        <f>IFERROR(VLOOKUP(C804,TD!$B$33:$F$37,4,0)," ")</f>
        <v>20240207</v>
      </c>
      <c r="S804" s="51" t="s">
        <v>193</v>
      </c>
      <c r="T804" s="186" t="str">
        <f>IFERROR(VLOOKUP(S804,TD!$J$34:$K$44,2,0)," ")</f>
        <v>Servicios para la planeación y sistemas de gestión y comunicación estratégica</v>
      </c>
      <c r="U804" s="187" t="str">
        <f>CONCATENATE(S804,"-",T804)</f>
        <v>13-Servicios para la planeación y sistemas de gestión y comunicación estratégica</v>
      </c>
      <c r="V804" s="51" t="s">
        <v>241</v>
      </c>
      <c r="W804" s="186" t="str">
        <f>IFERROR(VLOOKUP(V804,TD!$N$34:$O$46,2,0)," ")</f>
        <v>Servicio de Implementación Sistemas de Gestión</v>
      </c>
      <c r="X804" s="206" t="str">
        <f>CONCATENATE(V804,"_",W804)</f>
        <v>023_Servicio de Implementación Sistemas de Gestión</v>
      </c>
      <c r="Y804" s="206" t="str">
        <f>CONCATENATE(U804," ",X804)</f>
        <v>13-Servicios para la planeación y sistemas de gestión y comunicación estratégica 023_Servicio de Implementación Sistemas de Gestión</v>
      </c>
      <c r="Z804" s="204" t="str">
        <f>CONCATENATE(P804,Q804,R804,S804,V804)</f>
        <v>O23011745992024020713023</v>
      </c>
      <c r="AA804" s="204" t="str">
        <f>IFERROR(VLOOKUP(Y804,TD!$K$47:$L$65,2,0)," ")</f>
        <v>PM/0131/0113/45990230207</v>
      </c>
      <c r="AB804" s="53" t="s">
        <v>138</v>
      </c>
      <c r="AC804" s="207" t="s">
        <v>205</v>
      </c>
    </row>
    <row r="805" spans="2:29" ht="84" x14ac:dyDescent="0.35">
      <c r="B805" s="132">
        <v>20250851</v>
      </c>
      <c r="C805" s="133" t="s">
        <v>208</v>
      </c>
      <c r="D805" s="202" t="s">
        <v>36</v>
      </c>
      <c r="E805" s="205" t="s">
        <v>378</v>
      </c>
      <c r="F805" s="202" t="s">
        <v>1028</v>
      </c>
      <c r="G805" s="202" t="s">
        <v>155</v>
      </c>
      <c r="H805" s="134">
        <v>80111600</v>
      </c>
      <c r="I805" s="203">
        <v>9</v>
      </c>
      <c r="J805" s="203">
        <v>3</v>
      </c>
      <c r="K805" s="135">
        <v>0</v>
      </c>
      <c r="L805" s="131">
        <v>19500000</v>
      </c>
      <c r="M805" s="136" t="s">
        <v>464</v>
      </c>
      <c r="N805" s="53" t="s">
        <v>113</v>
      </c>
      <c r="O805" s="51" t="s">
        <v>212</v>
      </c>
      <c r="P805" s="204" t="str">
        <f>IFERROR(VLOOKUP(C805,TD!$B$33:$F$37,2,0)," ")</f>
        <v>O230117</v>
      </c>
      <c r="Q805" s="204" t="str">
        <f>IFERROR(VLOOKUP(C805,TD!$B$33:$F$37,3,0)," ")</f>
        <v>4599</v>
      </c>
      <c r="R805" s="204">
        <f>IFERROR(VLOOKUP(C805,TD!$B$33:$F$37,4,0)," ")</f>
        <v>20240207</v>
      </c>
      <c r="S805" s="51" t="s">
        <v>193</v>
      </c>
      <c r="T805" s="186" t="str">
        <f>IFERROR(VLOOKUP(S805,TD!$J$34:$K$44,2,0)," ")</f>
        <v>Servicios para la planeación y sistemas de gestión y comunicación estratégica</v>
      </c>
      <c r="U805" s="187" t="str">
        <f>CONCATENATE(S805,"-",T805)</f>
        <v>13-Servicios para la planeación y sistemas de gestión y comunicación estratégica</v>
      </c>
      <c r="V805" s="51" t="s">
        <v>241</v>
      </c>
      <c r="W805" s="186" t="str">
        <f>IFERROR(VLOOKUP(V805,TD!$N$34:$O$46,2,0)," ")</f>
        <v>Servicio de Implementación Sistemas de Gestión</v>
      </c>
      <c r="X805" s="206" t="str">
        <f>CONCATENATE(V805,"_",W805)</f>
        <v>023_Servicio de Implementación Sistemas de Gestión</v>
      </c>
      <c r="Y805" s="206" t="str">
        <f>CONCATENATE(U805," ",X805)</f>
        <v>13-Servicios para la planeación y sistemas de gestión y comunicación estratégica 023_Servicio de Implementación Sistemas de Gestión</v>
      </c>
      <c r="Z805" s="204" t="str">
        <f>CONCATENATE(P805,Q805,R805,S805,V805)</f>
        <v>O23011745992024020713023</v>
      </c>
      <c r="AA805" s="204" t="str">
        <f>IFERROR(VLOOKUP(Y805,TD!$K$47:$L$65,2,0)," ")</f>
        <v>PM/0131/0113/45990230207</v>
      </c>
      <c r="AB805" s="53" t="s">
        <v>138</v>
      </c>
      <c r="AC805" s="207" t="s">
        <v>205</v>
      </c>
    </row>
    <row r="806" spans="2:29" s="107" customFormat="1" ht="84" x14ac:dyDescent="0.35">
      <c r="B806" s="132">
        <v>20250852</v>
      </c>
      <c r="C806" s="133" t="s">
        <v>208</v>
      </c>
      <c r="D806" s="202" t="s">
        <v>36</v>
      </c>
      <c r="E806" s="205" t="s">
        <v>378</v>
      </c>
      <c r="F806" s="202" t="s">
        <v>1029</v>
      </c>
      <c r="G806" s="202" t="s">
        <v>155</v>
      </c>
      <c r="H806" s="134">
        <v>80111600</v>
      </c>
      <c r="I806" s="203">
        <v>9</v>
      </c>
      <c r="J806" s="203">
        <v>3</v>
      </c>
      <c r="K806" s="135">
        <v>0</v>
      </c>
      <c r="L806" s="131">
        <v>21000000</v>
      </c>
      <c r="M806" s="142" t="s">
        <v>464</v>
      </c>
      <c r="N806" s="131" t="s">
        <v>113</v>
      </c>
      <c r="O806" s="51" t="s">
        <v>212</v>
      </c>
      <c r="P806" s="204" t="str">
        <f>IFERROR(VLOOKUP(C806,TD!$B$33:$F$37,2,0)," ")</f>
        <v>O230117</v>
      </c>
      <c r="Q806" s="204" t="str">
        <f>IFERROR(VLOOKUP(C806,TD!$B$33:$F$37,3,0)," ")</f>
        <v>4599</v>
      </c>
      <c r="R806" s="204">
        <f>IFERROR(VLOOKUP(C806,TD!$B$33:$F$37,4,0)," ")</f>
        <v>20240207</v>
      </c>
      <c r="S806" s="51" t="s">
        <v>193</v>
      </c>
      <c r="T806" s="186" t="str">
        <f>IFERROR(VLOOKUP(S806,TD!$J$34:$K$44,2,0)," ")</f>
        <v>Servicios para la planeación y sistemas de gestión y comunicación estratégica</v>
      </c>
      <c r="U806" s="187" t="str">
        <f>CONCATENATE(S806,"-",T806)</f>
        <v>13-Servicios para la planeación y sistemas de gestión y comunicación estratégica</v>
      </c>
      <c r="V806" s="51" t="s">
        <v>241</v>
      </c>
      <c r="W806" s="186" t="str">
        <f>IFERROR(VLOOKUP(V806,TD!$N$34:$O$46,2,0)," ")</f>
        <v>Servicio de Implementación Sistemas de Gestión</v>
      </c>
      <c r="X806" s="206" t="str">
        <f>CONCATENATE(V806,"_",W806)</f>
        <v>023_Servicio de Implementación Sistemas de Gestión</v>
      </c>
      <c r="Y806" s="206" t="str">
        <f>CONCATENATE(U806," ",X806)</f>
        <v>13-Servicios para la planeación y sistemas de gestión y comunicación estratégica 023_Servicio de Implementación Sistemas de Gestión</v>
      </c>
      <c r="Z806" s="204" t="str">
        <f>CONCATENATE(P806,Q806,R806,S806,V806)</f>
        <v>O23011745992024020713023</v>
      </c>
      <c r="AA806" s="204" t="str">
        <f>IFERROR(VLOOKUP(Y806,TD!$K$47:$L$65,2,0)," ")</f>
        <v>PM/0131/0113/45990230207</v>
      </c>
      <c r="AB806" s="131" t="s">
        <v>138</v>
      </c>
      <c r="AC806" s="207" t="s">
        <v>205</v>
      </c>
    </row>
    <row r="807" spans="2:29" ht="112" x14ac:dyDescent="0.35">
      <c r="B807" s="132">
        <v>20250853</v>
      </c>
      <c r="C807" s="133" t="s">
        <v>208</v>
      </c>
      <c r="D807" s="202" t="s">
        <v>36</v>
      </c>
      <c r="E807" s="205" t="s">
        <v>378</v>
      </c>
      <c r="F807" s="202" t="s">
        <v>1030</v>
      </c>
      <c r="G807" s="202" t="s">
        <v>156</v>
      </c>
      <c r="H807" s="134">
        <v>80111600</v>
      </c>
      <c r="I807" s="203">
        <v>12</v>
      </c>
      <c r="J807" s="203">
        <v>1</v>
      </c>
      <c r="K807" s="135">
        <v>0</v>
      </c>
      <c r="L807" s="131">
        <v>4490816</v>
      </c>
      <c r="M807" s="142" t="s">
        <v>464</v>
      </c>
      <c r="N807" s="131" t="s">
        <v>113</v>
      </c>
      <c r="O807" s="51" t="s">
        <v>211</v>
      </c>
      <c r="P807" s="204" t="str">
        <f>IFERROR(VLOOKUP(C807,TD!$B$33:$F$37,2,0)," ")</f>
        <v>O230117</v>
      </c>
      <c r="Q807" s="204" t="str">
        <f>IFERROR(VLOOKUP(C807,TD!$B$33:$F$37,3,0)," ")</f>
        <v>4599</v>
      </c>
      <c r="R807" s="204">
        <f>IFERROR(VLOOKUP(C807,TD!$B$33:$F$37,4,0)," ")</f>
        <v>20240207</v>
      </c>
      <c r="S807" s="51" t="s">
        <v>193</v>
      </c>
      <c r="T807" s="186" t="str">
        <f>IFERROR(VLOOKUP(S807,TD!$J$34:$K$44,2,0)," ")</f>
        <v>Servicios para la planeación y sistemas de gestión y comunicación estratégica</v>
      </c>
      <c r="U807" s="187" t="str">
        <f>CONCATENATE(S807,"-",T807)</f>
        <v>13-Servicios para la planeación y sistemas de gestión y comunicación estratégica</v>
      </c>
      <c r="V807" s="51" t="s">
        <v>241</v>
      </c>
      <c r="W807" s="186" t="str">
        <f>IFERROR(VLOOKUP(V807,TD!$N$34:$O$46,2,0)," ")</f>
        <v>Servicio de Implementación Sistemas de Gestión</v>
      </c>
      <c r="X807" s="206" t="str">
        <f>CONCATENATE(V807,"_",W807)</f>
        <v>023_Servicio de Implementación Sistemas de Gestión</v>
      </c>
      <c r="Y807" s="206" t="str">
        <f>CONCATENATE(U807," ",X807)</f>
        <v>13-Servicios para la planeación y sistemas de gestión y comunicación estratégica 023_Servicio de Implementación Sistemas de Gestión</v>
      </c>
      <c r="Z807" s="204" t="str">
        <f>CONCATENATE(P807,Q807,R807,S807,V807)</f>
        <v>O23011745992024020713023</v>
      </c>
      <c r="AA807" s="204" t="str">
        <f>IFERROR(VLOOKUP(Y807,TD!$K$47:$L$65,2,0)," ")</f>
        <v>PM/0131/0113/45990230207</v>
      </c>
      <c r="AB807" s="131" t="s">
        <v>138</v>
      </c>
      <c r="AC807" s="207" t="s">
        <v>205</v>
      </c>
    </row>
    <row r="808" spans="2:29" ht="84" x14ac:dyDescent="0.35">
      <c r="B808" s="153">
        <v>20250854</v>
      </c>
      <c r="C808" s="169" t="s">
        <v>208</v>
      </c>
      <c r="D808" s="227" t="s">
        <v>161</v>
      </c>
      <c r="E808" s="228" t="s">
        <v>355</v>
      </c>
      <c r="F808" s="227" t="s">
        <v>1031</v>
      </c>
      <c r="G808" s="227" t="s">
        <v>155</v>
      </c>
      <c r="H808" s="181">
        <v>80111600</v>
      </c>
      <c r="I808" s="229">
        <v>8</v>
      </c>
      <c r="J808" s="229">
        <v>3</v>
      </c>
      <c r="K808" s="183">
        <v>0</v>
      </c>
      <c r="L808" s="253">
        <v>15000000</v>
      </c>
      <c r="M808" s="142" t="s">
        <v>464</v>
      </c>
      <c r="N808" s="131" t="s">
        <v>113</v>
      </c>
      <c r="O808" s="51" t="s">
        <v>220</v>
      </c>
      <c r="P808" s="230" t="str">
        <f>IFERROR(VLOOKUP(C808,TD!$B$33:$F$37,2,0)," ")</f>
        <v>O230117</v>
      </c>
      <c r="Q808" s="230" t="str">
        <f>IFERROR(VLOOKUP(C808,TD!$B$33:$F$37,3,0)," ")</f>
        <v>4599</v>
      </c>
      <c r="R808" s="230">
        <f>IFERROR(VLOOKUP(C808,TD!$B$33:$F$37,4,0)," ")</f>
        <v>20240207</v>
      </c>
      <c r="S808" s="232" t="s">
        <v>193</v>
      </c>
      <c r="T808" s="186" t="str">
        <f>IFERROR(VLOOKUP(S808,TD!$J$34:$K$44,2,0)," ")</f>
        <v>Servicios para la planeación y sistemas de gestión y comunicación estratégica</v>
      </c>
      <c r="U808" s="187" t="str">
        <f>CONCATENATE(S808,"-",T808)</f>
        <v>13-Servicios para la planeación y sistemas de gestión y comunicación estratégica</v>
      </c>
      <c r="V808" s="51" t="s">
        <v>242</v>
      </c>
      <c r="W808" s="186" t="str">
        <f>IFERROR(VLOOKUP(V808,TD!$N$34:$O$46,2,0)," ")</f>
        <v>Documentos de planeación</v>
      </c>
      <c r="X808" s="206" t="str">
        <f>CONCATENATE(V808,"_",W808)</f>
        <v>019_Documentos de planeación</v>
      </c>
      <c r="Y808" s="206" t="str">
        <f>CONCATENATE(U808," ",X808)</f>
        <v>13-Servicios para la planeación y sistemas de gestión y comunicación estratégica 019_Documentos de planeación</v>
      </c>
      <c r="Z808" s="230" t="str">
        <f>CONCATENATE(P808,Q808,R808,S808,V808)</f>
        <v>O23011745992024020713019</v>
      </c>
      <c r="AA808" s="230" t="str">
        <f>IFERROR(VLOOKUP(Y808,TD!$K$47:$L$65,2,0)," ")</f>
        <v>PM/0131/0113/45990190207</v>
      </c>
      <c r="AB808" s="131" t="s">
        <v>138</v>
      </c>
      <c r="AC808" s="231" t="s">
        <v>205</v>
      </c>
    </row>
    <row r="809" spans="2:29" ht="112" x14ac:dyDescent="0.35">
      <c r="B809" s="132">
        <v>20250856</v>
      </c>
      <c r="C809" s="169" t="s">
        <v>209</v>
      </c>
      <c r="D809" s="227" t="s">
        <v>166</v>
      </c>
      <c r="E809" s="205" t="s">
        <v>558</v>
      </c>
      <c r="F809" s="202" t="s">
        <v>1032</v>
      </c>
      <c r="G809" s="202" t="s">
        <v>109</v>
      </c>
      <c r="H809" s="134" t="s">
        <v>596</v>
      </c>
      <c r="I809" s="203">
        <v>8</v>
      </c>
      <c r="J809" s="203">
        <v>3</v>
      </c>
      <c r="K809" s="135">
        <v>0</v>
      </c>
      <c r="L809" s="131">
        <v>300000000</v>
      </c>
      <c r="M809" s="142" t="s">
        <v>1309</v>
      </c>
      <c r="N809" s="131" t="s">
        <v>95</v>
      </c>
      <c r="O809" s="51" t="s">
        <v>1043</v>
      </c>
      <c r="P809" s="204" t="str">
        <f>IFERROR(VLOOKUP(C809,TD!$B$33:$F$37,2,0)," ")</f>
        <v>O230117</v>
      </c>
      <c r="Q809" s="204" t="str">
        <f>IFERROR(VLOOKUP(C809,TD!$B$33:$F$37,3,0)," ")</f>
        <v>4503</v>
      </c>
      <c r="R809" s="204">
        <f>IFERROR(VLOOKUP(C809,TD!$B$33:$F$37,4,0)," ")</f>
        <v>20240255</v>
      </c>
      <c r="S809" s="232" t="s">
        <v>185</v>
      </c>
      <c r="T809" s="186" t="str">
        <f>IFERROR(VLOOKUP(S809,TD!$J$34:$K$44,2,0)," ")</f>
        <v>Infraestructura física, mantenimiento y dotación (Sedes construidas, mantenidas reforzadas)</v>
      </c>
      <c r="U809" s="187" t="str">
        <f>CONCATENATE(S809,"-",T809)</f>
        <v>08-Infraestructura física, mantenimiento y dotación (Sedes construidas, mantenidas reforzadas)</v>
      </c>
      <c r="V809" s="51" t="s">
        <v>236</v>
      </c>
      <c r="W809" s="186" t="str">
        <f>IFERROR(VLOOKUP(V809,TD!$N$34:$O$46,2,0)," ")</f>
        <v>Estaciones de bomberos adecuadas</v>
      </c>
      <c r="X809" s="206" t="str">
        <f>CONCATENATE(V809,"_",W809)</f>
        <v>014_Estaciones de bomberos adecuadas</v>
      </c>
      <c r="Y809" s="206" t="str">
        <f>CONCATENATE(U809," ",X809)</f>
        <v>08-Infraestructura física, mantenimiento y dotación (Sedes construidas, mantenidas reforzadas) 014_Estaciones de bomberos adecuadas</v>
      </c>
      <c r="Z809" s="204" t="str">
        <f>CONCATENATE(P809,Q809,R809,S809,V809)</f>
        <v>O23011745032024025508014</v>
      </c>
      <c r="AA809" s="204" t="str">
        <f>IFERROR(VLOOKUP(Y809,TD!$K$47:$L$65,2,0)," ")</f>
        <v>PM/0131/0108/45030140255</v>
      </c>
      <c r="AB809" s="131" t="s">
        <v>87</v>
      </c>
      <c r="AC809" s="207" t="s">
        <v>204</v>
      </c>
    </row>
    <row r="810" spans="2:29" ht="112" x14ac:dyDescent="0.35">
      <c r="B810" s="132">
        <v>20250857</v>
      </c>
      <c r="C810" s="169" t="s">
        <v>209</v>
      </c>
      <c r="D810" s="227" t="s">
        <v>166</v>
      </c>
      <c r="E810" s="205" t="s">
        <v>558</v>
      </c>
      <c r="F810" s="202" t="s">
        <v>1033</v>
      </c>
      <c r="G810" s="202" t="s">
        <v>109</v>
      </c>
      <c r="H810" s="134" t="s">
        <v>1040</v>
      </c>
      <c r="I810" s="203">
        <v>9</v>
      </c>
      <c r="J810" s="203">
        <v>3</v>
      </c>
      <c r="K810" s="135">
        <v>0</v>
      </c>
      <c r="L810" s="131">
        <v>108000000</v>
      </c>
      <c r="M810" s="352" t="s">
        <v>464</v>
      </c>
      <c r="N810" s="131" t="s">
        <v>95</v>
      </c>
      <c r="O810" s="51" t="s">
        <v>1043</v>
      </c>
      <c r="P810" s="204" t="str">
        <f>IFERROR(VLOOKUP(C810,TD!$B$33:$F$37,2,0)," ")</f>
        <v>O230117</v>
      </c>
      <c r="Q810" s="204" t="str">
        <f>IFERROR(VLOOKUP(C810,TD!$B$33:$F$37,3,0)," ")</f>
        <v>4503</v>
      </c>
      <c r="R810" s="204">
        <f>IFERROR(VLOOKUP(C810,TD!$B$33:$F$37,4,0)," ")</f>
        <v>20240255</v>
      </c>
      <c r="S810" s="232" t="s">
        <v>185</v>
      </c>
      <c r="T810" s="186" t="str">
        <f>IFERROR(VLOOKUP(S810,TD!$J$34:$K$44,2,0)," ")</f>
        <v>Infraestructura física, mantenimiento y dotación (Sedes construidas, mantenidas reforzadas)</v>
      </c>
      <c r="U810" s="187" t="str">
        <f>CONCATENATE(S810,"-",T810)</f>
        <v>08-Infraestructura física, mantenimiento y dotación (Sedes construidas, mantenidas reforzadas)</v>
      </c>
      <c r="V810" s="51" t="s">
        <v>236</v>
      </c>
      <c r="W810" s="186" t="str">
        <f>IFERROR(VLOOKUP(V810,TD!$N$34:$O$46,2,0)," ")</f>
        <v>Estaciones de bomberos adecuadas</v>
      </c>
      <c r="X810" s="206" t="str">
        <f>CONCATENATE(V810,"_",W810)</f>
        <v>014_Estaciones de bomberos adecuadas</v>
      </c>
      <c r="Y810" s="206" t="str">
        <f>CONCATENATE(U810," ",X810)</f>
        <v>08-Infraestructura física, mantenimiento y dotación (Sedes construidas, mantenidas reforzadas) 014_Estaciones de bomberos adecuadas</v>
      </c>
      <c r="Z810" s="204" t="str">
        <f>CONCATENATE(P810,Q810,R810,S810,V810)</f>
        <v>O23011745032024025508014</v>
      </c>
      <c r="AA810" s="204" t="str">
        <f>IFERROR(VLOOKUP(Y810,TD!$K$47:$L$65,2,0)," ")</f>
        <v>PM/0131/0108/45030140255</v>
      </c>
      <c r="AB810" s="131" t="s">
        <v>87</v>
      </c>
      <c r="AC810" s="207" t="s">
        <v>204</v>
      </c>
    </row>
    <row r="811" spans="2:29" ht="98" x14ac:dyDescent="0.35">
      <c r="B811" s="132">
        <v>20250859</v>
      </c>
      <c r="C811" s="169" t="s">
        <v>209</v>
      </c>
      <c r="D811" s="227" t="s">
        <v>166</v>
      </c>
      <c r="E811" s="205" t="s">
        <v>558</v>
      </c>
      <c r="F811" s="202" t="s">
        <v>1035</v>
      </c>
      <c r="G811" s="202" t="s">
        <v>109</v>
      </c>
      <c r="H811" s="134" t="s">
        <v>1041</v>
      </c>
      <c r="I811" s="203">
        <v>9</v>
      </c>
      <c r="J811" s="203">
        <v>3</v>
      </c>
      <c r="K811" s="135">
        <v>0</v>
      </c>
      <c r="L811" s="131">
        <v>66000000</v>
      </c>
      <c r="M811" s="352" t="s">
        <v>464</v>
      </c>
      <c r="N811" s="131" t="s">
        <v>95</v>
      </c>
      <c r="O811" s="51" t="s">
        <v>1043</v>
      </c>
      <c r="P811" s="204" t="str">
        <f>IFERROR(VLOOKUP(C811,TD!$B$33:$F$37,2,0)," ")</f>
        <v>O230117</v>
      </c>
      <c r="Q811" s="204" t="str">
        <f>IFERROR(VLOOKUP(C811,TD!$B$33:$F$37,3,0)," ")</f>
        <v>4503</v>
      </c>
      <c r="R811" s="204">
        <f>IFERROR(VLOOKUP(C811,TD!$B$33:$F$37,4,0)," ")</f>
        <v>20240255</v>
      </c>
      <c r="S811" s="232" t="s">
        <v>185</v>
      </c>
      <c r="T811" s="186" t="str">
        <f>IFERROR(VLOOKUP(S811,TD!$J$34:$K$44,2,0)," ")</f>
        <v>Infraestructura física, mantenimiento y dotación (Sedes construidas, mantenidas reforzadas)</v>
      </c>
      <c r="U811" s="187" t="str">
        <f>CONCATENATE(S811,"-",T811)</f>
        <v>08-Infraestructura física, mantenimiento y dotación (Sedes construidas, mantenidas reforzadas)</v>
      </c>
      <c r="V811" s="51" t="s">
        <v>236</v>
      </c>
      <c r="W811" s="186" t="str">
        <f>IFERROR(VLOOKUP(V811,TD!$N$34:$O$46,2,0)," ")</f>
        <v>Estaciones de bomberos adecuadas</v>
      </c>
      <c r="X811" s="206" t="str">
        <f>CONCATENATE(V811,"_",W811)</f>
        <v>014_Estaciones de bomberos adecuadas</v>
      </c>
      <c r="Y811" s="206" t="str">
        <f>CONCATENATE(U811," ",X811)</f>
        <v>08-Infraestructura física, mantenimiento y dotación (Sedes construidas, mantenidas reforzadas) 014_Estaciones de bomberos adecuadas</v>
      </c>
      <c r="Z811" s="204" t="str">
        <f>CONCATENATE(P811,Q811,R811,S811,V811)</f>
        <v>O23011745032024025508014</v>
      </c>
      <c r="AA811" s="204" t="str">
        <f>IFERROR(VLOOKUP(Y811,TD!$K$47:$L$65,2,0)," ")</f>
        <v>PM/0131/0108/45030140255</v>
      </c>
      <c r="AB811" s="131" t="s">
        <v>87</v>
      </c>
      <c r="AC811" s="207" t="s">
        <v>204</v>
      </c>
    </row>
    <row r="812" spans="2:29" ht="70" x14ac:dyDescent="0.35">
      <c r="B812" s="132">
        <v>20250860</v>
      </c>
      <c r="C812" s="169" t="s">
        <v>209</v>
      </c>
      <c r="D812" s="227" t="s">
        <v>166</v>
      </c>
      <c r="E812" s="205" t="s">
        <v>558</v>
      </c>
      <c r="F812" s="202" t="s">
        <v>930</v>
      </c>
      <c r="G812" s="202" t="s">
        <v>109</v>
      </c>
      <c r="H812" s="134" t="s">
        <v>847</v>
      </c>
      <c r="I812" s="203">
        <v>8</v>
      </c>
      <c r="J812" s="203">
        <v>2</v>
      </c>
      <c r="K812" s="135">
        <v>0</v>
      </c>
      <c r="L812" s="131">
        <v>34000000</v>
      </c>
      <c r="M812" s="352" t="s">
        <v>464</v>
      </c>
      <c r="N812" s="131" t="s">
        <v>100</v>
      </c>
      <c r="O812" s="51" t="s">
        <v>1043</v>
      </c>
      <c r="P812" s="204" t="str">
        <f>IFERROR(VLOOKUP(C812,TD!$B$33:$F$37,2,0)," ")</f>
        <v>O230117</v>
      </c>
      <c r="Q812" s="204" t="str">
        <f>IFERROR(VLOOKUP(C812,TD!$B$33:$F$37,3,0)," ")</f>
        <v>4503</v>
      </c>
      <c r="R812" s="204">
        <f>IFERROR(VLOOKUP(C812,TD!$B$33:$F$37,4,0)," ")</f>
        <v>20240255</v>
      </c>
      <c r="S812" s="232" t="s">
        <v>185</v>
      </c>
      <c r="T812" s="186" t="str">
        <f>IFERROR(VLOOKUP(S812,TD!$J$34:$K$44,2,0)," ")</f>
        <v>Infraestructura física, mantenimiento y dotación (Sedes construidas, mantenidas reforzadas)</v>
      </c>
      <c r="U812" s="187" t="str">
        <f>CONCATENATE(S812,"-",T812)</f>
        <v>08-Infraestructura física, mantenimiento y dotación (Sedes construidas, mantenidas reforzadas)</v>
      </c>
      <c r="V812" s="51" t="s">
        <v>236</v>
      </c>
      <c r="W812" s="186" t="str">
        <f>IFERROR(VLOOKUP(V812,TD!$N$34:$O$46,2,0)," ")</f>
        <v>Estaciones de bomberos adecuadas</v>
      </c>
      <c r="X812" s="206" t="str">
        <f>CONCATENATE(V812,"_",W812)</f>
        <v>014_Estaciones de bomberos adecuadas</v>
      </c>
      <c r="Y812" s="206" t="str">
        <f>CONCATENATE(U812," ",X812)</f>
        <v>08-Infraestructura física, mantenimiento y dotación (Sedes construidas, mantenidas reforzadas) 014_Estaciones de bomberos adecuadas</v>
      </c>
      <c r="Z812" s="204" t="str">
        <f>CONCATENATE(P812,Q812,R812,S812,V812)</f>
        <v>O23011745032024025508014</v>
      </c>
      <c r="AA812" s="204" t="str">
        <f>IFERROR(VLOOKUP(Y812,TD!$K$47:$L$65,2,0)," ")</f>
        <v>PM/0131/0108/45030140255</v>
      </c>
      <c r="AB812" s="131" t="s">
        <v>1045</v>
      </c>
      <c r="AC812" s="207" t="s">
        <v>204</v>
      </c>
    </row>
    <row r="813" spans="2:29" ht="70" x14ac:dyDescent="0.35">
      <c r="B813" s="132">
        <v>20250862</v>
      </c>
      <c r="C813" s="169" t="s">
        <v>209</v>
      </c>
      <c r="D813" s="227" t="s">
        <v>166</v>
      </c>
      <c r="E813" s="205" t="s">
        <v>558</v>
      </c>
      <c r="F813" s="202" t="s">
        <v>1037</v>
      </c>
      <c r="G813" s="202" t="s">
        <v>109</v>
      </c>
      <c r="H813" s="134" t="s">
        <v>1042</v>
      </c>
      <c r="I813" s="203">
        <v>8</v>
      </c>
      <c r="J813" s="203">
        <v>2</v>
      </c>
      <c r="K813" s="135">
        <v>0</v>
      </c>
      <c r="L813" s="131">
        <f>130000000+242197</f>
        <v>130242197</v>
      </c>
      <c r="M813" s="352" t="s">
        <v>464</v>
      </c>
      <c r="N813" s="131" t="s">
        <v>95</v>
      </c>
      <c r="O813" s="51" t="s">
        <v>1043</v>
      </c>
      <c r="P813" s="204" t="str">
        <f>IFERROR(VLOOKUP(C813,TD!$B$33:$F$37,2,0)," ")</f>
        <v>O230117</v>
      </c>
      <c r="Q813" s="204" t="str">
        <f>IFERROR(VLOOKUP(C813,TD!$B$33:$F$37,3,0)," ")</f>
        <v>4503</v>
      </c>
      <c r="R813" s="204">
        <f>IFERROR(VLOOKUP(C813,TD!$B$33:$F$37,4,0)," ")</f>
        <v>20240255</v>
      </c>
      <c r="S813" s="232" t="s">
        <v>185</v>
      </c>
      <c r="T813" s="186" t="str">
        <f>IFERROR(VLOOKUP(S813,TD!$J$34:$K$44,2,0)," ")</f>
        <v>Infraestructura física, mantenimiento y dotación (Sedes construidas, mantenidas reforzadas)</v>
      </c>
      <c r="U813" s="187" t="str">
        <f>CONCATENATE(S813,"-",T813)</f>
        <v>08-Infraestructura física, mantenimiento y dotación (Sedes construidas, mantenidas reforzadas)</v>
      </c>
      <c r="V813" s="51" t="s">
        <v>236</v>
      </c>
      <c r="W813" s="186" t="str">
        <f>IFERROR(VLOOKUP(V813,TD!$N$34:$O$46,2,0)," ")</f>
        <v>Estaciones de bomberos adecuadas</v>
      </c>
      <c r="X813" s="206" t="str">
        <f>CONCATENATE(V813,"_",W813)</f>
        <v>014_Estaciones de bomberos adecuadas</v>
      </c>
      <c r="Y813" s="206" t="str">
        <f>CONCATENATE(U813," ",X813)</f>
        <v>08-Infraestructura física, mantenimiento y dotación (Sedes construidas, mantenidas reforzadas) 014_Estaciones de bomberos adecuadas</v>
      </c>
      <c r="Z813" s="204" t="str">
        <f>CONCATENATE(P813,Q813,R813,S813,V813)</f>
        <v>O23011745032024025508014</v>
      </c>
      <c r="AA813" s="204" t="str">
        <f>IFERROR(VLOOKUP(Y813,TD!$K$47:$L$65,2,0)," ")</f>
        <v>PM/0131/0108/45030140255</v>
      </c>
      <c r="AB813" s="131" t="s">
        <v>87</v>
      </c>
      <c r="AC813" s="207" t="s">
        <v>204</v>
      </c>
    </row>
    <row r="814" spans="2:29" ht="70" x14ac:dyDescent="0.35">
      <c r="B814" s="137">
        <v>20250863</v>
      </c>
      <c r="C814" s="138" t="s">
        <v>209</v>
      </c>
      <c r="D814" s="208" t="s">
        <v>166</v>
      </c>
      <c r="E814" s="209" t="s">
        <v>558</v>
      </c>
      <c r="F814" s="208" t="s">
        <v>1326</v>
      </c>
      <c r="G814" s="208" t="s">
        <v>109</v>
      </c>
      <c r="H814" s="139" t="s">
        <v>880</v>
      </c>
      <c r="I814" s="210">
        <v>10</v>
      </c>
      <c r="J814" s="210">
        <v>2</v>
      </c>
      <c r="K814" s="140">
        <v>0</v>
      </c>
      <c r="L814" s="141">
        <v>1323628779</v>
      </c>
      <c r="M814" s="158" t="s">
        <v>464</v>
      </c>
      <c r="N814" s="141" t="s">
        <v>95</v>
      </c>
      <c r="O814" s="190" t="s">
        <v>1043</v>
      </c>
      <c r="P814" s="211" t="str">
        <f>IFERROR(VLOOKUP(C814,TD!$B$33:$F$37,2,0)," ")</f>
        <v>O230117</v>
      </c>
      <c r="Q814" s="211" t="str">
        <f>IFERROR(VLOOKUP(C814,TD!$B$33:$F$37,3,0)," ")</f>
        <v>4503</v>
      </c>
      <c r="R814" s="211">
        <f>IFERROR(VLOOKUP(C814,TD!$B$33:$F$37,4,0)," ")</f>
        <v>20240255</v>
      </c>
      <c r="S814" s="190" t="s">
        <v>185</v>
      </c>
      <c r="T814" s="192" t="str">
        <f>IFERROR(VLOOKUP(S814,TD!$J$34:$K$44,2,0)," ")</f>
        <v>Infraestructura física, mantenimiento y dotación (Sedes construidas, mantenidas reforzadas)</v>
      </c>
      <c r="U814" s="187" t="str">
        <f>CONCATENATE(S814,"-",T814)</f>
        <v>08-Infraestructura física, mantenimiento y dotación (Sedes construidas, mantenidas reforzadas)</v>
      </c>
      <c r="V814" s="190" t="s">
        <v>236</v>
      </c>
      <c r="W814" s="192" t="str">
        <f>IFERROR(VLOOKUP(V814,TD!$N$34:$O$46,2,0)," ")</f>
        <v>Estaciones de bomberos adecuadas</v>
      </c>
      <c r="X814" s="206" t="str">
        <f>CONCATENATE(V814,"_",W814)</f>
        <v>014_Estaciones de bomberos adecuadas</v>
      </c>
      <c r="Y814" s="206" t="str">
        <f>CONCATENATE(U814," ",X814)</f>
        <v>08-Infraestructura física, mantenimiento y dotación (Sedes construidas, mantenidas reforzadas) 014_Estaciones de bomberos adecuadas</v>
      </c>
      <c r="Z814" s="211" t="str">
        <f>CONCATENATE(P814,Q814,R814,S814,V814)</f>
        <v>O23011745032024025508014</v>
      </c>
      <c r="AA814" s="211" t="str">
        <f>IFERROR(VLOOKUP(Y814,TD!$K$47:$L$65,2,0)," ")</f>
        <v>PM/0131/0108/45030140255</v>
      </c>
      <c r="AB814" s="141" t="s">
        <v>1047</v>
      </c>
      <c r="AC814" s="212" t="s">
        <v>204</v>
      </c>
    </row>
    <row r="815" spans="2:29" ht="70" x14ac:dyDescent="0.35">
      <c r="B815" s="132">
        <v>20250865</v>
      </c>
      <c r="C815" s="133" t="s">
        <v>208</v>
      </c>
      <c r="D815" s="227" t="s">
        <v>166</v>
      </c>
      <c r="E815" s="205" t="s">
        <v>558</v>
      </c>
      <c r="F815" s="202" t="s">
        <v>1038</v>
      </c>
      <c r="G815" s="202" t="s">
        <v>96</v>
      </c>
      <c r="H815" s="134" t="s">
        <v>630</v>
      </c>
      <c r="I815" s="203">
        <v>9</v>
      </c>
      <c r="J815" s="203">
        <v>0</v>
      </c>
      <c r="K815" s="135">
        <v>20</v>
      </c>
      <c r="L815" s="131">
        <v>94585950</v>
      </c>
      <c r="M815" s="352" t="s">
        <v>464</v>
      </c>
      <c r="N815" s="131" t="s">
        <v>90</v>
      </c>
      <c r="O815" s="51" t="s">
        <v>218</v>
      </c>
      <c r="P815" s="204" t="str">
        <f>IFERROR(VLOOKUP(C815,TD!$B$33:$F$37,2,0)," ")</f>
        <v>O230117</v>
      </c>
      <c r="Q815" s="204" t="str">
        <f>IFERROR(VLOOKUP(C815,TD!$B$33:$F$37,3,0)," ")</f>
        <v>4599</v>
      </c>
      <c r="R815" s="204">
        <f>IFERROR(VLOOKUP(C815,TD!$B$33:$F$37,4,0)," ")</f>
        <v>20240207</v>
      </c>
      <c r="S815" s="232" t="s">
        <v>185</v>
      </c>
      <c r="T815" s="186" t="str">
        <f>IFERROR(VLOOKUP(S815,TD!$J$34:$K$44,2,0)," ")</f>
        <v>Infraestructura física, mantenimiento y dotación (Sedes construidas, mantenidas reforzadas)</v>
      </c>
      <c r="U815" s="187" t="str">
        <f>CONCATENATE(S815,"-",T815)</f>
        <v>08-Infraestructura física, mantenimiento y dotación (Sedes construidas, mantenidas reforzadas)</v>
      </c>
      <c r="V815" s="51" t="s">
        <v>238</v>
      </c>
      <c r="W815" s="186" t="str">
        <f>IFERROR(VLOOKUP(V815,TD!$N$34:$O$46,2,0)," ")</f>
        <v>Sedes mantenidas</v>
      </c>
      <c r="X815" s="206" t="str">
        <f>CONCATENATE(V815,"_",W815)</f>
        <v>016_Sedes mantenidas</v>
      </c>
      <c r="Y815" s="206" t="str">
        <f>CONCATENATE(U815," ",X815)</f>
        <v>08-Infraestructura física, mantenimiento y dotación (Sedes construidas, mantenidas reforzadas) 016_Sedes mantenidas</v>
      </c>
      <c r="Z815" s="204" t="str">
        <f>CONCATENATE(P815,Q815,R815,S815,V815)</f>
        <v>O23011745992024020708016</v>
      </c>
      <c r="AA815" s="204" t="str">
        <f>IFERROR(VLOOKUP(Y815,TD!$K$47:$L$65,2,0)," ")</f>
        <v>PM/0131/0108/45990160207</v>
      </c>
      <c r="AB815" s="131" t="s">
        <v>141</v>
      </c>
      <c r="AC815" s="207" t="s">
        <v>205</v>
      </c>
    </row>
    <row r="816" spans="2:29" ht="70" x14ac:dyDescent="0.35">
      <c r="B816" s="132">
        <v>20250866</v>
      </c>
      <c r="C816" s="169" t="s">
        <v>346</v>
      </c>
      <c r="D816" s="227" t="s">
        <v>166</v>
      </c>
      <c r="E816" s="205" t="s">
        <v>558</v>
      </c>
      <c r="F816" s="202" t="s">
        <v>1038</v>
      </c>
      <c r="G816" s="202" t="s">
        <v>96</v>
      </c>
      <c r="H816" s="134" t="s">
        <v>630</v>
      </c>
      <c r="I816" s="203">
        <v>9</v>
      </c>
      <c r="J816" s="203">
        <v>0</v>
      </c>
      <c r="K816" s="135">
        <v>20</v>
      </c>
      <c r="L816" s="131">
        <v>25414050</v>
      </c>
      <c r="M816" s="142" t="s">
        <v>172</v>
      </c>
      <c r="N816" s="131" t="s">
        <v>90</v>
      </c>
      <c r="O816" s="51" t="s">
        <v>347</v>
      </c>
      <c r="P816" s="204" t="str">
        <f>IFERROR(VLOOKUP(C816,TD!$B$33:$F$37,2,0)," ")</f>
        <v>NA</v>
      </c>
      <c r="Q816" s="204" t="str">
        <f>IFERROR(VLOOKUP(C816,TD!$B$33:$F$37,3,0)," ")</f>
        <v>NA</v>
      </c>
      <c r="R816" s="204" t="str">
        <f>IFERROR(VLOOKUP(C816,TD!$B$33:$F$37,4,0)," ")</f>
        <v>NA</v>
      </c>
      <c r="S816" s="51" t="s">
        <v>406</v>
      </c>
      <c r="T816" s="186" t="str">
        <f>IFERROR(VLOOKUP(S816,TD!$J$34:$K$44,2,0)," ")</f>
        <v>N/A</v>
      </c>
      <c r="U816" s="187" t="str">
        <f>CONCATENATE(S816,"-",T816)</f>
        <v>N/A-N/A</v>
      </c>
      <c r="V816" s="51" t="s">
        <v>406</v>
      </c>
      <c r="W816" s="186" t="str">
        <f>IFERROR(VLOOKUP(V816,TD!$N$34:$O$46,2,0)," ")</f>
        <v>N/A</v>
      </c>
      <c r="X816" s="206" t="str">
        <f>CONCATENATE(V816,"_",W816)</f>
        <v>N/A_N/A</v>
      </c>
      <c r="Y816" s="206" t="str">
        <f>CONCATENATE(U816," ",X816)</f>
        <v>N/A-N/A N/A_N/A</v>
      </c>
      <c r="Z816" s="204" t="str">
        <f>CONCATENATE(P816,Q816,R816,S816,V816)</f>
        <v>NANANAN/AN/A</v>
      </c>
      <c r="AA816" s="204" t="str">
        <f>IFERROR(VLOOKUP(Y816,TD!$K$47:$L$65,2,0)," ")</f>
        <v>N/A</v>
      </c>
      <c r="AB816" s="131" t="s">
        <v>348</v>
      </c>
      <c r="AC816" s="207" t="s">
        <v>205</v>
      </c>
    </row>
    <row r="817" spans="2:29" ht="70" x14ac:dyDescent="0.35">
      <c r="B817" s="132">
        <v>20250867</v>
      </c>
      <c r="C817" s="133" t="s">
        <v>208</v>
      </c>
      <c r="D817" s="202" t="s">
        <v>36</v>
      </c>
      <c r="E817" s="205" t="s">
        <v>378</v>
      </c>
      <c r="F817" s="202" t="s">
        <v>1050</v>
      </c>
      <c r="G817" s="202" t="s">
        <v>155</v>
      </c>
      <c r="H817" s="134">
        <v>80111600</v>
      </c>
      <c r="I817" s="203">
        <v>11</v>
      </c>
      <c r="J817" s="203">
        <v>1</v>
      </c>
      <c r="K817" s="135">
        <v>0</v>
      </c>
      <c r="L817" s="131">
        <f>6575616+724384+1876759+1773241</f>
        <v>10950000</v>
      </c>
      <c r="M817" s="142" t="s">
        <v>464</v>
      </c>
      <c r="N817" s="131" t="s">
        <v>113</v>
      </c>
      <c r="O817" s="51" t="s">
        <v>211</v>
      </c>
      <c r="P817" s="204" t="str">
        <f>IFERROR(VLOOKUP(C817,TD!$B$33:$F$37,2,0)," ")</f>
        <v>O230117</v>
      </c>
      <c r="Q817" s="204" t="str">
        <f>IFERROR(VLOOKUP(C817,TD!$B$33:$F$37,3,0)," ")</f>
        <v>4599</v>
      </c>
      <c r="R817" s="204">
        <f>IFERROR(VLOOKUP(C817,TD!$B$33:$F$37,4,0)," ")</f>
        <v>20240207</v>
      </c>
      <c r="S817" s="51" t="s">
        <v>193</v>
      </c>
      <c r="T817" s="186" t="str">
        <f>IFERROR(VLOOKUP(S817,TD!$J$34:$K$44,2,0)," ")</f>
        <v>Servicios para la planeación y sistemas de gestión y comunicación estratégica</v>
      </c>
      <c r="U817" s="187" t="str">
        <f>CONCATENATE(S817,"-",T817)</f>
        <v>13-Servicios para la planeación y sistemas de gestión y comunicación estratégica</v>
      </c>
      <c r="V817" s="51" t="s">
        <v>240</v>
      </c>
      <c r="W817" s="186" t="str">
        <f>IFERROR(VLOOKUP(V817,TD!$N$34:$O$46,2,0)," ")</f>
        <v>Servicio de asistencia técnica</v>
      </c>
      <c r="X817" s="206" t="str">
        <f>CONCATENATE(V817,"_",W817)</f>
        <v>031_Servicio de asistencia técnica</v>
      </c>
      <c r="Y817" s="206" t="str">
        <f>CONCATENATE(U817," ",X817)</f>
        <v>13-Servicios para la planeación y sistemas de gestión y comunicación estratégica 031_Servicio de asistencia técnica</v>
      </c>
      <c r="Z817" s="204" t="str">
        <f>CONCATENATE(P817,Q817,R817,S817,V817)</f>
        <v>O23011745992024020713031</v>
      </c>
      <c r="AA817" s="204" t="str">
        <f>IFERROR(VLOOKUP(Y817,TD!$K$47:$L$65,2,0)," ")</f>
        <v>PM/0131/0113/45990310207</v>
      </c>
      <c r="AB817" s="131" t="s">
        <v>138</v>
      </c>
      <c r="AC817" s="207" t="s">
        <v>205</v>
      </c>
    </row>
    <row r="818" spans="2:29" ht="70" x14ac:dyDescent="0.35">
      <c r="B818" s="137">
        <v>20250868</v>
      </c>
      <c r="C818" s="138" t="s">
        <v>209</v>
      </c>
      <c r="D818" s="208" t="s">
        <v>167</v>
      </c>
      <c r="E818" s="209" t="s">
        <v>505</v>
      </c>
      <c r="F818" s="208" t="s">
        <v>1052</v>
      </c>
      <c r="G818" s="208" t="s">
        <v>156</v>
      </c>
      <c r="H818" s="139">
        <v>80111600</v>
      </c>
      <c r="I818" s="210">
        <v>9</v>
      </c>
      <c r="J818" s="210">
        <v>3</v>
      </c>
      <c r="K818" s="140">
        <v>0</v>
      </c>
      <c r="L818" s="141">
        <v>12000000</v>
      </c>
      <c r="M818" s="158" t="s">
        <v>464</v>
      </c>
      <c r="N818" s="141" t="s">
        <v>113</v>
      </c>
      <c r="O818" s="190" t="s">
        <v>221</v>
      </c>
      <c r="P818" s="211" t="str">
        <f>IFERROR(VLOOKUP(C818,TD!$B$33:$F$37,2,0)," ")</f>
        <v>O230117</v>
      </c>
      <c r="Q818" s="211" t="str">
        <f>IFERROR(VLOOKUP(C818,TD!$B$33:$F$37,3,0)," ")</f>
        <v>4503</v>
      </c>
      <c r="R818" s="211">
        <f>IFERROR(VLOOKUP(C818,TD!$B$33:$F$37,4,0)," ")</f>
        <v>20240255</v>
      </c>
      <c r="S818" s="190" t="s">
        <v>177</v>
      </c>
      <c r="T818" s="192" t="str">
        <f>IFERROR(VLOOKUP(S818,TD!$J$34:$K$44,2,0)," ")</f>
        <v>Servicio de capacitaciones en gestión del riesgo de incendios  a la ciudadania.</v>
      </c>
      <c r="U818" s="187" t="str">
        <f>CONCATENATE(S818,"-",T818)</f>
        <v>05-Servicio de capacitaciones en gestión del riesgo de incendios  a la ciudadania.</v>
      </c>
      <c r="V818" s="190" t="s">
        <v>233</v>
      </c>
      <c r="W818" s="192" t="str">
        <f>IFERROR(VLOOKUP(V818,TD!$N$34:$O$46,2,0)," ")</f>
        <v>Servicio de educación informal</v>
      </c>
      <c r="X818" s="206" t="str">
        <f>CONCATENATE(V818,"_",W818)</f>
        <v>002_Servicio de educación informal</v>
      </c>
      <c r="Y818" s="206" t="str">
        <f>CONCATENATE(U818," ",X818)</f>
        <v>05-Servicio de capacitaciones en gestión del riesgo de incendios  a la ciudadania. 002_Servicio de educación informal</v>
      </c>
      <c r="Z818" s="211" t="str">
        <f>CONCATENATE(P818,Q818,R818,S818,V818)</f>
        <v>O23011745032024025505002</v>
      </c>
      <c r="AA818" s="211" t="str">
        <f>IFERROR(VLOOKUP(Y818,TD!$K$47:$L$65,2,0)," ")</f>
        <v>PM/0131/0105/45030020255</v>
      </c>
      <c r="AB818" s="141" t="s">
        <v>138</v>
      </c>
      <c r="AC818" s="212" t="s">
        <v>205</v>
      </c>
    </row>
    <row r="819" spans="2:29" ht="98" x14ac:dyDescent="0.35">
      <c r="B819" s="137">
        <v>20250869</v>
      </c>
      <c r="C819" s="138" t="s">
        <v>209</v>
      </c>
      <c r="D819" s="208" t="s">
        <v>167</v>
      </c>
      <c r="E819" s="209" t="s">
        <v>505</v>
      </c>
      <c r="F819" s="208" t="s">
        <v>1053</v>
      </c>
      <c r="G819" s="208" t="s">
        <v>155</v>
      </c>
      <c r="H819" s="139">
        <v>80111600</v>
      </c>
      <c r="I819" s="210">
        <v>9</v>
      </c>
      <c r="J819" s="210">
        <v>3</v>
      </c>
      <c r="K819" s="140">
        <v>15</v>
      </c>
      <c r="L819" s="141">
        <v>24500000</v>
      </c>
      <c r="M819" s="158" t="s">
        <v>464</v>
      </c>
      <c r="N819" s="141" t="s">
        <v>113</v>
      </c>
      <c r="O819" s="190" t="s">
        <v>221</v>
      </c>
      <c r="P819" s="211" t="str">
        <f>IFERROR(VLOOKUP(C819,TD!$B$33:$F$37,2,0)," ")</f>
        <v>O230117</v>
      </c>
      <c r="Q819" s="211" t="str">
        <f>IFERROR(VLOOKUP(C819,TD!$B$33:$F$37,3,0)," ")</f>
        <v>4503</v>
      </c>
      <c r="R819" s="211">
        <f>IFERROR(VLOOKUP(C819,TD!$B$33:$F$37,4,0)," ")</f>
        <v>20240255</v>
      </c>
      <c r="S819" s="190" t="s">
        <v>181</v>
      </c>
      <c r="T819" s="192" t="str">
        <f>IFERROR(VLOOKUP(S819,TD!$J$34:$K$44,2,0)," ")</f>
        <v>Servicio de inspecciones técnicas realizadas</v>
      </c>
      <c r="U819" s="187" t="str">
        <f>CONCATENATE(S819,"-",T819)</f>
        <v>06-Servicio de inspecciones técnicas realizadas</v>
      </c>
      <c r="V819" s="190" t="s">
        <v>234</v>
      </c>
      <c r="W819" s="192" t="str">
        <f>IFERROR(VLOOKUP(V819,TD!$N$34:$O$46,2,0)," ")</f>
        <v>Servicio prevención y control de incendios</v>
      </c>
      <c r="X819" s="206" t="str">
        <f>CONCATENATE(V819,"_",W819)</f>
        <v>035_Servicio prevención y control de incendios</v>
      </c>
      <c r="Y819" s="206" t="str">
        <f>CONCATENATE(U819," ",X819)</f>
        <v>06-Servicio de inspecciones técnicas realizadas 035_Servicio prevención y control de incendios</v>
      </c>
      <c r="Z819" s="211" t="str">
        <f>CONCATENATE(P819,Q819,R819,S819,V819)</f>
        <v>O23011745032024025506035</v>
      </c>
      <c r="AA819" s="211" t="str">
        <f>IFERROR(VLOOKUP(Y819,TD!$K$47:$L$65,2,0)," ")</f>
        <v>PM/0131/0106/45030350255</v>
      </c>
      <c r="AB819" s="141" t="s">
        <v>138</v>
      </c>
      <c r="AC819" s="212" t="s">
        <v>205</v>
      </c>
    </row>
    <row r="820" spans="2:29" ht="56" x14ac:dyDescent="0.35">
      <c r="B820" s="137">
        <v>20250870</v>
      </c>
      <c r="C820" s="138" t="s">
        <v>209</v>
      </c>
      <c r="D820" s="208" t="s">
        <v>167</v>
      </c>
      <c r="E820" s="209" t="s">
        <v>505</v>
      </c>
      <c r="F820" s="208" t="s">
        <v>1054</v>
      </c>
      <c r="G820" s="208" t="s">
        <v>155</v>
      </c>
      <c r="H820" s="139">
        <v>80111600</v>
      </c>
      <c r="I820" s="210">
        <v>9</v>
      </c>
      <c r="J820" s="210">
        <v>3</v>
      </c>
      <c r="K820" s="140">
        <v>0</v>
      </c>
      <c r="L820" s="141">
        <v>21000000</v>
      </c>
      <c r="M820" s="158" t="s">
        <v>464</v>
      </c>
      <c r="N820" s="141" t="s">
        <v>113</v>
      </c>
      <c r="O820" s="190" t="s">
        <v>226</v>
      </c>
      <c r="P820" s="211" t="str">
        <f>IFERROR(VLOOKUP(C820,TD!$B$33:$F$37,2,0)," ")</f>
        <v>O230117</v>
      </c>
      <c r="Q820" s="211" t="str">
        <f>IFERROR(VLOOKUP(C820,TD!$B$33:$F$37,3,0)," ")</f>
        <v>4503</v>
      </c>
      <c r="R820" s="211">
        <f>IFERROR(VLOOKUP(C820,TD!$B$33:$F$37,4,0)," ")</f>
        <v>20240255</v>
      </c>
      <c r="S820" s="190" t="s">
        <v>179</v>
      </c>
      <c r="T820" s="192" t="str">
        <f>IFERROR(VLOOKUP(S820,TD!$J$34:$K$44,2,0)," ")</f>
        <v>Infraestructura Tecnológica   (Sistemas de Información y Tecnologia)</v>
      </c>
      <c r="U820" s="187" t="str">
        <f>CONCATENATE(S820,"-",T820)</f>
        <v>11-Infraestructura Tecnológica   (Sistemas de Información y Tecnologia)</v>
      </c>
      <c r="V820" s="190" t="s">
        <v>235</v>
      </c>
      <c r="W820" s="192" t="str">
        <f>IFERROR(VLOOKUP(V820,TD!$N$34:$O$46,2,0)," ")</f>
        <v>"Servicio de monitoreo y seguimiento para la gestión del riesgo"</v>
      </c>
      <c r="X820" s="206" t="str">
        <f>CONCATENATE(V820,"_",W820)</f>
        <v>018_"Servicio de monitoreo y seguimiento para la gestión del riesgo"</v>
      </c>
      <c r="Y820" s="206" t="str">
        <f>CONCATENATE(U820," ",X820)</f>
        <v>11-Infraestructura Tecnológica   (Sistemas de Información y Tecnologia) 018_"Servicio de monitoreo y seguimiento para la gestión del riesgo"</v>
      </c>
      <c r="Z820" s="211" t="str">
        <f>CONCATENATE(P820,Q820,R820,S820,V820)</f>
        <v>O23011745032024025511018</v>
      </c>
      <c r="AA820" s="211" t="str">
        <f>IFERROR(VLOOKUP(Y820,TD!$K$47:$L$65,2,0)," ")</f>
        <v>PM/0131/0111/45030180255</v>
      </c>
      <c r="AB820" s="141" t="s">
        <v>138</v>
      </c>
      <c r="AC820" s="212" t="s">
        <v>205</v>
      </c>
    </row>
    <row r="821" spans="2:29" ht="70" x14ac:dyDescent="0.35">
      <c r="B821" s="137">
        <v>20250871</v>
      </c>
      <c r="C821" s="138" t="s">
        <v>209</v>
      </c>
      <c r="D821" s="208" t="s">
        <v>167</v>
      </c>
      <c r="E821" s="209" t="s">
        <v>505</v>
      </c>
      <c r="F821" s="208" t="s">
        <v>1055</v>
      </c>
      <c r="G821" s="208" t="s">
        <v>119</v>
      </c>
      <c r="H821" s="139" t="s">
        <v>920</v>
      </c>
      <c r="I821" s="210">
        <v>8</v>
      </c>
      <c r="J821" s="210">
        <v>1</v>
      </c>
      <c r="K821" s="140">
        <v>0</v>
      </c>
      <c r="L821" s="141">
        <v>4116000</v>
      </c>
      <c r="M821" s="158" t="s">
        <v>464</v>
      </c>
      <c r="N821" s="141" t="s">
        <v>100</v>
      </c>
      <c r="O821" s="190" t="s">
        <v>221</v>
      </c>
      <c r="P821" s="211" t="str">
        <f>IFERROR(VLOOKUP(C821,TD!$B$33:$F$37,2,0)," ")</f>
        <v>O230117</v>
      </c>
      <c r="Q821" s="211" t="str">
        <f>IFERROR(VLOOKUP(C821,TD!$B$33:$F$37,3,0)," ")</f>
        <v>4503</v>
      </c>
      <c r="R821" s="211">
        <f>IFERROR(VLOOKUP(C821,TD!$B$33:$F$37,4,0)," ")</f>
        <v>20240255</v>
      </c>
      <c r="S821" s="190" t="s">
        <v>177</v>
      </c>
      <c r="T821" s="192" t="str">
        <f>IFERROR(VLOOKUP(S821,TD!$J$34:$K$44,2,0)," ")</f>
        <v>Servicio de capacitaciones en gestión del riesgo de incendios  a la ciudadania.</v>
      </c>
      <c r="U821" s="187" t="str">
        <f>CONCATENATE(S821,"-",T821)</f>
        <v>05-Servicio de capacitaciones en gestión del riesgo de incendios  a la ciudadania.</v>
      </c>
      <c r="V821" s="190" t="s">
        <v>233</v>
      </c>
      <c r="W821" s="192" t="str">
        <f>IFERROR(VLOOKUP(V821,TD!$N$34:$O$46,2,0)," ")</f>
        <v>Servicio de educación informal</v>
      </c>
      <c r="X821" s="206" t="str">
        <f>CONCATENATE(V821,"_",W821)</f>
        <v>002_Servicio de educación informal</v>
      </c>
      <c r="Y821" s="206" t="str">
        <f>CONCATENATE(U821," ",X821)</f>
        <v>05-Servicio de capacitaciones en gestión del riesgo de incendios  a la ciudadania. 002_Servicio de educación informal</v>
      </c>
      <c r="Z821" s="211" t="str">
        <f>CONCATENATE(P821,Q821,R821,S821,V821)</f>
        <v>O23011745032024025505002</v>
      </c>
      <c r="AA821" s="211" t="str">
        <f>IFERROR(VLOOKUP(Y821,TD!$K$47:$L$65,2,0)," ")</f>
        <v>PM/0131/0105/45030020255</v>
      </c>
      <c r="AB821" s="141" t="s">
        <v>138</v>
      </c>
      <c r="AC821" s="212" t="s">
        <v>205</v>
      </c>
    </row>
    <row r="822" spans="2:29" ht="70" x14ac:dyDescent="0.35">
      <c r="B822" s="137">
        <v>20250872</v>
      </c>
      <c r="C822" s="138" t="s">
        <v>209</v>
      </c>
      <c r="D822" s="208" t="s">
        <v>167</v>
      </c>
      <c r="E822" s="209" t="s">
        <v>505</v>
      </c>
      <c r="F822" s="208" t="s">
        <v>1056</v>
      </c>
      <c r="G822" s="208" t="s">
        <v>155</v>
      </c>
      <c r="H822" s="139">
        <v>80111600</v>
      </c>
      <c r="I822" s="210">
        <v>9</v>
      </c>
      <c r="J822" s="210">
        <v>3</v>
      </c>
      <c r="K822" s="140">
        <v>0</v>
      </c>
      <c r="L822" s="141">
        <v>16500000</v>
      </c>
      <c r="M822" s="158" t="s">
        <v>464</v>
      </c>
      <c r="N822" s="141" t="s">
        <v>113</v>
      </c>
      <c r="O822" s="190" t="s">
        <v>226</v>
      </c>
      <c r="P822" s="211" t="str">
        <f>IFERROR(VLOOKUP(C822,TD!$B$33:$F$37,2,0)," ")</f>
        <v>O230117</v>
      </c>
      <c r="Q822" s="211" t="str">
        <f>IFERROR(VLOOKUP(C822,TD!$B$33:$F$37,3,0)," ")</f>
        <v>4503</v>
      </c>
      <c r="R822" s="211">
        <f>IFERROR(VLOOKUP(C822,TD!$B$33:$F$37,4,0)," ")</f>
        <v>20240255</v>
      </c>
      <c r="S822" s="190" t="s">
        <v>179</v>
      </c>
      <c r="T822" s="192" t="str">
        <f>IFERROR(VLOOKUP(S822,TD!$J$34:$K$44,2,0)," ")</f>
        <v>Infraestructura Tecnológica   (Sistemas de Información y Tecnologia)</v>
      </c>
      <c r="U822" s="187" t="str">
        <f>CONCATENATE(S822,"-",T822)</f>
        <v>11-Infraestructura Tecnológica   (Sistemas de Información y Tecnologia)</v>
      </c>
      <c r="V822" s="190" t="s">
        <v>235</v>
      </c>
      <c r="W822" s="192" t="str">
        <f>IFERROR(VLOOKUP(V822,TD!$N$34:$O$46,2,0)," ")</f>
        <v>"Servicio de monitoreo y seguimiento para la gestión del riesgo"</v>
      </c>
      <c r="X822" s="206" t="str">
        <f>CONCATENATE(V822,"_",W822)</f>
        <v>018_"Servicio de monitoreo y seguimiento para la gestión del riesgo"</v>
      </c>
      <c r="Y822" s="206" t="str">
        <f>CONCATENATE(U822," ",X822)</f>
        <v>11-Infraestructura Tecnológica   (Sistemas de Información y Tecnologia) 018_"Servicio de monitoreo y seguimiento para la gestión del riesgo"</v>
      </c>
      <c r="Z822" s="211" t="str">
        <f>CONCATENATE(P822,Q822,R822,S822,V822)</f>
        <v>O23011745032024025511018</v>
      </c>
      <c r="AA822" s="211" t="str">
        <f>IFERROR(VLOOKUP(Y822,TD!$K$47:$L$65,2,0)," ")</f>
        <v>PM/0131/0111/45030180255</v>
      </c>
      <c r="AB822" s="141" t="s">
        <v>138</v>
      </c>
      <c r="AC822" s="212" t="s">
        <v>205</v>
      </c>
    </row>
    <row r="823" spans="2:29" ht="112" x14ac:dyDescent="0.35">
      <c r="B823" s="137">
        <v>20250873</v>
      </c>
      <c r="C823" s="138" t="s">
        <v>209</v>
      </c>
      <c r="D823" s="208" t="s">
        <v>167</v>
      </c>
      <c r="E823" s="209" t="s">
        <v>505</v>
      </c>
      <c r="F823" s="208" t="s">
        <v>1057</v>
      </c>
      <c r="G823" s="208" t="s">
        <v>119</v>
      </c>
      <c r="H823" s="139" t="s">
        <v>1063</v>
      </c>
      <c r="I823" s="210">
        <v>8</v>
      </c>
      <c r="J823" s="210">
        <v>1</v>
      </c>
      <c r="K823" s="140">
        <v>0</v>
      </c>
      <c r="L823" s="141">
        <v>5798860</v>
      </c>
      <c r="M823" s="158" t="s">
        <v>464</v>
      </c>
      <c r="N823" s="141" t="s">
        <v>100</v>
      </c>
      <c r="O823" s="190" t="s">
        <v>221</v>
      </c>
      <c r="P823" s="211" t="str">
        <f>IFERROR(VLOOKUP(C823,TD!$B$33:$F$37,2,0)," ")</f>
        <v>O230117</v>
      </c>
      <c r="Q823" s="211" t="str">
        <f>IFERROR(VLOOKUP(C823,TD!$B$33:$F$37,3,0)," ")</f>
        <v>4503</v>
      </c>
      <c r="R823" s="211">
        <f>IFERROR(VLOOKUP(C823,TD!$B$33:$F$37,4,0)," ")</f>
        <v>20240255</v>
      </c>
      <c r="S823" s="190" t="s">
        <v>177</v>
      </c>
      <c r="T823" s="192" t="str">
        <f>IFERROR(VLOOKUP(S823,TD!$J$34:$K$44,2,0)," ")</f>
        <v>Servicio de capacitaciones en gestión del riesgo de incendios  a la ciudadania.</v>
      </c>
      <c r="U823" s="187" t="str">
        <f>CONCATENATE(S823,"-",T823)</f>
        <v>05-Servicio de capacitaciones en gestión del riesgo de incendios  a la ciudadania.</v>
      </c>
      <c r="V823" s="190" t="s">
        <v>234</v>
      </c>
      <c r="W823" s="192" t="str">
        <f>IFERROR(VLOOKUP(V823,TD!$N$34:$O$46,2,0)," ")</f>
        <v>Servicio prevención y control de incendios</v>
      </c>
      <c r="X823" s="206" t="str">
        <f>CONCATENATE(V823,"_",W823)</f>
        <v>035_Servicio prevención y control de incendios</v>
      </c>
      <c r="Y823" s="206" t="str">
        <f>CONCATENATE(U823," ",X823)</f>
        <v>05-Servicio de capacitaciones en gestión del riesgo de incendios  a la ciudadania. 035_Servicio prevención y control de incendios</v>
      </c>
      <c r="Z823" s="211" t="str">
        <f>CONCATENATE(P823,Q823,R823,S823,V823)</f>
        <v>O23011745032024025505035</v>
      </c>
      <c r="AA823" s="211" t="str">
        <f>IFERROR(VLOOKUP(Y823,TD!$K$47:$L$65,2,0)," ")</f>
        <v>PM/0131/0105/45030350255</v>
      </c>
      <c r="AB823" s="141" t="s">
        <v>138</v>
      </c>
      <c r="AC823" s="212" t="s">
        <v>205</v>
      </c>
    </row>
    <row r="824" spans="2:29" ht="84" x14ac:dyDescent="0.35">
      <c r="B824" s="137">
        <v>20250874</v>
      </c>
      <c r="C824" s="138" t="s">
        <v>209</v>
      </c>
      <c r="D824" s="208" t="s">
        <v>167</v>
      </c>
      <c r="E824" s="209" t="s">
        <v>505</v>
      </c>
      <c r="F824" s="208" t="s">
        <v>1058</v>
      </c>
      <c r="G824" s="208" t="s">
        <v>155</v>
      </c>
      <c r="H824" s="139">
        <v>80111600</v>
      </c>
      <c r="I824" s="210">
        <v>9</v>
      </c>
      <c r="J824" s="210">
        <v>3</v>
      </c>
      <c r="K824" s="140">
        <v>0</v>
      </c>
      <c r="L824" s="141">
        <v>15000000</v>
      </c>
      <c r="M824" s="158" t="s">
        <v>464</v>
      </c>
      <c r="N824" s="141" t="s">
        <v>113</v>
      </c>
      <c r="O824" s="190" t="s">
        <v>226</v>
      </c>
      <c r="P824" s="211" t="str">
        <f>IFERROR(VLOOKUP(C824,TD!$B$33:$F$37,2,0)," ")</f>
        <v>O230117</v>
      </c>
      <c r="Q824" s="211" t="str">
        <f>IFERROR(VLOOKUP(C824,TD!$B$33:$F$37,3,0)," ")</f>
        <v>4503</v>
      </c>
      <c r="R824" s="211">
        <f>IFERROR(VLOOKUP(C824,TD!$B$33:$F$37,4,0)," ")</f>
        <v>20240255</v>
      </c>
      <c r="S824" s="190" t="s">
        <v>179</v>
      </c>
      <c r="T824" s="192" t="str">
        <f>IFERROR(VLOOKUP(S824,TD!$J$34:$K$44,2,0)," ")</f>
        <v>Infraestructura Tecnológica   (Sistemas de Información y Tecnologia)</v>
      </c>
      <c r="U824" s="187" t="str">
        <f>CONCATENATE(S824,"-",T824)</f>
        <v>11-Infraestructura Tecnológica   (Sistemas de Información y Tecnologia)</v>
      </c>
      <c r="V824" s="190" t="s">
        <v>235</v>
      </c>
      <c r="W824" s="192" t="str">
        <f>IFERROR(VLOOKUP(V824,TD!$N$34:$O$46,2,0)," ")</f>
        <v>"Servicio de monitoreo y seguimiento para la gestión del riesgo"</v>
      </c>
      <c r="X824" s="206" t="str">
        <f>CONCATENATE(V824,"_",W824)</f>
        <v>018_"Servicio de monitoreo y seguimiento para la gestión del riesgo"</v>
      </c>
      <c r="Y824" s="206" t="str">
        <f>CONCATENATE(U824," ",X824)</f>
        <v>11-Infraestructura Tecnológica   (Sistemas de Información y Tecnologia) 018_"Servicio de monitoreo y seguimiento para la gestión del riesgo"</v>
      </c>
      <c r="Z824" s="211" t="str">
        <f>CONCATENATE(P824,Q824,R824,S824,V824)</f>
        <v>O23011745032024025511018</v>
      </c>
      <c r="AA824" s="211" t="str">
        <f>IFERROR(VLOOKUP(Y824,TD!$K$47:$L$65,2,0)," ")</f>
        <v>PM/0131/0111/45030180255</v>
      </c>
      <c r="AB824" s="141" t="s">
        <v>138</v>
      </c>
      <c r="AC824" s="212" t="s">
        <v>205</v>
      </c>
    </row>
    <row r="825" spans="2:29" ht="84" x14ac:dyDescent="0.35">
      <c r="B825" s="137">
        <v>20250875</v>
      </c>
      <c r="C825" s="138" t="s">
        <v>209</v>
      </c>
      <c r="D825" s="208" t="s">
        <v>167</v>
      </c>
      <c r="E825" s="209" t="s">
        <v>505</v>
      </c>
      <c r="F825" s="208" t="s">
        <v>1059</v>
      </c>
      <c r="G825" s="208" t="s">
        <v>155</v>
      </c>
      <c r="H825" s="139">
        <v>80111600</v>
      </c>
      <c r="I825" s="210">
        <v>9</v>
      </c>
      <c r="J825" s="210">
        <v>4</v>
      </c>
      <c r="K825" s="140">
        <v>0</v>
      </c>
      <c r="L825" s="141">
        <v>31850000</v>
      </c>
      <c r="M825" s="158" t="s">
        <v>464</v>
      </c>
      <c r="N825" s="141" t="s">
        <v>113</v>
      </c>
      <c r="O825" s="190" t="s">
        <v>226</v>
      </c>
      <c r="P825" s="211" t="str">
        <f>IFERROR(VLOOKUP(C825,TD!$B$33:$F$37,2,0)," ")</f>
        <v>O230117</v>
      </c>
      <c r="Q825" s="211" t="str">
        <f>IFERROR(VLOOKUP(C825,TD!$B$33:$F$37,3,0)," ")</f>
        <v>4503</v>
      </c>
      <c r="R825" s="211">
        <f>IFERROR(VLOOKUP(C825,TD!$B$33:$F$37,4,0)," ")</f>
        <v>20240255</v>
      </c>
      <c r="S825" s="190" t="s">
        <v>179</v>
      </c>
      <c r="T825" s="192" t="str">
        <f>IFERROR(VLOOKUP(S825,TD!$J$34:$K$44,2,0)," ")</f>
        <v>Infraestructura Tecnológica   (Sistemas de Información y Tecnologia)</v>
      </c>
      <c r="U825" s="187" t="str">
        <f>CONCATENATE(S825,"-",T825)</f>
        <v>11-Infraestructura Tecnológica   (Sistemas de Información y Tecnologia)</v>
      </c>
      <c r="V825" s="190" t="s">
        <v>235</v>
      </c>
      <c r="W825" s="192" t="str">
        <f>IFERROR(VLOOKUP(V825,TD!$N$34:$O$46,2,0)," ")</f>
        <v>"Servicio de monitoreo y seguimiento para la gestión del riesgo"</v>
      </c>
      <c r="X825" s="206" t="str">
        <f>CONCATENATE(V825,"_",W825)</f>
        <v>018_"Servicio de monitoreo y seguimiento para la gestión del riesgo"</v>
      </c>
      <c r="Y825" s="206" t="str">
        <f>CONCATENATE(U825," ",X825)</f>
        <v>11-Infraestructura Tecnológica   (Sistemas de Información y Tecnologia) 018_"Servicio de monitoreo y seguimiento para la gestión del riesgo"</v>
      </c>
      <c r="Z825" s="211" t="str">
        <f>CONCATENATE(P825,Q825,R825,S825,V825)</f>
        <v>O23011745032024025511018</v>
      </c>
      <c r="AA825" s="211" t="str">
        <f>IFERROR(VLOOKUP(Y825,TD!$K$47:$L$65,2,0)," ")</f>
        <v>PM/0131/0111/45030180255</v>
      </c>
      <c r="AB825" s="141" t="s">
        <v>138</v>
      </c>
      <c r="AC825" s="212" t="s">
        <v>205</v>
      </c>
    </row>
    <row r="826" spans="2:29" ht="70" x14ac:dyDescent="0.35">
      <c r="B826" s="137">
        <v>20250876</v>
      </c>
      <c r="C826" s="138" t="s">
        <v>209</v>
      </c>
      <c r="D826" s="208" t="s">
        <v>167</v>
      </c>
      <c r="E826" s="209" t="s">
        <v>505</v>
      </c>
      <c r="F826" s="208" t="s">
        <v>1060</v>
      </c>
      <c r="G826" s="208" t="s">
        <v>155</v>
      </c>
      <c r="H826" s="139">
        <v>80111600</v>
      </c>
      <c r="I826" s="210">
        <v>9</v>
      </c>
      <c r="J826" s="210">
        <v>3</v>
      </c>
      <c r="K826" s="140">
        <v>0</v>
      </c>
      <c r="L826" s="141">
        <v>15000000</v>
      </c>
      <c r="M826" s="158" t="s">
        <v>464</v>
      </c>
      <c r="N826" s="141" t="s">
        <v>113</v>
      </c>
      <c r="O826" s="190" t="s">
        <v>221</v>
      </c>
      <c r="P826" s="211" t="str">
        <f>IFERROR(VLOOKUP(C826,TD!$B$33:$F$37,2,0)," ")</f>
        <v>O230117</v>
      </c>
      <c r="Q826" s="211" t="str">
        <f>IFERROR(VLOOKUP(C826,TD!$B$33:$F$37,3,0)," ")</f>
        <v>4503</v>
      </c>
      <c r="R826" s="211">
        <f>IFERROR(VLOOKUP(C826,TD!$B$33:$F$37,4,0)," ")</f>
        <v>20240255</v>
      </c>
      <c r="S826" s="190" t="s">
        <v>181</v>
      </c>
      <c r="T826" s="192" t="str">
        <f>IFERROR(VLOOKUP(S826,TD!$J$34:$K$44,2,0)," ")</f>
        <v>Servicio de inspecciones técnicas realizadas</v>
      </c>
      <c r="U826" s="187" t="str">
        <f>CONCATENATE(S826,"-",T826)</f>
        <v>06-Servicio de inspecciones técnicas realizadas</v>
      </c>
      <c r="V826" s="190" t="s">
        <v>234</v>
      </c>
      <c r="W826" s="192" t="str">
        <f>IFERROR(VLOOKUP(V826,TD!$N$34:$O$46,2,0)," ")</f>
        <v>Servicio prevención y control de incendios</v>
      </c>
      <c r="X826" s="206" t="str">
        <f>CONCATENATE(V826,"_",W826)</f>
        <v>035_Servicio prevención y control de incendios</v>
      </c>
      <c r="Y826" s="206" t="str">
        <f>CONCATENATE(U826," ",X826)</f>
        <v>06-Servicio de inspecciones técnicas realizadas 035_Servicio prevención y control de incendios</v>
      </c>
      <c r="Z826" s="211" t="str">
        <f>CONCATENATE(P826,Q826,R826,S826,V826)</f>
        <v>O23011745032024025506035</v>
      </c>
      <c r="AA826" s="211" t="str">
        <f>IFERROR(VLOOKUP(Y826,TD!$K$47:$L$65,2,0)," ")</f>
        <v>PM/0131/0106/45030350255</v>
      </c>
      <c r="AB826" s="141" t="s">
        <v>138</v>
      </c>
      <c r="AC826" s="212" t="s">
        <v>205</v>
      </c>
    </row>
    <row r="827" spans="2:29" ht="154" x14ac:dyDescent="0.35">
      <c r="B827" s="137">
        <v>20250877</v>
      </c>
      <c r="C827" s="138" t="s">
        <v>209</v>
      </c>
      <c r="D827" s="208" t="s">
        <v>167</v>
      </c>
      <c r="E827" s="209" t="s">
        <v>505</v>
      </c>
      <c r="F827" s="208" t="s">
        <v>1061</v>
      </c>
      <c r="G827" s="208" t="s">
        <v>155</v>
      </c>
      <c r="H827" s="139">
        <v>80111600</v>
      </c>
      <c r="I827" s="210">
        <v>9</v>
      </c>
      <c r="J827" s="210">
        <v>3</v>
      </c>
      <c r="K827" s="140">
        <v>0</v>
      </c>
      <c r="L827" s="141">
        <v>15000000</v>
      </c>
      <c r="M827" s="158" t="s">
        <v>464</v>
      </c>
      <c r="N827" s="141" t="s">
        <v>113</v>
      </c>
      <c r="O827" s="190" t="s">
        <v>221</v>
      </c>
      <c r="P827" s="211" t="str">
        <f>IFERROR(VLOOKUP(C827,TD!$B$33:$F$37,2,0)," ")</f>
        <v>O230117</v>
      </c>
      <c r="Q827" s="211" t="str">
        <f>IFERROR(VLOOKUP(C827,TD!$B$33:$F$37,3,0)," ")</f>
        <v>4503</v>
      </c>
      <c r="R827" s="211">
        <f>IFERROR(VLOOKUP(C827,TD!$B$33:$F$37,4,0)," ")</f>
        <v>20240255</v>
      </c>
      <c r="S827" s="190" t="s">
        <v>181</v>
      </c>
      <c r="T827" s="192" t="str">
        <f>IFERROR(VLOOKUP(S827,TD!$J$34:$K$44,2,0)," ")</f>
        <v>Servicio de inspecciones técnicas realizadas</v>
      </c>
      <c r="U827" s="187" t="str">
        <f>CONCATENATE(S827,"-",T827)</f>
        <v>06-Servicio de inspecciones técnicas realizadas</v>
      </c>
      <c r="V827" s="190" t="s">
        <v>234</v>
      </c>
      <c r="W827" s="192" t="str">
        <f>IFERROR(VLOOKUP(V827,TD!$N$34:$O$46,2,0)," ")</f>
        <v>Servicio prevención y control de incendios</v>
      </c>
      <c r="X827" s="206" t="str">
        <f>CONCATENATE(V827,"_",W827)</f>
        <v>035_Servicio prevención y control de incendios</v>
      </c>
      <c r="Y827" s="206" t="str">
        <f>CONCATENATE(U827," ",X827)</f>
        <v>06-Servicio de inspecciones técnicas realizadas 035_Servicio prevención y control de incendios</v>
      </c>
      <c r="Z827" s="211" t="str">
        <f>CONCATENATE(P827,Q827,R827,S827,V827)</f>
        <v>O23011745032024025506035</v>
      </c>
      <c r="AA827" s="211" t="str">
        <f>IFERROR(VLOOKUP(Y827,TD!$K$47:$L$65,2,0)," ")</f>
        <v>PM/0131/0106/45030350255</v>
      </c>
      <c r="AB827" s="141" t="s">
        <v>138</v>
      </c>
      <c r="AC827" s="212" t="s">
        <v>205</v>
      </c>
    </row>
    <row r="828" spans="2:29" ht="70" x14ac:dyDescent="0.35">
      <c r="B828" s="137">
        <v>20250878</v>
      </c>
      <c r="C828" s="138" t="s">
        <v>209</v>
      </c>
      <c r="D828" s="208" t="s">
        <v>167</v>
      </c>
      <c r="E828" s="209" t="s">
        <v>505</v>
      </c>
      <c r="F828" s="208" t="s">
        <v>1062</v>
      </c>
      <c r="G828" s="208" t="s">
        <v>155</v>
      </c>
      <c r="H828" s="139">
        <v>80111600</v>
      </c>
      <c r="I828" s="210">
        <v>9</v>
      </c>
      <c r="J828" s="210">
        <v>3</v>
      </c>
      <c r="K828" s="140">
        <v>0</v>
      </c>
      <c r="L828" s="141">
        <v>15000000</v>
      </c>
      <c r="M828" s="158" t="s">
        <v>464</v>
      </c>
      <c r="N828" s="141" t="s">
        <v>113</v>
      </c>
      <c r="O828" s="190" t="s">
        <v>221</v>
      </c>
      <c r="P828" s="211" t="str">
        <f>IFERROR(VLOOKUP(C828,TD!$B$33:$F$37,2,0)," ")</f>
        <v>O230117</v>
      </c>
      <c r="Q828" s="211" t="str">
        <f>IFERROR(VLOOKUP(C828,TD!$B$33:$F$37,3,0)," ")</f>
        <v>4503</v>
      </c>
      <c r="R828" s="211">
        <f>IFERROR(VLOOKUP(C828,TD!$B$33:$F$37,4,0)," ")</f>
        <v>20240255</v>
      </c>
      <c r="S828" s="190" t="s">
        <v>177</v>
      </c>
      <c r="T828" s="192" t="str">
        <f>IFERROR(VLOOKUP(S828,TD!$J$34:$K$44,2,0)," ")</f>
        <v>Servicio de capacitaciones en gestión del riesgo de incendios  a la ciudadania.</v>
      </c>
      <c r="U828" s="187" t="str">
        <f>CONCATENATE(S828,"-",T828)</f>
        <v>05-Servicio de capacitaciones en gestión del riesgo de incendios  a la ciudadania.</v>
      </c>
      <c r="V828" s="190" t="s">
        <v>234</v>
      </c>
      <c r="W828" s="192" t="str">
        <f>IFERROR(VLOOKUP(V828,TD!$N$34:$O$46,2,0)," ")</f>
        <v>Servicio prevención y control de incendios</v>
      </c>
      <c r="X828" s="206" t="str">
        <f>CONCATENATE(V828,"_",W828)</f>
        <v>035_Servicio prevención y control de incendios</v>
      </c>
      <c r="Y828" s="206" t="str">
        <f>CONCATENATE(U828," ",X828)</f>
        <v>05-Servicio de capacitaciones en gestión del riesgo de incendios  a la ciudadania. 035_Servicio prevención y control de incendios</v>
      </c>
      <c r="Z828" s="211" t="str">
        <f>CONCATENATE(P828,Q828,R828,S828,V828)</f>
        <v>O23011745032024025505035</v>
      </c>
      <c r="AA828" s="211" t="str">
        <f>IFERROR(VLOOKUP(Y828,TD!$K$47:$L$65,2,0)," ")</f>
        <v>PM/0131/0105/45030350255</v>
      </c>
      <c r="AB828" s="141" t="s">
        <v>138</v>
      </c>
      <c r="AC828" s="212" t="s">
        <v>205</v>
      </c>
    </row>
    <row r="829" spans="2:29" ht="84" x14ac:dyDescent="0.35">
      <c r="B829" s="132">
        <v>20250879</v>
      </c>
      <c r="C829" s="133" t="s">
        <v>209</v>
      </c>
      <c r="D829" s="202" t="s">
        <v>169</v>
      </c>
      <c r="E829" s="205" t="s">
        <v>465</v>
      </c>
      <c r="F829" s="202" t="s">
        <v>1138</v>
      </c>
      <c r="G829" s="202" t="s">
        <v>156</v>
      </c>
      <c r="H829" s="134">
        <v>80111600</v>
      </c>
      <c r="I829" s="203">
        <v>9</v>
      </c>
      <c r="J829" s="203">
        <v>3</v>
      </c>
      <c r="K829" s="135">
        <v>15</v>
      </c>
      <c r="L829" s="131">
        <v>10150000</v>
      </c>
      <c r="M829" s="142" t="s">
        <v>464</v>
      </c>
      <c r="N829" s="131" t="s">
        <v>113</v>
      </c>
      <c r="O829" s="51" t="s">
        <v>222</v>
      </c>
      <c r="P829" s="204" t="str">
        <f>IFERROR(VLOOKUP(C829,TD!$B$33:$F$37,2,0)," ")</f>
        <v>O230117</v>
      </c>
      <c r="Q829" s="204" t="str">
        <f>IFERROR(VLOOKUP(C829,TD!$B$33:$F$37,3,0)," ")</f>
        <v>4503</v>
      </c>
      <c r="R829" s="204">
        <f>IFERROR(VLOOKUP(C829,TD!$B$33:$F$37,4,0)," ")</f>
        <v>20240255</v>
      </c>
      <c r="S829" s="51" t="s">
        <v>175</v>
      </c>
      <c r="T829" s="186" t="str">
        <f>IFERROR(VLOOKUP(S829,TD!$J$34:$K$44,2,0)," ")</f>
        <v>Servicio de atención a incidentes y emergencias.</v>
      </c>
      <c r="U829" s="187" t="str">
        <f>CONCATENATE(S829,"-",T829)</f>
        <v>04-Servicio de atención a incidentes y emergencias.</v>
      </c>
      <c r="V829" s="51" t="s">
        <v>232</v>
      </c>
      <c r="W829" s="186" t="str">
        <f>IFERROR(VLOOKUP(V829,TD!$N$34:$O$46,2,0)," ")</f>
        <v>Servicio de atención a emergencias y desastres</v>
      </c>
      <c r="X829" s="206" t="str">
        <f>CONCATENATE(V829,"_",W829)</f>
        <v>004_Servicio de atención a emergencias y desastres</v>
      </c>
      <c r="Y829" s="206" t="str">
        <f>CONCATENATE(U829," ",X829)</f>
        <v>04-Servicio de atención a incidentes y emergencias. 004_Servicio de atención a emergencias y desastres</v>
      </c>
      <c r="Z829" s="204" t="str">
        <f>CONCATENATE(P829,Q829,R829,S829,V829)</f>
        <v>O23011745032024025504004</v>
      </c>
      <c r="AA829" s="204" t="str">
        <f>IFERROR(VLOOKUP(Y829,TD!$K$47:$L$65,2,0)," ")</f>
        <v>PM/0131/0104/45030040255</v>
      </c>
      <c r="AB829" s="131" t="s">
        <v>138</v>
      </c>
      <c r="AC829" s="207" t="s">
        <v>204</v>
      </c>
    </row>
    <row r="830" spans="2:29" ht="56" x14ac:dyDescent="0.35">
      <c r="B830" s="132">
        <v>20250880</v>
      </c>
      <c r="C830" s="133" t="s">
        <v>209</v>
      </c>
      <c r="D830" s="202" t="s">
        <v>169</v>
      </c>
      <c r="E830" s="205" t="s">
        <v>465</v>
      </c>
      <c r="F830" s="202" t="s">
        <v>1138</v>
      </c>
      <c r="G830" s="202" t="s">
        <v>156</v>
      </c>
      <c r="H830" s="134">
        <v>80111600</v>
      </c>
      <c r="I830" s="203">
        <v>9</v>
      </c>
      <c r="J830" s="203">
        <v>3</v>
      </c>
      <c r="K830" s="135">
        <v>15</v>
      </c>
      <c r="L830" s="131">
        <v>10150000</v>
      </c>
      <c r="M830" s="142" t="s">
        <v>464</v>
      </c>
      <c r="N830" s="131" t="s">
        <v>113</v>
      </c>
      <c r="O830" s="51" t="s">
        <v>222</v>
      </c>
      <c r="P830" s="204" t="str">
        <f>IFERROR(VLOOKUP(C830,TD!$B$33:$F$37,2,0)," ")</f>
        <v>O230117</v>
      </c>
      <c r="Q830" s="204" t="str">
        <f>IFERROR(VLOOKUP(C830,TD!$B$33:$F$37,3,0)," ")</f>
        <v>4503</v>
      </c>
      <c r="R830" s="204">
        <f>IFERROR(VLOOKUP(C830,TD!$B$33:$F$37,4,0)," ")</f>
        <v>20240255</v>
      </c>
      <c r="S830" s="51" t="s">
        <v>175</v>
      </c>
      <c r="T830" s="186" t="str">
        <f>IFERROR(VLOOKUP(S830,TD!$J$34:$K$44,2,0)," ")</f>
        <v>Servicio de atención a incidentes y emergencias.</v>
      </c>
      <c r="U830" s="187" t="str">
        <f>CONCATENATE(S830,"-",T830)</f>
        <v>04-Servicio de atención a incidentes y emergencias.</v>
      </c>
      <c r="V830" s="51" t="s">
        <v>232</v>
      </c>
      <c r="W830" s="186" t="str">
        <f>IFERROR(VLOOKUP(V830,TD!$N$34:$O$46,2,0)," ")</f>
        <v>Servicio de atención a emergencias y desastres</v>
      </c>
      <c r="X830" s="206" t="str">
        <f>CONCATENATE(V830,"_",W830)</f>
        <v>004_Servicio de atención a emergencias y desastres</v>
      </c>
      <c r="Y830" s="206" t="str">
        <f>CONCATENATE(U830," ",X830)</f>
        <v>04-Servicio de atención a incidentes y emergencias. 004_Servicio de atención a emergencias y desastres</v>
      </c>
      <c r="Z830" s="204" t="str">
        <f>CONCATENATE(P830,Q830,R830,S830,V830)</f>
        <v>O23011745032024025504004</v>
      </c>
      <c r="AA830" s="204" t="str">
        <f>IFERROR(VLOOKUP(Y830,TD!$K$47:$L$65,2,0)," ")</f>
        <v>PM/0131/0104/45030040255</v>
      </c>
      <c r="AB830" s="131" t="s">
        <v>138</v>
      </c>
      <c r="AC830" s="207" t="s">
        <v>204</v>
      </c>
    </row>
    <row r="831" spans="2:29" ht="56" x14ac:dyDescent="0.35">
      <c r="B831" s="132">
        <v>20250881</v>
      </c>
      <c r="C831" s="133" t="s">
        <v>209</v>
      </c>
      <c r="D831" s="202" t="s">
        <v>169</v>
      </c>
      <c r="E831" s="205" t="s">
        <v>465</v>
      </c>
      <c r="F831" s="202" t="s">
        <v>1139</v>
      </c>
      <c r="G831" s="202" t="s">
        <v>156</v>
      </c>
      <c r="H831" s="134">
        <v>80111600</v>
      </c>
      <c r="I831" s="203">
        <v>9</v>
      </c>
      <c r="J831" s="203">
        <v>3</v>
      </c>
      <c r="K831" s="135">
        <v>15</v>
      </c>
      <c r="L831" s="131">
        <v>10500000</v>
      </c>
      <c r="M831" s="142" t="s">
        <v>464</v>
      </c>
      <c r="N831" s="131" t="s">
        <v>113</v>
      </c>
      <c r="O831" s="51" t="s">
        <v>222</v>
      </c>
      <c r="P831" s="204" t="str">
        <f>IFERROR(VLOOKUP(C831,TD!$B$33:$F$37,2,0)," ")</f>
        <v>O230117</v>
      </c>
      <c r="Q831" s="204" t="str">
        <f>IFERROR(VLOOKUP(C831,TD!$B$33:$F$37,3,0)," ")</f>
        <v>4503</v>
      </c>
      <c r="R831" s="204">
        <f>IFERROR(VLOOKUP(C831,TD!$B$33:$F$37,4,0)," ")</f>
        <v>20240255</v>
      </c>
      <c r="S831" s="51" t="s">
        <v>175</v>
      </c>
      <c r="T831" s="186" t="str">
        <f>IFERROR(VLOOKUP(S831,TD!$J$34:$K$44,2,0)," ")</f>
        <v>Servicio de atención a incidentes y emergencias.</v>
      </c>
      <c r="U831" s="187" t="str">
        <f>CONCATENATE(S831,"-",T831)</f>
        <v>04-Servicio de atención a incidentes y emergencias.</v>
      </c>
      <c r="V831" s="51" t="s">
        <v>232</v>
      </c>
      <c r="W831" s="186" t="str">
        <f>IFERROR(VLOOKUP(V831,TD!$N$34:$O$46,2,0)," ")</f>
        <v>Servicio de atención a emergencias y desastres</v>
      </c>
      <c r="X831" s="206" t="str">
        <f>CONCATENATE(V831,"_",W831)</f>
        <v>004_Servicio de atención a emergencias y desastres</v>
      </c>
      <c r="Y831" s="206" t="str">
        <f>CONCATENATE(U831," ",X831)</f>
        <v>04-Servicio de atención a incidentes y emergencias. 004_Servicio de atención a emergencias y desastres</v>
      </c>
      <c r="Z831" s="204" t="str">
        <f>CONCATENATE(P831,Q831,R831,S831,V831)</f>
        <v>O23011745032024025504004</v>
      </c>
      <c r="AA831" s="204" t="str">
        <f>IFERROR(VLOOKUP(Y831,TD!$K$47:$L$65,2,0)," ")</f>
        <v>PM/0131/0104/45030040255</v>
      </c>
      <c r="AB831" s="131" t="s">
        <v>138</v>
      </c>
      <c r="AC831" s="207" t="s">
        <v>204</v>
      </c>
    </row>
    <row r="832" spans="2:29" ht="56" x14ac:dyDescent="0.35">
      <c r="B832" s="132">
        <v>20250882</v>
      </c>
      <c r="C832" s="133" t="s">
        <v>209</v>
      </c>
      <c r="D832" s="202" t="s">
        <v>169</v>
      </c>
      <c r="E832" s="205" t="s">
        <v>465</v>
      </c>
      <c r="F832" s="202" t="s">
        <v>1138</v>
      </c>
      <c r="G832" s="202" t="s">
        <v>156</v>
      </c>
      <c r="H832" s="134">
        <v>80111600</v>
      </c>
      <c r="I832" s="203">
        <v>9</v>
      </c>
      <c r="J832" s="203">
        <v>3</v>
      </c>
      <c r="K832" s="135">
        <v>0</v>
      </c>
      <c r="L832" s="131">
        <v>8700000</v>
      </c>
      <c r="M832" s="142" t="s">
        <v>464</v>
      </c>
      <c r="N832" s="131" t="s">
        <v>113</v>
      </c>
      <c r="O832" s="51" t="s">
        <v>222</v>
      </c>
      <c r="P832" s="204" t="str">
        <f>IFERROR(VLOOKUP(C832,TD!$B$33:$F$37,2,0)," ")</f>
        <v>O230117</v>
      </c>
      <c r="Q832" s="204" t="str">
        <f>IFERROR(VLOOKUP(C832,TD!$B$33:$F$37,3,0)," ")</f>
        <v>4503</v>
      </c>
      <c r="R832" s="204">
        <f>IFERROR(VLOOKUP(C832,TD!$B$33:$F$37,4,0)," ")</f>
        <v>20240255</v>
      </c>
      <c r="S832" s="51" t="s">
        <v>175</v>
      </c>
      <c r="T832" s="186" t="str">
        <f>IFERROR(VLOOKUP(S832,TD!$J$34:$K$44,2,0)," ")</f>
        <v>Servicio de atención a incidentes y emergencias.</v>
      </c>
      <c r="U832" s="187" t="str">
        <f>CONCATENATE(S832,"-",T832)</f>
        <v>04-Servicio de atención a incidentes y emergencias.</v>
      </c>
      <c r="V832" s="51" t="s">
        <v>232</v>
      </c>
      <c r="W832" s="186" t="str">
        <f>IFERROR(VLOOKUP(V832,TD!$N$34:$O$46,2,0)," ")</f>
        <v>Servicio de atención a emergencias y desastres</v>
      </c>
      <c r="X832" s="206" t="str">
        <f>CONCATENATE(V832,"_",W832)</f>
        <v>004_Servicio de atención a emergencias y desastres</v>
      </c>
      <c r="Y832" s="206" t="str">
        <f>CONCATENATE(U832," ",X832)</f>
        <v>04-Servicio de atención a incidentes y emergencias. 004_Servicio de atención a emergencias y desastres</v>
      </c>
      <c r="Z832" s="204" t="str">
        <f>CONCATENATE(P832,Q832,R832,S832,V832)</f>
        <v>O23011745032024025504004</v>
      </c>
      <c r="AA832" s="204" t="str">
        <f>IFERROR(VLOOKUP(Y832,TD!$K$47:$L$65,2,0)," ")</f>
        <v>PM/0131/0104/45030040255</v>
      </c>
      <c r="AB832" s="131" t="s">
        <v>138</v>
      </c>
      <c r="AC832" s="207" t="s">
        <v>204</v>
      </c>
    </row>
    <row r="833" spans="2:29" ht="56" x14ac:dyDescent="0.35">
      <c r="B833" s="132">
        <v>20250883</v>
      </c>
      <c r="C833" s="133" t="s">
        <v>209</v>
      </c>
      <c r="D833" s="202" t="s">
        <v>169</v>
      </c>
      <c r="E833" s="205" t="s">
        <v>465</v>
      </c>
      <c r="F833" s="202" t="s">
        <v>1139</v>
      </c>
      <c r="G833" s="202" t="s">
        <v>156</v>
      </c>
      <c r="H833" s="134">
        <v>80111600</v>
      </c>
      <c r="I833" s="203">
        <v>9</v>
      </c>
      <c r="J833" s="203">
        <v>3</v>
      </c>
      <c r="K833" s="135">
        <v>0</v>
      </c>
      <c r="L833" s="131">
        <v>9000000</v>
      </c>
      <c r="M833" s="142" t="s">
        <v>464</v>
      </c>
      <c r="N833" s="131" t="s">
        <v>113</v>
      </c>
      <c r="O833" s="51" t="s">
        <v>222</v>
      </c>
      <c r="P833" s="204" t="str">
        <f>IFERROR(VLOOKUP(C833,TD!$B$33:$F$37,2,0)," ")</f>
        <v>O230117</v>
      </c>
      <c r="Q833" s="204" t="str">
        <f>IFERROR(VLOOKUP(C833,TD!$B$33:$F$37,3,0)," ")</f>
        <v>4503</v>
      </c>
      <c r="R833" s="204">
        <f>IFERROR(VLOOKUP(C833,TD!$B$33:$F$37,4,0)," ")</f>
        <v>20240255</v>
      </c>
      <c r="S833" s="51" t="s">
        <v>175</v>
      </c>
      <c r="T833" s="186" t="str">
        <f>IFERROR(VLOOKUP(S833,TD!$J$34:$K$44,2,0)," ")</f>
        <v>Servicio de atención a incidentes y emergencias.</v>
      </c>
      <c r="U833" s="187" t="str">
        <f>CONCATENATE(S833,"-",T833)</f>
        <v>04-Servicio de atención a incidentes y emergencias.</v>
      </c>
      <c r="V833" s="51" t="s">
        <v>232</v>
      </c>
      <c r="W833" s="186" t="str">
        <f>IFERROR(VLOOKUP(V833,TD!$N$34:$O$46,2,0)," ")</f>
        <v>Servicio de atención a emergencias y desastres</v>
      </c>
      <c r="X833" s="206" t="str">
        <f>CONCATENATE(V833,"_",W833)</f>
        <v>004_Servicio de atención a emergencias y desastres</v>
      </c>
      <c r="Y833" s="206" t="str">
        <f>CONCATENATE(U833," ",X833)</f>
        <v>04-Servicio de atención a incidentes y emergencias. 004_Servicio de atención a emergencias y desastres</v>
      </c>
      <c r="Z833" s="204" t="str">
        <f>CONCATENATE(P833,Q833,R833,S833,V833)</f>
        <v>O23011745032024025504004</v>
      </c>
      <c r="AA833" s="204" t="str">
        <f>IFERROR(VLOOKUP(Y833,TD!$K$47:$L$65,2,0)," ")</f>
        <v>PM/0131/0104/45030040255</v>
      </c>
      <c r="AB833" s="131" t="s">
        <v>138</v>
      </c>
      <c r="AC833" s="207" t="s">
        <v>204</v>
      </c>
    </row>
    <row r="834" spans="2:29" ht="56" x14ac:dyDescent="0.35">
      <c r="B834" s="132">
        <v>20250884</v>
      </c>
      <c r="C834" s="133" t="s">
        <v>209</v>
      </c>
      <c r="D834" s="202" t="s">
        <v>169</v>
      </c>
      <c r="E834" s="205" t="s">
        <v>465</v>
      </c>
      <c r="F834" s="202" t="s">
        <v>1139</v>
      </c>
      <c r="G834" s="202" t="s">
        <v>156</v>
      </c>
      <c r="H834" s="134">
        <v>80111600</v>
      </c>
      <c r="I834" s="203">
        <v>9</v>
      </c>
      <c r="J834" s="203">
        <v>3</v>
      </c>
      <c r="K834" s="135">
        <v>0</v>
      </c>
      <c r="L834" s="131">
        <v>9000000</v>
      </c>
      <c r="M834" s="142" t="s">
        <v>464</v>
      </c>
      <c r="N834" s="131" t="s">
        <v>113</v>
      </c>
      <c r="O834" s="51" t="s">
        <v>222</v>
      </c>
      <c r="P834" s="204" t="str">
        <f>IFERROR(VLOOKUP(C834,TD!$B$33:$F$37,2,0)," ")</f>
        <v>O230117</v>
      </c>
      <c r="Q834" s="204" t="str">
        <f>IFERROR(VLOOKUP(C834,TD!$B$33:$F$37,3,0)," ")</f>
        <v>4503</v>
      </c>
      <c r="R834" s="204">
        <f>IFERROR(VLOOKUP(C834,TD!$B$33:$F$37,4,0)," ")</f>
        <v>20240255</v>
      </c>
      <c r="S834" s="51" t="s">
        <v>175</v>
      </c>
      <c r="T834" s="186" t="str">
        <f>IFERROR(VLOOKUP(S834,TD!$J$34:$K$44,2,0)," ")</f>
        <v>Servicio de atención a incidentes y emergencias.</v>
      </c>
      <c r="U834" s="187" t="str">
        <f>CONCATENATE(S834,"-",T834)</f>
        <v>04-Servicio de atención a incidentes y emergencias.</v>
      </c>
      <c r="V834" s="51" t="s">
        <v>232</v>
      </c>
      <c r="W834" s="186" t="str">
        <f>IFERROR(VLOOKUP(V834,TD!$N$34:$O$46,2,0)," ")</f>
        <v>Servicio de atención a emergencias y desastres</v>
      </c>
      <c r="X834" s="206" t="str">
        <f>CONCATENATE(V834,"_",W834)</f>
        <v>004_Servicio de atención a emergencias y desastres</v>
      </c>
      <c r="Y834" s="206" t="str">
        <f>CONCATENATE(U834," ",X834)</f>
        <v>04-Servicio de atención a incidentes y emergencias. 004_Servicio de atención a emergencias y desastres</v>
      </c>
      <c r="Z834" s="204" t="str">
        <f>CONCATENATE(P834,Q834,R834,S834,V834)</f>
        <v>O23011745032024025504004</v>
      </c>
      <c r="AA834" s="204" t="str">
        <f>IFERROR(VLOOKUP(Y834,TD!$K$47:$L$65,2,0)," ")</f>
        <v>PM/0131/0104/45030040255</v>
      </c>
      <c r="AB834" s="131" t="s">
        <v>138</v>
      </c>
      <c r="AC834" s="207" t="s">
        <v>204</v>
      </c>
    </row>
    <row r="835" spans="2:29" ht="56" x14ac:dyDescent="0.35">
      <c r="B835" s="132">
        <v>20250885</v>
      </c>
      <c r="C835" s="133" t="s">
        <v>209</v>
      </c>
      <c r="D835" s="202" t="s">
        <v>169</v>
      </c>
      <c r="E835" s="205" t="s">
        <v>465</v>
      </c>
      <c r="F835" s="202" t="s">
        <v>1140</v>
      </c>
      <c r="G835" s="202" t="s">
        <v>155</v>
      </c>
      <c r="H835" s="134">
        <v>80111600</v>
      </c>
      <c r="I835" s="203">
        <v>9</v>
      </c>
      <c r="J835" s="203">
        <v>3</v>
      </c>
      <c r="K835" s="135">
        <v>0</v>
      </c>
      <c r="L835" s="131">
        <v>21000000</v>
      </c>
      <c r="M835" s="142" t="s">
        <v>464</v>
      </c>
      <c r="N835" s="131" t="s">
        <v>113</v>
      </c>
      <c r="O835" s="51" t="s">
        <v>222</v>
      </c>
      <c r="P835" s="204" t="str">
        <f>IFERROR(VLOOKUP(C835,TD!$B$33:$F$37,2,0)," ")</f>
        <v>O230117</v>
      </c>
      <c r="Q835" s="204" t="str">
        <f>IFERROR(VLOOKUP(C835,TD!$B$33:$F$37,3,0)," ")</f>
        <v>4503</v>
      </c>
      <c r="R835" s="204">
        <f>IFERROR(VLOOKUP(C835,TD!$B$33:$F$37,4,0)," ")</f>
        <v>20240255</v>
      </c>
      <c r="S835" s="51" t="s">
        <v>175</v>
      </c>
      <c r="T835" s="186" t="str">
        <f>IFERROR(VLOOKUP(S835,TD!$J$34:$K$44,2,0)," ")</f>
        <v>Servicio de atención a incidentes y emergencias.</v>
      </c>
      <c r="U835" s="187" t="str">
        <f>CONCATENATE(S835,"-",T835)</f>
        <v>04-Servicio de atención a incidentes y emergencias.</v>
      </c>
      <c r="V835" s="51" t="s">
        <v>232</v>
      </c>
      <c r="W835" s="186" t="str">
        <f>IFERROR(VLOOKUP(V835,TD!$N$34:$O$46,2,0)," ")</f>
        <v>Servicio de atención a emergencias y desastres</v>
      </c>
      <c r="X835" s="206" t="str">
        <f>CONCATENATE(V835,"_",W835)</f>
        <v>004_Servicio de atención a emergencias y desastres</v>
      </c>
      <c r="Y835" s="206" t="str">
        <f>CONCATENATE(U835," ",X835)</f>
        <v>04-Servicio de atención a incidentes y emergencias. 004_Servicio de atención a emergencias y desastres</v>
      </c>
      <c r="Z835" s="204" t="str">
        <f>CONCATENATE(P835,Q835,R835,S835,V835)</f>
        <v>O23011745032024025504004</v>
      </c>
      <c r="AA835" s="204" t="str">
        <f>IFERROR(VLOOKUP(Y835,TD!$K$47:$L$65,2,0)," ")</f>
        <v>PM/0131/0104/45030040255</v>
      </c>
      <c r="AB835" s="131" t="s">
        <v>138</v>
      </c>
      <c r="AC835" s="207" t="s">
        <v>204</v>
      </c>
    </row>
    <row r="836" spans="2:29" ht="56" x14ac:dyDescent="0.35">
      <c r="B836" s="137">
        <v>20250886</v>
      </c>
      <c r="C836" s="138" t="s">
        <v>209</v>
      </c>
      <c r="D836" s="208" t="s">
        <v>169</v>
      </c>
      <c r="E836" s="209" t="s">
        <v>465</v>
      </c>
      <c r="F836" s="208" t="s">
        <v>1066</v>
      </c>
      <c r="G836" s="208" t="s">
        <v>156</v>
      </c>
      <c r="H836" s="139">
        <v>80111600</v>
      </c>
      <c r="I836" s="210">
        <v>10</v>
      </c>
      <c r="J836" s="210">
        <v>2</v>
      </c>
      <c r="K836" s="140">
        <v>15</v>
      </c>
      <c r="L836" s="141">
        <v>7250000</v>
      </c>
      <c r="M836" s="158" t="s">
        <v>464</v>
      </c>
      <c r="N836" s="141" t="s">
        <v>113</v>
      </c>
      <c r="O836" s="190" t="s">
        <v>222</v>
      </c>
      <c r="P836" s="211" t="str">
        <f>IFERROR(VLOOKUP(C836,TD!$B$33:$F$37,2,0)," ")</f>
        <v>O230117</v>
      </c>
      <c r="Q836" s="211" t="str">
        <f>IFERROR(VLOOKUP(C836,TD!$B$33:$F$37,3,0)," ")</f>
        <v>4503</v>
      </c>
      <c r="R836" s="211">
        <f>IFERROR(VLOOKUP(C836,TD!$B$33:$F$37,4,0)," ")</f>
        <v>20240255</v>
      </c>
      <c r="S836" s="190" t="s">
        <v>175</v>
      </c>
      <c r="T836" s="192" t="str">
        <f>IFERROR(VLOOKUP(S836,TD!$J$34:$K$44,2,0)," ")</f>
        <v>Servicio de atención a incidentes y emergencias.</v>
      </c>
      <c r="U836" s="190" t="str">
        <f>CONCATENATE(S836,"-",T836)</f>
        <v>04-Servicio de atención a incidentes y emergencias.</v>
      </c>
      <c r="V836" s="190" t="s">
        <v>232</v>
      </c>
      <c r="W836" s="192" t="str">
        <f>IFERROR(VLOOKUP(V836,TD!$N$34:$O$46,2,0)," ")</f>
        <v>Servicio de atención a emergencias y desastres</v>
      </c>
      <c r="X836" s="209" t="str">
        <f>CONCATENATE(V836,"_",W836)</f>
        <v>004_Servicio de atención a emergencias y desastres</v>
      </c>
      <c r="Y836" s="209" t="str">
        <f>CONCATENATE(U836," ",X836)</f>
        <v>04-Servicio de atención a incidentes y emergencias. 004_Servicio de atención a emergencias y desastres</v>
      </c>
      <c r="Z836" s="211" t="str">
        <f>CONCATENATE(P836,Q836,R836,S836,V836)</f>
        <v>O23011745032024025504004</v>
      </c>
      <c r="AA836" s="211" t="str">
        <f>IFERROR(VLOOKUP(Y836,TD!$K$47:$L$65,2,0)," ")</f>
        <v>PM/0131/0104/45030040255</v>
      </c>
      <c r="AB836" s="141" t="s">
        <v>138</v>
      </c>
      <c r="AC836" s="212" t="s">
        <v>205</v>
      </c>
    </row>
    <row r="837" spans="2:29" ht="56" x14ac:dyDescent="0.35">
      <c r="B837" s="137">
        <v>20250887</v>
      </c>
      <c r="C837" s="138" t="s">
        <v>209</v>
      </c>
      <c r="D837" s="208" t="s">
        <v>169</v>
      </c>
      <c r="E837" s="209" t="s">
        <v>465</v>
      </c>
      <c r="F837" s="189" t="s">
        <v>1067</v>
      </c>
      <c r="G837" s="189" t="s">
        <v>156</v>
      </c>
      <c r="H837" s="130">
        <v>80111600</v>
      </c>
      <c r="I837" s="191">
        <v>10</v>
      </c>
      <c r="J837" s="191">
        <v>2</v>
      </c>
      <c r="K837" s="126">
        <v>15</v>
      </c>
      <c r="L837" s="125">
        <v>7250000</v>
      </c>
      <c r="M837" s="158" t="s">
        <v>464</v>
      </c>
      <c r="N837" s="141" t="s">
        <v>113</v>
      </c>
      <c r="O837" s="190" t="s">
        <v>222</v>
      </c>
      <c r="P837" s="192" t="str">
        <f>IFERROR(VLOOKUP(C837,TD!$B$33:$F$37,2,0)," ")</f>
        <v>O230117</v>
      </c>
      <c r="Q837" s="192" t="str">
        <f>IFERROR(VLOOKUP(C837,TD!$B$33:$F$37,3,0)," ")</f>
        <v>4503</v>
      </c>
      <c r="R837" s="192">
        <f>IFERROR(VLOOKUP(C837,TD!$B$33:$F$37,4,0)," ")</f>
        <v>20240255</v>
      </c>
      <c r="S837" s="190" t="s">
        <v>175</v>
      </c>
      <c r="T837" s="192" t="str">
        <f>IFERROR(VLOOKUP(S837,TD!$J$34:$K$44,2,0)," ")</f>
        <v>Servicio de atención a incidentes y emergencias.</v>
      </c>
      <c r="U837" s="190" t="str">
        <f>CONCATENATE(S837,"-",T837)</f>
        <v>04-Servicio de atención a incidentes y emergencias.</v>
      </c>
      <c r="V837" s="190" t="s">
        <v>232</v>
      </c>
      <c r="W837" s="192" t="str">
        <f>IFERROR(VLOOKUP(V837,TD!$N$34:$O$46,2,0)," ")</f>
        <v>Servicio de atención a emergencias y desastres</v>
      </c>
      <c r="X837" s="190" t="str">
        <f>CONCATENATE(V837,"_",W837)</f>
        <v>004_Servicio de atención a emergencias y desastres</v>
      </c>
      <c r="Y837" s="190" t="str">
        <f>CONCATENATE(U837," ",X837)</f>
        <v>04-Servicio de atención a incidentes y emergencias. 004_Servicio de atención a emergencias y desastres</v>
      </c>
      <c r="Z837" s="192" t="str">
        <f>CONCATENATE(P837,Q837,R837,S837,V837)</f>
        <v>O23011745032024025504004</v>
      </c>
      <c r="AA837" s="192" t="str">
        <f>IFERROR(VLOOKUP(Y837,TD!$K$47:$L$65,2,0)," ")</f>
        <v>PM/0131/0104/45030040255</v>
      </c>
      <c r="AB837" s="141" t="s">
        <v>138</v>
      </c>
      <c r="AC837" s="212" t="s">
        <v>205</v>
      </c>
    </row>
    <row r="838" spans="2:29" ht="56" x14ac:dyDescent="0.35">
      <c r="B838" s="137">
        <v>20250888</v>
      </c>
      <c r="C838" s="138" t="s">
        <v>209</v>
      </c>
      <c r="D838" s="208" t="s">
        <v>169</v>
      </c>
      <c r="E838" s="209" t="s">
        <v>465</v>
      </c>
      <c r="F838" s="189" t="s">
        <v>1068</v>
      </c>
      <c r="G838" s="189" t="s">
        <v>156</v>
      </c>
      <c r="H838" s="130">
        <v>80111600</v>
      </c>
      <c r="I838" s="191">
        <v>10</v>
      </c>
      <c r="J838" s="191">
        <v>2</v>
      </c>
      <c r="K838" s="126">
        <v>15</v>
      </c>
      <c r="L838" s="125">
        <v>7250000</v>
      </c>
      <c r="M838" s="158" t="s">
        <v>464</v>
      </c>
      <c r="N838" s="141" t="s">
        <v>113</v>
      </c>
      <c r="O838" s="190" t="s">
        <v>222</v>
      </c>
      <c r="P838" s="192" t="str">
        <f>IFERROR(VLOOKUP(C838,TD!$B$33:$F$37,2,0)," ")</f>
        <v>O230117</v>
      </c>
      <c r="Q838" s="192" t="str">
        <f>IFERROR(VLOOKUP(C838,TD!$B$33:$F$37,3,0)," ")</f>
        <v>4503</v>
      </c>
      <c r="R838" s="192">
        <f>IFERROR(VLOOKUP(C838,TD!$B$33:$F$37,4,0)," ")</f>
        <v>20240255</v>
      </c>
      <c r="S838" s="190" t="s">
        <v>175</v>
      </c>
      <c r="T838" s="192" t="str">
        <f>IFERROR(VLOOKUP(S838,TD!$J$34:$K$44,2,0)," ")</f>
        <v>Servicio de atención a incidentes y emergencias.</v>
      </c>
      <c r="U838" s="190" t="str">
        <f>CONCATENATE(S838,"-",T838)</f>
        <v>04-Servicio de atención a incidentes y emergencias.</v>
      </c>
      <c r="V838" s="190" t="s">
        <v>232</v>
      </c>
      <c r="W838" s="192" t="str">
        <f>IFERROR(VLOOKUP(V838,TD!$N$34:$O$46,2,0)," ")</f>
        <v>Servicio de atención a emergencias y desastres</v>
      </c>
      <c r="X838" s="190" t="str">
        <f>CONCATENATE(V838,"_",W838)</f>
        <v>004_Servicio de atención a emergencias y desastres</v>
      </c>
      <c r="Y838" s="190" t="str">
        <f>CONCATENATE(U838," ",X838)</f>
        <v>04-Servicio de atención a incidentes y emergencias. 004_Servicio de atención a emergencias y desastres</v>
      </c>
      <c r="Z838" s="192" t="str">
        <f>CONCATENATE(P838,Q838,R838,S838,V838)</f>
        <v>O23011745032024025504004</v>
      </c>
      <c r="AA838" s="192" t="str">
        <f>IFERROR(VLOOKUP(Y838,TD!$K$47:$L$65,2,0)," ")</f>
        <v>PM/0131/0104/45030040255</v>
      </c>
      <c r="AB838" s="141" t="s">
        <v>138</v>
      </c>
      <c r="AC838" s="212" t="s">
        <v>205</v>
      </c>
    </row>
    <row r="839" spans="2:29" ht="56" x14ac:dyDescent="0.35">
      <c r="B839" s="137">
        <v>20250889</v>
      </c>
      <c r="C839" s="138" t="s">
        <v>209</v>
      </c>
      <c r="D839" s="208" t="s">
        <v>169</v>
      </c>
      <c r="E839" s="209" t="s">
        <v>465</v>
      </c>
      <c r="F839" s="189" t="s">
        <v>1069</v>
      </c>
      <c r="G839" s="189" t="s">
        <v>156</v>
      </c>
      <c r="H839" s="130">
        <v>80111600</v>
      </c>
      <c r="I839" s="191">
        <v>10</v>
      </c>
      <c r="J839" s="191">
        <v>2</v>
      </c>
      <c r="K839" s="126">
        <v>0</v>
      </c>
      <c r="L839" s="125">
        <v>5800000</v>
      </c>
      <c r="M839" s="158" t="s">
        <v>464</v>
      </c>
      <c r="N839" s="141" t="s">
        <v>113</v>
      </c>
      <c r="O839" s="190" t="s">
        <v>222</v>
      </c>
      <c r="P839" s="192" t="str">
        <f>IFERROR(VLOOKUP(C839,TD!$B$33:$F$37,2,0)," ")</f>
        <v>O230117</v>
      </c>
      <c r="Q839" s="192" t="str">
        <f>IFERROR(VLOOKUP(C839,TD!$B$33:$F$37,3,0)," ")</f>
        <v>4503</v>
      </c>
      <c r="R839" s="192">
        <f>IFERROR(VLOOKUP(C839,TD!$B$33:$F$37,4,0)," ")</f>
        <v>20240255</v>
      </c>
      <c r="S839" s="190" t="s">
        <v>175</v>
      </c>
      <c r="T839" s="192" t="str">
        <f>IFERROR(VLOOKUP(S839,TD!$J$34:$K$44,2,0)," ")</f>
        <v>Servicio de atención a incidentes y emergencias.</v>
      </c>
      <c r="U839" s="190" t="str">
        <f>CONCATENATE(S839,"-",T839)</f>
        <v>04-Servicio de atención a incidentes y emergencias.</v>
      </c>
      <c r="V839" s="190" t="s">
        <v>232</v>
      </c>
      <c r="W839" s="192" t="str">
        <f>IFERROR(VLOOKUP(V839,TD!$N$34:$O$46,2,0)," ")</f>
        <v>Servicio de atención a emergencias y desastres</v>
      </c>
      <c r="X839" s="190" t="str">
        <f>CONCATENATE(V839,"_",W839)</f>
        <v>004_Servicio de atención a emergencias y desastres</v>
      </c>
      <c r="Y839" s="190" t="str">
        <f>CONCATENATE(U839," ",X839)</f>
        <v>04-Servicio de atención a incidentes y emergencias. 004_Servicio de atención a emergencias y desastres</v>
      </c>
      <c r="Z839" s="192" t="str">
        <f>CONCATENATE(P839,Q839,R839,S839,V839)</f>
        <v>O23011745032024025504004</v>
      </c>
      <c r="AA839" s="192" t="str">
        <f>IFERROR(VLOOKUP(Y839,TD!$K$47:$L$65,2,0)," ")</f>
        <v>PM/0131/0104/45030040255</v>
      </c>
      <c r="AB839" s="141" t="s">
        <v>138</v>
      </c>
      <c r="AC839" s="212" t="s">
        <v>205</v>
      </c>
    </row>
    <row r="840" spans="2:29" ht="56" x14ac:dyDescent="0.35">
      <c r="B840" s="137">
        <v>20250890</v>
      </c>
      <c r="C840" s="138" t="s">
        <v>209</v>
      </c>
      <c r="D840" s="208" t="s">
        <v>169</v>
      </c>
      <c r="E840" s="209" t="s">
        <v>465</v>
      </c>
      <c r="F840" s="189" t="s">
        <v>1070</v>
      </c>
      <c r="G840" s="189" t="s">
        <v>156</v>
      </c>
      <c r="H840" s="130">
        <v>80111600</v>
      </c>
      <c r="I840" s="191">
        <v>10</v>
      </c>
      <c r="J840" s="191">
        <v>2</v>
      </c>
      <c r="K840" s="126">
        <v>0</v>
      </c>
      <c r="L840" s="125">
        <v>5800000</v>
      </c>
      <c r="M840" s="158" t="s">
        <v>464</v>
      </c>
      <c r="N840" s="141" t="s">
        <v>113</v>
      </c>
      <c r="O840" s="190" t="s">
        <v>222</v>
      </c>
      <c r="P840" s="192" t="str">
        <f>IFERROR(VLOOKUP(C840,TD!$B$33:$F$37,2,0)," ")</f>
        <v>O230117</v>
      </c>
      <c r="Q840" s="192" t="str">
        <f>IFERROR(VLOOKUP(C840,TD!$B$33:$F$37,3,0)," ")</f>
        <v>4503</v>
      </c>
      <c r="R840" s="192">
        <f>IFERROR(VLOOKUP(C840,TD!$B$33:$F$37,4,0)," ")</f>
        <v>20240255</v>
      </c>
      <c r="S840" s="190" t="s">
        <v>175</v>
      </c>
      <c r="T840" s="192" t="str">
        <f>IFERROR(VLOOKUP(S840,TD!$J$34:$K$44,2,0)," ")</f>
        <v>Servicio de atención a incidentes y emergencias.</v>
      </c>
      <c r="U840" s="190" t="str">
        <f>CONCATENATE(S840,"-",T840)</f>
        <v>04-Servicio de atención a incidentes y emergencias.</v>
      </c>
      <c r="V840" s="190" t="s">
        <v>232</v>
      </c>
      <c r="W840" s="192" t="str">
        <f>IFERROR(VLOOKUP(V840,TD!$N$34:$O$46,2,0)," ")</f>
        <v>Servicio de atención a emergencias y desastres</v>
      </c>
      <c r="X840" s="190" t="str">
        <f>CONCATENATE(V840,"_",W840)</f>
        <v>004_Servicio de atención a emergencias y desastres</v>
      </c>
      <c r="Y840" s="190" t="str">
        <f>CONCATENATE(U840," ",X840)</f>
        <v>04-Servicio de atención a incidentes y emergencias. 004_Servicio de atención a emergencias y desastres</v>
      </c>
      <c r="Z840" s="192" t="str">
        <f>CONCATENATE(P840,Q840,R840,S840,V840)</f>
        <v>O23011745032024025504004</v>
      </c>
      <c r="AA840" s="192" t="str">
        <f>IFERROR(VLOOKUP(Y840,TD!$K$47:$L$65,2,0)," ")</f>
        <v>PM/0131/0104/45030040255</v>
      </c>
      <c r="AB840" s="141" t="s">
        <v>138</v>
      </c>
      <c r="AC840" s="212" t="s">
        <v>205</v>
      </c>
    </row>
    <row r="841" spans="2:29" ht="56" x14ac:dyDescent="0.35">
      <c r="B841" s="137">
        <v>20250891</v>
      </c>
      <c r="C841" s="138" t="s">
        <v>209</v>
      </c>
      <c r="D841" s="208" t="s">
        <v>169</v>
      </c>
      <c r="E841" s="209" t="s">
        <v>465</v>
      </c>
      <c r="F841" s="189" t="s">
        <v>1071</v>
      </c>
      <c r="G841" s="189" t="s">
        <v>156</v>
      </c>
      <c r="H841" s="130">
        <v>80111600</v>
      </c>
      <c r="I841" s="191">
        <v>10</v>
      </c>
      <c r="J841" s="191">
        <v>2</v>
      </c>
      <c r="K841" s="126">
        <v>0</v>
      </c>
      <c r="L841" s="125">
        <v>5800000</v>
      </c>
      <c r="M841" s="158" t="s">
        <v>464</v>
      </c>
      <c r="N841" s="141" t="s">
        <v>113</v>
      </c>
      <c r="O841" s="190" t="s">
        <v>222</v>
      </c>
      <c r="P841" s="192" t="str">
        <f>IFERROR(VLOOKUP(C841,TD!$B$33:$F$37,2,0)," ")</f>
        <v>O230117</v>
      </c>
      <c r="Q841" s="192" t="str">
        <f>IFERROR(VLOOKUP(C841,TD!$B$33:$F$37,3,0)," ")</f>
        <v>4503</v>
      </c>
      <c r="R841" s="192">
        <f>IFERROR(VLOOKUP(C841,TD!$B$33:$F$37,4,0)," ")</f>
        <v>20240255</v>
      </c>
      <c r="S841" s="190" t="s">
        <v>175</v>
      </c>
      <c r="T841" s="192" t="str">
        <f>IFERROR(VLOOKUP(S841,TD!$J$34:$K$44,2,0)," ")</f>
        <v>Servicio de atención a incidentes y emergencias.</v>
      </c>
      <c r="U841" s="190" t="str">
        <f>CONCATENATE(S841,"-",T841)</f>
        <v>04-Servicio de atención a incidentes y emergencias.</v>
      </c>
      <c r="V841" s="190" t="s">
        <v>232</v>
      </c>
      <c r="W841" s="192" t="str">
        <f>IFERROR(VLOOKUP(V841,TD!$N$34:$O$46,2,0)," ")</f>
        <v>Servicio de atención a emergencias y desastres</v>
      </c>
      <c r="X841" s="190" t="str">
        <f>CONCATENATE(V841,"_",W841)</f>
        <v>004_Servicio de atención a emergencias y desastres</v>
      </c>
      <c r="Y841" s="190" t="str">
        <f>CONCATENATE(U841," ",X841)</f>
        <v>04-Servicio de atención a incidentes y emergencias. 004_Servicio de atención a emergencias y desastres</v>
      </c>
      <c r="Z841" s="192" t="str">
        <f>CONCATENATE(P841,Q841,R841,S841,V841)</f>
        <v>O23011745032024025504004</v>
      </c>
      <c r="AA841" s="192" t="str">
        <f>IFERROR(VLOOKUP(Y841,TD!$K$47:$L$65,2,0)," ")</f>
        <v>PM/0131/0104/45030040255</v>
      </c>
      <c r="AB841" s="141" t="s">
        <v>138</v>
      </c>
      <c r="AC841" s="212" t="s">
        <v>205</v>
      </c>
    </row>
    <row r="842" spans="2:29" ht="56" x14ac:dyDescent="0.35">
      <c r="B842" s="137">
        <v>20250892</v>
      </c>
      <c r="C842" s="138" t="s">
        <v>209</v>
      </c>
      <c r="D842" s="208" t="s">
        <v>169</v>
      </c>
      <c r="E842" s="209" t="s">
        <v>465</v>
      </c>
      <c r="F842" s="189" t="s">
        <v>1072</v>
      </c>
      <c r="G842" s="189" t="s">
        <v>156</v>
      </c>
      <c r="H842" s="130">
        <v>80111600</v>
      </c>
      <c r="I842" s="191">
        <v>10</v>
      </c>
      <c r="J842" s="191">
        <v>2</v>
      </c>
      <c r="K842" s="126">
        <v>0</v>
      </c>
      <c r="L842" s="125">
        <v>5800000</v>
      </c>
      <c r="M842" s="158" t="s">
        <v>464</v>
      </c>
      <c r="N842" s="141" t="s">
        <v>113</v>
      </c>
      <c r="O842" s="190" t="s">
        <v>222</v>
      </c>
      <c r="P842" s="192" t="str">
        <f>IFERROR(VLOOKUP(C842,TD!$B$33:$F$37,2,0)," ")</f>
        <v>O230117</v>
      </c>
      <c r="Q842" s="192" t="str">
        <f>IFERROR(VLOOKUP(C842,TD!$B$33:$F$37,3,0)," ")</f>
        <v>4503</v>
      </c>
      <c r="R842" s="192">
        <f>IFERROR(VLOOKUP(C842,TD!$B$33:$F$37,4,0)," ")</f>
        <v>20240255</v>
      </c>
      <c r="S842" s="190" t="s">
        <v>175</v>
      </c>
      <c r="T842" s="192" t="str">
        <f>IFERROR(VLOOKUP(S842,TD!$J$34:$K$44,2,0)," ")</f>
        <v>Servicio de atención a incidentes y emergencias.</v>
      </c>
      <c r="U842" s="190" t="str">
        <f>CONCATENATE(S842,"-",T842)</f>
        <v>04-Servicio de atención a incidentes y emergencias.</v>
      </c>
      <c r="V842" s="190" t="s">
        <v>232</v>
      </c>
      <c r="W842" s="192" t="str">
        <f>IFERROR(VLOOKUP(V842,TD!$N$34:$O$46,2,0)," ")</f>
        <v>Servicio de atención a emergencias y desastres</v>
      </c>
      <c r="X842" s="190" t="str">
        <f>CONCATENATE(V842,"_",W842)</f>
        <v>004_Servicio de atención a emergencias y desastres</v>
      </c>
      <c r="Y842" s="190" t="str">
        <f>CONCATENATE(U842," ",X842)</f>
        <v>04-Servicio de atención a incidentes y emergencias. 004_Servicio de atención a emergencias y desastres</v>
      </c>
      <c r="Z842" s="192" t="str">
        <f>CONCATENATE(P842,Q842,R842,S842,V842)</f>
        <v>O23011745032024025504004</v>
      </c>
      <c r="AA842" s="192" t="str">
        <f>IFERROR(VLOOKUP(Y842,TD!$K$47:$L$65,2,0)," ")</f>
        <v>PM/0131/0104/45030040255</v>
      </c>
      <c r="AB842" s="141" t="s">
        <v>138</v>
      </c>
      <c r="AC842" s="212" t="s">
        <v>205</v>
      </c>
    </row>
    <row r="843" spans="2:29" ht="56" x14ac:dyDescent="0.35">
      <c r="B843" s="137">
        <v>20250893</v>
      </c>
      <c r="C843" s="138" t="s">
        <v>209</v>
      </c>
      <c r="D843" s="208" t="s">
        <v>169</v>
      </c>
      <c r="E843" s="209" t="s">
        <v>465</v>
      </c>
      <c r="F843" s="189" t="s">
        <v>1269</v>
      </c>
      <c r="G843" s="189" t="s">
        <v>155</v>
      </c>
      <c r="H843" s="130">
        <v>80111600</v>
      </c>
      <c r="I843" s="191">
        <v>10</v>
      </c>
      <c r="J843" s="191">
        <v>2</v>
      </c>
      <c r="K843" s="126">
        <v>15</v>
      </c>
      <c r="L843" s="125">
        <v>12000000</v>
      </c>
      <c r="M843" s="158" t="s">
        <v>464</v>
      </c>
      <c r="N843" s="141" t="s">
        <v>113</v>
      </c>
      <c r="O843" s="190" t="s">
        <v>222</v>
      </c>
      <c r="P843" s="192" t="str">
        <f>IFERROR(VLOOKUP(C843,TD!$B$33:$F$37,2,0)," ")</f>
        <v>O230117</v>
      </c>
      <c r="Q843" s="192" t="str">
        <f>IFERROR(VLOOKUP(C843,TD!$B$33:$F$37,3,0)," ")</f>
        <v>4503</v>
      </c>
      <c r="R843" s="192">
        <f>IFERROR(VLOOKUP(C843,TD!$B$33:$F$37,4,0)," ")</f>
        <v>20240255</v>
      </c>
      <c r="S843" s="190" t="s">
        <v>175</v>
      </c>
      <c r="T843" s="192" t="str">
        <f>IFERROR(VLOOKUP(S843,TD!$J$34:$K$44,2,0)," ")</f>
        <v>Servicio de atención a incidentes y emergencias.</v>
      </c>
      <c r="U843" s="190" t="str">
        <f>CONCATENATE(S843,"-",T843)</f>
        <v>04-Servicio de atención a incidentes y emergencias.</v>
      </c>
      <c r="V843" s="190" t="s">
        <v>232</v>
      </c>
      <c r="W843" s="192" t="str">
        <f>IFERROR(VLOOKUP(V843,TD!$N$34:$O$46,2,0)," ")</f>
        <v>Servicio de atención a emergencias y desastres</v>
      </c>
      <c r="X843" s="190" t="str">
        <f>CONCATENATE(V843,"_",W843)</f>
        <v>004_Servicio de atención a emergencias y desastres</v>
      </c>
      <c r="Y843" s="190" t="str">
        <f>CONCATENATE(U843," ",X843)</f>
        <v>04-Servicio de atención a incidentes y emergencias. 004_Servicio de atención a emergencias y desastres</v>
      </c>
      <c r="Z843" s="192" t="str">
        <f>CONCATENATE(P843,Q843,R843,S843,V843)</f>
        <v>O23011745032024025504004</v>
      </c>
      <c r="AA843" s="192" t="str">
        <f>IFERROR(VLOOKUP(Y843,TD!$K$47:$L$65,2,0)," ")</f>
        <v>PM/0131/0104/45030040255</v>
      </c>
      <c r="AB843" s="141" t="s">
        <v>138</v>
      </c>
      <c r="AC843" s="212" t="s">
        <v>205</v>
      </c>
    </row>
    <row r="844" spans="2:29" ht="56" x14ac:dyDescent="0.35">
      <c r="B844" s="137">
        <v>20250894</v>
      </c>
      <c r="C844" s="138" t="s">
        <v>209</v>
      </c>
      <c r="D844" s="208" t="s">
        <v>169</v>
      </c>
      <c r="E844" s="209" t="s">
        <v>465</v>
      </c>
      <c r="F844" s="189" t="s">
        <v>1073</v>
      </c>
      <c r="G844" s="189" t="s">
        <v>156</v>
      </c>
      <c r="H844" s="130">
        <v>80111600</v>
      </c>
      <c r="I844" s="191">
        <v>11</v>
      </c>
      <c r="J844" s="191">
        <v>2</v>
      </c>
      <c r="K844" s="126">
        <v>0</v>
      </c>
      <c r="L844" s="125">
        <v>6400000</v>
      </c>
      <c r="M844" s="158" t="s">
        <v>464</v>
      </c>
      <c r="N844" s="141" t="s">
        <v>113</v>
      </c>
      <c r="O844" s="190" t="s">
        <v>222</v>
      </c>
      <c r="P844" s="192" t="str">
        <f>IFERROR(VLOOKUP(C844,TD!$B$33:$F$37,2,0)," ")</f>
        <v>O230117</v>
      </c>
      <c r="Q844" s="192" t="str">
        <f>IFERROR(VLOOKUP(C844,TD!$B$33:$F$37,3,0)," ")</f>
        <v>4503</v>
      </c>
      <c r="R844" s="192">
        <f>IFERROR(VLOOKUP(C844,TD!$B$33:$F$37,4,0)," ")</f>
        <v>20240255</v>
      </c>
      <c r="S844" s="190" t="s">
        <v>175</v>
      </c>
      <c r="T844" s="192" t="str">
        <f>IFERROR(VLOOKUP(S844,TD!$J$34:$K$44,2,0)," ")</f>
        <v>Servicio de atención a incidentes y emergencias.</v>
      </c>
      <c r="U844" s="190" t="str">
        <f>CONCATENATE(S844,"-",T844)</f>
        <v>04-Servicio de atención a incidentes y emergencias.</v>
      </c>
      <c r="V844" s="190" t="s">
        <v>232</v>
      </c>
      <c r="W844" s="192" t="str">
        <f>IFERROR(VLOOKUP(V844,TD!$N$34:$O$46,2,0)," ")</f>
        <v>Servicio de atención a emergencias y desastres</v>
      </c>
      <c r="X844" s="190" t="str">
        <f>CONCATENATE(V844,"_",W844)</f>
        <v>004_Servicio de atención a emergencias y desastres</v>
      </c>
      <c r="Y844" s="190" t="str">
        <f>CONCATENATE(U844," ",X844)</f>
        <v>04-Servicio de atención a incidentes y emergencias. 004_Servicio de atención a emergencias y desastres</v>
      </c>
      <c r="Z844" s="192" t="str">
        <f>CONCATENATE(P844,Q844,R844,S844,V844)</f>
        <v>O23011745032024025504004</v>
      </c>
      <c r="AA844" s="192" t="str">
        <f>IFERROR(VLOOKUP(Y844,TD!$K$47:$L$65,2,0)," ")</f>
        <v>PM/0131/0104/45030040255</v>
      </c>
      <c r="AB844" s="141" t="s">
        <v>138</v>
      </c>
      <c r="AC844" s="212" t="s">
        <v>205</v>
      </c>
    </row>
    <row r="845" spans="2:29" ht="56" x14ac:dyDescent="0.35">
      <c r="B845" s="137">
        <v>20250895</v>
      </c>
      <c r="C845" s="138" t="s">
        <v>209</v>
      </c>
      <c r="D845" s="208" t="s">
        <v>169</v>
      </c>
      <c r="E845" s="209" t="s">
        <v>465</v>
      </c>
      <c r="F845" s="189" t="s">
        <v>1074</v>
      </c>
      <c r="G845" s="189" t="s">
        <v>156</v>
      </c>
      <c r="H845" s="130">
        <v>80111600</v>
      </c>
      <c r="I845" s="191">
        <v>11</v>
      </c>
      <c r="J845" s="191">
        <v>2</v>
      </c>
      <c r="K845" s="126">
        <v>0</v>
      </c>
      <c r="L845" s="125">
        <v>5800000</v>
      </c>
      <c r="M845" s="158" t="s">
        <v>464</v>
      </c>
      <c r="N845" s="141" t="s">
        <v>113</v>
      </c>
      <c r="O845" s="190" t="s">
        <v>222</v>
      </c>
      <c r="P845" s="192" t="str">
        <f>IFERROR(VLOOKUP(C845,TD!$B$33:$F$37,2,0)," ")</f>
        <v>O230117</v>
      </c>
      <c r="Q845" s="192" t="str">
        <f>IFERROR(VLOOKUP(C845,TD!$B$33:$F$37,3,0)," ")</f>
        <v>4503</v>
      </c>
      <c r="R845" s="192">
        <f>IFERROR(VLOOKUP(C845,TD!$B$33:$F$37,4,0)," ")</f>
        <v>20240255</v>
      </c>
      <c r="S845" s="190" t="s">
        <v>175</v>
      </c>
      <c r="T845" s="192" t="str">
        <f>IFERROR(VLOOKUP(S845,TD!$J$34:$K$44,2,0)," ")</f>
        <v>Servicio de atención a incidentes y emergencias.</v>
      </c>
      <c r="U845" s="190" t="str">
        <f>CONCATENATE(S845,"-",T845)</f>
        <v>04-Servicio de atención a incidentes y emergencias.</v>
      </c>
      <c r="V845" s="190" t="s">
        <v>232</v>
      </c>
      <c r="W845" s="192" t="str">
        <f>IFERROR(VLOOKUP(V845,TD!$N$34:$O$46,2,0)," ")</f>
        <v>Servicio de atención a emergencias y desastres</v>
      </c>
      <c r="X845" s="190" t="str">
        <f>CONCATENATE(V845,"_",W845)</f>
        <v>004_Servicio de atención a emergencias y desastres</v>
      </c>
      <c r="Y845" s="190" t="str">
        <f>CONCATENATE(U845," ",X845)</f>
        <v>04-Servicio de atención a incidentes y emergencias. 004_Servicio de atención a emergencias y desastres</v>
      </c>
      <c r="Z845" s="192" t="str">
        <f>CONCATENATE(P845,Q845,R845,S845,V845)</f>
        <v>O23011745032024025504004</v>
      </c>
      <c r="AA845" s="192" t="str">
        <f>IFERROR(VLOOKUP(Y845,TD!$K$47:$L$65,2,0)," ")</f>
        <v>PM/0131/0104/45030040255</v>
      </c>
      <c r="AB845" s="141" t="s">
        <v>138</v>
      </c>
      <c r="AC845" s="212" t="s">
        <v>205</v>
      </c>
    </row>
    <row r="846" spans="2:29" ht="56" x14ac:dyDescent="0.35">
      <c r="B846" s="137">
        <v>20250896</v>
      </c>
      <c r="C846" s="138" t="s">
        <v>209</v>
      </c>
      <c r="D846" s="208" t="s">
        <v>169</v>
      </c>
      <c r="E846" s="209" t="s">
        <v>465</v>
      </c>
      <c r="F846" s="189" t="s">
        <v>1075</v>
      </c>
      <c r="G846" s="189" t="s">
        <v>156</v>
      </c>
      <c r="H846" s="130">
        <v>80111600</v>
      </c>
      <c r="I846" s="191">
        <v>11</v>
      </c>
      <c r="J846" s="191">
        <v>2</v>
      </c>
      <c r="K846" s="126">
        <v>0</v>
      </c>
      <c r="L846" s="125">
        <v>5800000</v>
      </c>
      <c r="M846" s="158" t="s">
        <v>464</v>
      </c>
      <c r="N846" s="141" t="s">
        <v>113</v>
      </c>
      <c r="O846" s="190" t="s">
        <v>222</v>
      </c>
      <c r="P846" s="192" t="str">
        <f>IFERROR(VLOOKUP(C846,TD!$B$33:$F$37,2,0)," ")</f>
        <v>O230117</v>
      </c>
      <c r="Q846" s="192" t="str">
        <f>IFERROR(VLOOKUP(C846,TD!$B$33:$F$37,3,0)," ")</f>
        <v>4503</v>
      </c>
      <c r="R846" s="192">
        <f>IFERROR(VLOOKUP(C846,TD!$B$33:$F$37,4,0)," ")</f>
        <v>20240255</v>
      </c>
      <c r="S846" s="190" t="s">
        <v>175</v>
      </c>
      <c r="T846" s="192" t="str">
        <f>IFERROR(VLOOKUP(S846,TD!$J$34:$K$44,2,0)," ")</f>
        <v>Servicio de atención a incidentes y emergencias.</v>
      </c>
      <c r="U846" s="190" t="str">
        <f>CONCATENATE(S846,"-",T846)</f>
        <v>04-Servicio de atención a incidentes y emergencias.</v>
      </c>
      <c r="V846" s="190" t="s">
        <v>232</v>
      </c>
      <c r="W846" s="192" t="str">
        <f>IFERROR(VLOOKUP(V846,TD!$N$34:$O$46,2,0)," ")</f>
        <v>Servicio de atención a emergencias y desastres</v>
      </c>
      <c r="X846" s="190" t="str">
        <f>CONCATENATE(V846,"_",W846)</f>
        <v>004_Servicio de atención a emergencias y desastres</v>
      </c>
      <c r="Y846" s="190" t="str">
        <f>CONCATENATE(U846," ",X846)</f>
        <v>04-Servicio de atención a incidentes y emergencias. 004_Servicio de atención a emergencias y desastres</v>
      </c>
      <c r="Z846" s="192" t="str">
        <f>CONCATENATE(P846,Q846,R846,S846,V846)</f>
        <v>O23011745032024025504004</v>
      </c>
      <c r="AA846" s="192" t="str">
        <f>IFERROR(VLOOKUP(Y846,TD!$K$47:$L$65,2,0)," ")</f>
        <v>PM/0131/0104/45030040255</v>
      </c>
      <c r="AB846" s="141" t="s">
        <v>138</v>
      </c>
      <c r="AC846" s="212" t="s">
        <v>205</v>
      </c>
    </row>
    <row r="847" spans="2:29" ht="56" x14ac:dyDescent="0.35">
      <c r="B847" s="137">
        <v>20250897</v>
      </c>
      <c r="C847" s="138" t="s">
        <v>209</v>
      </c>
      <c r="D847" s="208" t="s">
        <v>169</v>
      </c>
      <c r="E847" s="209" t="s">
        <v>465</v>
      </c>
      <c r="F847" s="189" t="s">
        <v>1076</v>
      </c>
      <c r="G847" s="189" t="s">
        <v>155</v>
      </c>
      <c r="H847" s="130">
        <v>80111600</v>
      </c>
      <c r="I847" s="191">
        <v>12</v>
      </c>
      <c r="J847" s="191">
        <v>0</v>
      </c>
      <c r="K847" s="126">
        <v>13</v>
      </c>
      <c r="L847" s="125">
        <v>2166667</v>
      </c>
      <c r="M847" s="158" t="s">
        <v>464</v>
      </c>
      <c r="N847" s="141" t="s">
        <v>113</v>
      </c>
      <c r="O847" s="190" t="s">
        <v>222</v>
      </c>
      <c r="P847" s="192" t="str">
        <f>IFERROR(VLOOKUP(C847,TD!$B$33:$F$37,2,0)," ")</f>
        <v>O230117</v>
      </c>
      <c r="Q847" s="192" t="str">
        <f>IFERROR(VLOOKUP(C847,TD!$B$33:$F$37,3,0)," ")</f>
        <v>4503</v>
      </c>
      <c r="R847" s="192">
        <f>IFERROR(VLOOKUP(C847,TD!$B$33:$F$37,4,0)," ")</f>
        <v>20240255</v>
      </c>
      <c r="S847" s="190" t="s">
        <v>175</v>
      </c>
      <c r="T847" s="192" t="str">
        <f>IFERROR(VLOOKUP(S847,TD!$J$34:$K$44,2,0)," ")</f>
        <v>Servicio de atención a incidentes y emergencias.</v>
      </c>
      <c r="U847" s="190" t="str">
        <f>CONCATENATE(S847,"-",T847)</f>
        <v>04-Servicio de atención a incidentes y emergencias.</v>
      </c>
      <c r="V847" s="190" t="s">
        <v>232</v>
      </c>
      <c r="W847" s="192" t="str">
        <f>IFERROR(VLOOKUP(V847,TD!$N$34:$O$46,2,0)," ")</f>
        <v>Servicio de atención a emergencias y desastres</v>
      </c>
      <c r="X847" s="190" t="str">
        <f>CONCATENATE(V847,"_",W847)</f>
        <v>004_Servicio de atención a emergencias y desastres</v>
      </c>
      <c r="Y847" s="190" t="str">
        <f>CONCATENATE(U847," ",X847)</f>
        <v>04-Servicio de atención a incidentes y emergencias. 004_Servicio de atención a emergencias y desastres</v>
      </c>
      <c r="Z847" s="192" t="str">
        <f>CONCATENATE(P847,Q847,R847,S847,V847)</f>
        <v>O23011745032024025504004</v>
      </c>
      <c r="AA847" s="192" t="str">
        <f>IFERROR(VLOOKUP(Y847,TD!$K$47:$L$65,2,0)," ")</f>
        <v>PM/0131/0104/45030040255</v>
      </c>
      <c r="AB847" s="141" t="s">
        <v>138</v>
      </c>
      <c r="AC847" s="212" t="s">
        <v>205</v>
      </c>
    </row>
    <row r="848" spans="2:29" ht="56" x14ac:dyDescent="0.35">
      <c r="B848" s="137">
        <v>20250898</v>
      </c>
      <c r="C848" s="138" t="s">
        <v>209</v>
      </c>
      <c r="D848" s="208" t="s">
        <v>169</v>
      </c>
      <c r="E848" s="209" t="s">
        <v>465</v>
      </c>
      <c r="F848" s="189" t="s">
        <v>1077</v>
      </c>
      <c r="G848" s="189" t="s">
        <v>155</v>
      </c>
      <c r="H848" s="130">
        <v>80111600</v>
      </c>
      <c r="I848" s="191">
        <v>12</v>
      </c>
      <c r="J848" s="191">
        <v>0</v>
      </c>
      <c r="K848" s="126">
        <v>9</v>
      </c>
      <c r="L848" s="125">
        <v>1075785</v>
      </c>
      <c r="M848" s="158" t="s">
        <v>464</v>
      </c>
      <c r="N848" s="141" t="s">
        <v>113</v>
      </c>
      <c r="O848" s="190" t="s">
        <v>222</v>
      </c>
      <c r="P848" s="192" t="str">
        <f>IFERROR(VLOOKUP(C848,TD!$B$33:$F$37,2,0)," ")</f>
        <v>O230117</v>
      </c>
      <c r="Q848" s="192" t="str">
        <f>IFERROR(VLOOKUP(C848,TD!$B$33:$F$37,3,0)," ")</f>
        <v>4503</v>
      </c>
      <c r="R848" s="192">
        <f>IFERROR(VLOOKUP(C848,TD!$B$33:$F$37,4,0)," ")</f>
        <v>20240255</v>
      </c>
      <c r="S848" s="190" t="s">
        <v>175</v>
      </c>
      <c r="T848" s="192" t="str">
        <f>IFERROR(VLOOKUP(S848,TD!$J$34:$K$44,2,0)," ")</f>
        <v>Servicio de atención a incidentes y emergencias.</v>
      </c>
      <c r="U848" s="190" t="str">
        <f>CONCATENATE(S848,"-",T848)</f>
        <v>04-Servicio de atención a incidentes y emergencias.</v>
      </c>
      <c r="V848" s="190" t="s">
        <v>232</v>
      </c>
      <c r="W848" s="192" t="str">
        <f>IFERROR(VLOOKUP(V848,TD!$N$34:$O$46,2,0)," ")</f>
        <v>Servicio de atención a emergencias y desastres</v>
      </c>
      <c r="X848" s="190" t="str">
        <f>CONCATENATE(V848,"_",W848)</f>
        <v>004_Servicio de atención a emergencias y desastres</v>
      </c>
      <c r="Y848" s="190" t="str">
        <f>CONCATENATE(U848," ",X848)</f>
        <v>04-Servicio de atención a incidentes y emergencias. 004_Servicio de atención a emergencias y desastres</v>
      </c>
      <c r="Z848" s="192" t="str">
        <f>CONCATENATE(P848,Q848,R848,S848,V848)</f>
        <v>O23011745032024025504004</v>
      </c>
      <c r="AA848" s="192" t="str">
        <f>IFERROR(VLOOKUP(Y848,TD!$K$47:$L$65,2,0)," ")</f>
        <v>PM/0131/0104/45030040255</v>
      </c>
      <c r="AB848" s="141" t="s">
        <v>138</v>
      </c>
      <c r="AC848" s="212" t="s">
        <v>205</v>
      </c>
    </row>
    <row r="849" spans="2:29" ht="56" x14ac:dyDescent="0.35">
      <c r="B849" s="137">
        <v>20250899</v>
      </c>
      <c r="C849" s="138" t="s">
        <v>209</v>
      </c>
      <c r="D849" s="208" t="s">
        <v>169</v>
      </c>
      <c r="E849" s="209" t="s">
        <v>465</v>
      </c>
      <c r="F849" s="189" t="s">
        <v>1078</v>
      </c>
      <c r="G849" s="189" t="s">
        <v>155</v>
      </c>
      <c r="H849" s="130">
        <v>80111600</v>
      </c>
      <c r="I849" s="191">
        <v>12</v>
      </c>
      <c r="J849" s="191">
        <v>0</v>
      </c>
      <c r="K849" s="126">
        <v>21</v>
      </c>
      <c r="L849" s="125">
        <v>4900000</v>
      </c>
      <c r="M849" s="158" t="s">
        <v>464</v>
      </c>
      <c r="N849" s="141" t="s">
        <v>113</v>
      </c>
      <c r="O849" s="190" t="s">
        <v>222</v>
      </c>
      <c r="P849" s="192" t="str">
        <f>IFERROR(VLOOKUP(C849,TD!$B$33:$F$37,2,0)," ")</f>
        <v>O230117</v>
      </c>
      <c r="Q849" s="192" t="str">
        <f>IFERROR(VLOOKUP(C849,TD!$B$33:$F$37,3,0)," ")</f>
        <v>4503</v>
      </c>
      <c r="R849" s="192">
        <f>IFERROR(VLOOKUP(C849,TD!$B$33:$F$37,4,0)," ")</f>
        <v>20240255</v>
      </c>
      <c r="S849" s="190" t="s">
        <v>175</v>
      </c>
      <c r="T849" s="192" t="str">
        <f>IFERROR(VLOOKUP(S849,TD!$J$34:$K$44,2,0)," ")</f>
        <v>Servicio de atención a incidentes y emergencias.</v>
      </c>
      <c r="U849" s="190" t="str">
        <f>CONCATENATE(S849,"-",T849)</f>
        <v>04-Servicio de atención a incidentes y emergencias.</v>
      </c>
      <c r="V849" s="190" t="s">
        <v>232</v>
      </c>
      <c r="W849" s="192" t="str">
        <f>IFERROR(VLOOKUP(V849,TD!$N$34:$O$46,2,0)," ")</f>
        <v>Servicio de atención a emergencias y desastres</v>
      </c>
      <c r="X849" s="190" t="str">
        <f>CONCATENATE(V849,"_",W849)</f>
        <v>004_Servicio de atención a emergencias y desastres</v>
      </c>
      <c r="Y849" s="190" t="str">
        <f>CONCATENATE(U849," ",X849)</f>
        <v>04-Servicio de atención a incidentes y emergencias. 004_Servicio de atención a emergencias y desastres</v>
      </c>
      <c r="Z849" s="192" t="str">
        <f>CONCATENATE(P849,Q849,R849,S849,V849)</f>
        <v>O23011745032024025504004</v>
      </c>
      <c r="AA849" s="192" t="str">
        <f>IFERROR(VLOOKUP(Y849,TD!$K$47:$L$65,2,0)," ")</f>
        <v>PM/0131/0104/45030040255</v>
      </c>
      <c r="AB849" s="141" t="s">
        <v>138</v>
      </c>
      <c r="AC849" s="212" t="s">
        <v>205</v>
      </c>
    </row>
    <row r="850" spans="2:29" ht="56" x14ac:dyDescent="0.35">
      <c r="B850" s="137">
        <v>20250900</v>
      </c>
      <c r="C850" s="138" t="s">
        <v>209</v>
      </c>
      <c r="D850" s="208" t="s">
        <v>169</v>
      </c>
      <c r="E850" s="209" t="s">
        <v>465</v>
      </c>
      <c r="F850" s="189" t="s">
        <v>1079</v>
      </c>
      <c r="G850" s="189" t="s">
        <v>155</v>
      </c>
      <c r="H850" s="130">
        <v>80111600</v>
      </c>
      <c r="I850" s="191">
        <v>12</v>
      </c>
      <c r="J850" s="191">
        <v>0</v>
      </c>
      <c r="K850" s="126">
        <v>5</v>
      </c>
      <c r="L850" s="125">
        <v>533333</v>
      </c>
      <c r="M850" s="158" t="s">
        <v>464</v>
      </c>
      <c r="N850" s="141" t="s">
        <v>113</v>
      </c>
      <c r="O850" s="190" t="s">
        <v>222</v>
      </c>
      <c r="P850" s="192" t="str">
        <f>IFERROR(VLOOKUP(C850,TD!$B$33:$F$37,2,0)," ")</f>
        <v>O230117</v>
      </c>
      <c r="Q850" s="192" t="str">
        <f>IFERROR(VLOOKUP(C850,TD!$B$33:$F$37,3,0)," ")</f>
        <v>4503</v>
      </c>
      <c r="R850" s="192">
        <f>IFERROR(VLOOKUP(C850,TD!$B$33:$F$37,4,0)," ")</f>
        <v>20240255</v>
      </c>
      <c r="S850" s="190" t="s">
        <v>175</v>
      </c>
      <c r="T850" s="192" t="str">
        <f>IFERROR(VLOOKUP(S850,TD!$J$34:$K$44,2,0)," ")</f>
        <v>Servicio de atención a incidentes y emergencias.</v>
      </c>
      <c r="U850" s="190" t="str">
        <f>CONCATENATE(S850,"-",T850)</f>
        <v>04-Servicio de atención a incidentes y emergencias.</v>
      </c>
      <c r="V850" s="190" t="s">
        <v>232</v>
      </c>
      <c r="W850" s="192" t="str">
        <f>IFERROR(VLOOKUP(V850,TD!$N$34:$O$46,2,0)," ")</f>
        <v>Servicio de atención a emergencias y desastres</v>
      </c>
      <c r="X850" s="190" t="str">
        <f>CONCATENATE(V850,"_",W850)</f>
        <v>004_Servicio de atención a emergencias y desastres</v>
      </c>
      <c r="Y850" s="190" t="str">
        <f>CONCATENATE(U850," ",X850)</f>
        <v>04-Servicio de atención a incidentes y emergencias. 004_Servicio de atención a emergencias y desastres</v>
      </c>
      <c r="Z850" s="192" t="str">
        <f>CONCATENATE(P850,Q850,R850,S850,V850)</f>
        <v>O23011745032024025504004</v>
      </c>
      <c r="AA850" s="192" t="str">
        <f>IFERROR(VLOOKUP(Y850,TD!$K$47:$L$65,2,0)," ")</f>
        <v>PM/0131/0104/45030040255</v>
      </c>
      <c r="AB850" s="141" t="s">
        <v>138</v>
      </c>
      <c r="AC850" s="212" t="s">
        <v>205</v>
      </c>
    </row>
    <row r="851" spans="2:29" ht="56" x14ac:dyDescent="0.35">
      <c r="B851" s="137">
        <v>20250901</v>
      </c>
      <c r="C851" s="138" t="s">
        <v>209</v>
      </c>
      <c r="D851" s="208" t="s">
        <v>169</v>
      </c>
      <c r="E851" s="209" t="s">
        <v>465</v>
      </c>
      <c r="F851" s="189" t="s">
        <v>1080</v>
      </c>
      <c r="G851" s="189" t="s">
        <v>155</v>
      </c>
      <c r="H851" s="130">
        <v>80111600</v>
      </c>
      <c r="I851" s="191">
        <v>12</v>
      </c>
      <c r="J851" s="191">
        <v>0</v>
      </c>
      <c r="K851" s="126">
        <v>10</v>
      </c>
      <c r="L851" s="125">
        <v>2333333</v>
      </c>
      <c r="M851" s="158" t="s">
        <v>464</v>
      </c>
      <c r="N851" s="141" t="s">
        <v>113</v>
      </c>
      <c r="O851" s="190" t="s">
        <v>222</v>
      </c>
      <c r="P851" s="192" t="str">
        <f>IFERROR(VLOOKUP(C851,TD!$B$33:$F$37,2,0)," ")</f>
        <v>O230117</v>
      </c>
      <c r="Q851" s="192" t="str">
        <f>IFERROR(VLOOKUP(C851,TD!$B$33:$F$37,3,0)," ")</f>
        <v>4503</v>
      </c>
      <c r="R851" s="192">
        <f>IFERROR(VLOOKUP(C851,TD!$B$33:$F$37,4,0)," ")</f>
        <v>20240255</v>
      </c>
      <c r="S851" s="190" t="s">
        <v>175</v>
      </c>
      <c r="T851" s="192" t="str">
        <f>IFERROR(VLOOKUP(S851,TD!$J$34:$K$44,2,0)," ")</f>
        <v>Servicio de atención a incidentes y emergencias.</v>
      </c>
      <c r="U851" s="190" t="str">
        <f>CONCATENATE(S851,"-",T851)</f>
        <v>04-Servicio de atención a incidentes y emergencias.</v>
      </c>
      <c r="V851" s="190" t="s">
        <v>232</v>
      </c>
      <c r="W851" s="192" t="str">
        <f>IFERROR(VLOOKUP(V851,TD!$N$34:$O$46,2,0)," ")</f>
        <v>Servicio de atención a emergencias y desastres</v>
      </c>
      <c r="X851" s="190" t="str">
        <f>CONCATENATE(V851,"_",W851)</f>
        <v>004_Servicio de atención a emergencias y desastres</v>
      </c>
      <c r="Y851" s="190" t="str">
        <f>CONCATENATE(U851," ",X851)</f>
        <v>04-Servicio de atención a incidentes y emergencias. 004_Servicio de atención a emergencias y desastres</v>
      </c>
      <c r="Z851" s="192" t="str">
        <f>CONCATENATE(P851,Q851,R851,S851,V851)</f>
        <v>O23011745032024025504004</v>
      </c>
      <c r="AA851" s="192" t="str">
        <f>IFERROR(VLOOKUP(Y851,TD!$K$47:$L$65,2,0)," ")</f>
        <v>PM/0131/0104/45030040255</v>
      </c>
      <c r="AB851" s="141" t="s">
        <v>138</v>
      </c>
      <c r="AC851" s="212" t="s">
        <v>205</v>
      </c>
    </row>
    <row r="852" spans="2:29" ht="56" x14ac:dyDescent="0.35">
      <c r="B852" s="137">
        <v>20250902</v>
      </c>
      <c r="C852" s="138" t="s">
        <v>209</v>
      </c>
      <c r="D852" s="208" t="s">
        <v>169</v>
      </c>
      <c r="E852" s="209" t="s">
        <v>465</v>
      </c>
      <c r="F852" s="189" t="s">
        <v>1081</v>
      </c>
      <c r="G852" s="189" t="s">
        <v>155</v>
      </c>
      <c r="H852" s="130">
        <v>80111600</v>
      </c>
      <c r="I852" s="191">
        <v>12</v>
      </c>
      <c r="J852" s="191">
        <v>0</v>
      </c>
      <c r="K852" s="126">
        <v>10</v>
      </c>
      <c r="L852" s="125">
        <v>2333333</v>
      </c>
      <c r="M852" s="158" t="s">
        <v>464</v>
      </c>
      <c r="N852" s="141" t="s">
        <v>113</v>
      </c>
      <c r="O852" s="190" t="s">
        <v>222</v>
      </c>
      <c r="P852" s="192" t="str">
        <f>IFERROR(VLOOKUP(C852,TD!$B$33:$F$37,2,0)," ")</f>
        <v>O230117</v>
      </c>
      <c r="Q852" s="192" t="str">
        <f>IFERROR(VLOOKUP(C852,TD!$B$33:$F$37,3,0)," ")</f>
        <v>4503</v>
      </c>
      <c r="R852" s="192">
        <f>IFERROR(VLOOKUP(C852,TD!$B$33:$F$37,4,0)," ")</f>
        <v>20240255</v>
      </c>
      <c r="S852" s="190" t="s">
        <v>175</v>
      </c>
      <c r="T852" s="192" t="str">
        <f>IFERROR(VLOOKUP(S852,TD!$J$34:$K$44,2,0)," ")</f>
        <v>Servicio de atención a incidentes y emergencias.</v>
      </c>
      <c r="U852" s="190" t="str">
        <f>CONCATENATE(S852,"-",T852)</f>
        <v>04-Servicio de atención a incidentes y emergencias.</v>
      </c>
      <c r="V852" s="190" t="s">
        <v>232</v>
      </c>
      <c r="W852" s="192" t="str">
        <f>IFERROR(VLOOKUP(V852,TD!$N$34:$O$46,2,0)," ")</f>
        <v>Servicio de atención a emergencias y desastres</v>
      </c>
      <c r="X852" s="190" t="str">
        <f>CONCATENATE(V852,"_",W852)</f>
        <v>004_Servicio de atención a emergencias y desastres</v>
      </c>
      <c r="Y852" s="190" t="str">
        <f>CONCATENATE(U852," ",X852)</f>
        <v>04-Servicio de atención a incidentes y emergencias. 004_Servicio de atención a emergencias y desastres</v>
      </c>
      <c r="Z852" s="192" t="str">
        <f>CONCATENATE(P852,Q852,R852,S852,V852)</f>
        <v>O23011745032024025504004</v>
      </c>
      <c r="AA852" s="192" t="str">
        <f>IFERROR(VLOOKUP(Y852,TD!$K$47:$L$65,2,0)," ")</f>
        <v>PM/0131/0104/45030040255</v>
      </c>
      <c r="AB852" s="141" t="s">
        <v>138</v>
      </c>
      <c r="AC852" s="212" t="s">
        <v>205</v>
      </c>
    </row>
    <row r="853" spans="2:29" ht="56" x14ac:dyDescent="0.35">
      <c r="B853" s="137">
        <v>20250903</v>
      </c>
      <c r="C853" s="138" t="s">
        <v>209</v>
      </c>
      <c r="D853" s="208" t="s">
        <v>169</v>
      </c>
      <c r="E853" s="209" t="s">
        <v>465</v>
      </c>
      <c r="F853" s="189" t="s">
        <v>1082</v>
      </c>
      <c r="G853" s="189" t="s">
        <v>155</v>
      </c>
      <c r="H853" s="130">
        <v>80111600</v>
      </c>
      <c r="I853" s="191">
        <v>12</v>
      </c>
      <c r="J853" s="191">
        <v>0</v>
      </c>
      <c r="K853" s="126">
        <v>14</v>
      </c>
      <c r="L853" s="125">
        <v>1673443</v>
      </c>
      <c r="M853" s="158" t="s">
        <v>464</v>
      </c>
      <c r="N853" s="141" t="s">
        <v>113</v>
      </c>
      <c r="O853" s="190" t="s">
        <v>222</v>
      </c>
      <c r="P853" s="192" t="str">
        <f>IFERROR(VLOOKUP(C853,TD!$B$33:$F$37,2,0)," ")</f>
        <v>O230117</v>
      </c>
      <c r="Q853" s="192" t="str">
        <f>IFERROR(VLOOKUP(C853,TD!$B$33:$F$37,3,0)," ")</f>
        <v>4503</v>
      </c>
      <c r="R853" s="192">
        <f>IFERROR(VLOOKUP(C853,TD!$B$33:$F$37,4,0)," ")</f>
        <v>20240255</v>
      </c>
      <c r="S853" s="190" t="s">
        <v>175</v>
      </c>
      <c r="T853" s="192" t="str">
        <f>IFERROR(VLOOKUP(S853,TD!$J$34:$K$44,2,0)," ")</f>
        <v>Servicio de atención a incidentes y emergencias.</v>
      </c>
      <c r="U853" s="190" t="str">
        <f>CONCATENATE(S853,"-",T853)</f>
        <v>04-Servicio de atención a incidentes y emergencias.</v>
      </c>
      <c r="V853" s="190" t="s">
        <v>232</v>
      </c>
      <c r="W853" s="192" t="str">
        <f>IFERROR(VLOOKUP(V853,TD!$N$34:$O$46,2,0)," ")</f>
        <v>Servicio de atención a emergencias y desastres</v>
      </c>
      <c r="X853" s="190" t="str">
        <f>CONCATENATE(V853,"_",W853)</f>
        <v>004_Servicio de atención a emergencias y desastres</v>
      </c>
      <c r="Y853" s="190" t="str">
        <f>CONCATENATE(U853," ",X853)</f>
        <v>04-Servicio de atención a incidentes y emergencias. 004_Servicio de atención a emergencias y desastres</v>
      </c>
      <c r="Z853" s="192" t="str">
        <f>CONCATENATE(P853,Q853,R853,S853,V853)</f>
        <v>O23011745032024025504004</v>
      </c>
      <c r="AA853" s="192" t="str">
        <f>IFERROR(VLOOKUP(Y853,TD!$K$47:$L$65,2,0)," ")</f>
        <v>PM/0131/0104/45030040255</v>
      </c>
      <c r="AB853" s="141" t="s">
        <v>138</v>
      </c>
      <c r="AC853" s="212" t="s">
        <v>205</v>
      </c>
    </row>
    <row r="854" spans="2:29" ht="56" x14ac:dyDescent="0.35">
      <c r="B854" s="132">
        <v>20250904</v>
      </c>
      <c r="C854" s="133" t="s">
        <v>209</v>
      </c>
      <c r="D854" s="202" t="s">
        <v>167</v>
      </c>
      <c r="E854" s="205" t="s">
        <v>505</v>
      </c>
      <c r="F854" s="184" t="s">
        <v>1110</v>
      </c>
      <c r="G854" s="184" t="s">
        <v>155</v>
      </c>
      <c r="H854" s="93">
        <v>80111600</v>
      </c>
      <c r="I854" s="185">
        <v>9</v>
      </c>
      <c r="J854" s="185">
        <v>3</v>
      </c>
      <c r="K854" s="52">
        <v>15</v>
      </c>
      <c r="L854" s="53">
        <v>31850000</v>
      </c>
      <c r="M854" s="142" t="s">
        <v>464</v>
      </c>
      <c r="N854" s="131" t="s">
        <v>113</v>
      </c>
      <c r="O854" s="190" t="s">
        <v>221</v>
      </c>
      <c r="P854" s="186" t="str">
        <f>IFERROR(VLOOKUP(C854,TD!$B$33:$F$37,2,0)," ")</f>
        <v>O230117</v>
      </c>
      <c r="Q854" s="186" t="str">
        <f>IFERROR(VLOOKUP(C854,TD!$B$33:$F$37,3,0)," ")</f>
        <v>4503</v>
      </c>
      <c r="R854" s="186">
        <f>IFERROR(VLOOKUP(C854,TD!$B$33:$F$37,4,0)," ")</f>
        <v>20240255</v>
      </c>
      <c r="S854" s="190" t="s">
        <v>181</v>
      </c>
      <c r="T854" s="192" t="str">
        <f>IFERROR(VLOOKUP(S854,TD!$J$34:$K$44,2,0)," ")</f>
        <v>Servicio de inspecciones técnicas realizadas</v>
      </c>
      <c r="U854" s="190" t="str">
        <f>CONCATENATE(S854,"-",T854)</f>
        <v>06-Servicio de inspecciones técnicas realizadas</v>
      </c>
      <c r="V854" s="190" t="s">
        <v>234</v>
      </c>
      <c r="W854" s="192" t="str">
        <f>IFERROR(VLOOKUP(V854,TD!$N$34:$O$46,2,0)," ")</f>
        <v>Servicio prevención y control de incendios</v>
      </c>
      <c r="X854" s="187" t="str">
        <f>CONCATENATE(V854,"_",W854)</f>
        <v>035_Servicio prevención y control de incendios</v>
      </c>
      <c r="Y854" s="187" t="str">
        <f>CONCATENATE(U854," ",X854)</f>
        <v>06-Servicio de inspecciones técnicas realizadas 035_Servicio prevención y control de incendios</v>
      </c>
      <c r="Z854" s="186" t="str">
        <f>CONCATENATE(P854,Q854,R854,S854,V854)</f>
        <v>O23011745032024025506035</v>
      </c>
      <c r="AA854" s="186" t="str">
        <f>IFERROR(VLOOKUP(Y854,TD!$K$47:$L$65,2,0)," ")</f>
        <v>PM/0131/0106/45030350255</v>
      </c>
      <c r="AB854" s="131" t="s">
        <v>138</v>
      </c>
      <c r="AC854" s="207" t="s">
        <v>205</v>
      </c>
    </row>
    <row r="855" spans="2:29" ht="56" x14ac:dyDescent="0.35">
      <c r="B855" s="132">
        <v>20250905</v>
      </c>
      <c r="C855" s="133" t="s">
        <v>209</v>
      </c>
      <c r="D855" s="202" t="s">
        <v>167</v>
      </c>
      <c r="E855" s="205" t="s">
        <v>505</v>
      </c>
      <c r="F855" s="184" t="s">
        <v>1084</v>
      </c>
      <c r="G855" s="184" t="s">
        <v>155</v>
      </c>
      <c r="H855" s="93">
        <v>80111600</v>
      </c>
      <c r="I855" s="185">
        <v>10</v>
      </c>
      <c r="J855" s="185">
        <v>3</v>
      </c>
      <c r="K855" s="52">
        <v>0</v>
      </c>
      <c r="L855" s="53">
        <v>21000000</v>
      </c>
      <c r="M855" s="142" t="s">
        <v>464</v>
      </c>
      <c r="N855" s="131" t="s">
        <v>113</v>
      </c>
      <c r="O855" s="190" t="s">
        <v>221</v>
      </c>
      <c r="P855" s="186" t="str">
        <f>IFERROR(VLOOKUP(C855,TD!$B$33:$F$37,2,0)," ")</f>
        <v>O230117</v>
      </c>
      <c r="Q855" s="186" t="str">
        <f>IFERROR(VLOOKUP(C855,TD!$B$33:$F$37,3,0)," ")</f>
        <v>4503</v>
      </c>
      <c r="R855" s="186">
        <f>IFERROR(VLOOKUP(C855,TD!$B$33:$F$37,4,0)," ")</f>
        <v>20240255</v>
      </c>
      <c r="S855" s="190" t="s">
        <v>177</v>
      </c>
      <c r="T855" s="192" t="str">
        <f>IFERROR(VLOOKUP(S855,TD!$J$34:$K$44,2,0)," ")</f>
        <v>Servicio de capacitaciones en gestión del riesgo de incendios  a la ciudadania.</v>
      </c>
      <c r="U855" s="190" t="str">
        <f>CONCATENATE(S855,"-",T855)</f>
        <v>05-Servicio de capacitaciones en gestión del riesgo de incendios  a la ciudadania.</v>
      </c>
      <c r="V855" s="190" t="s">
        <v>233</v>
      </c>
      <c r="W855" s="192" t="str">
        <f>IFERROR(VLOOKUP(V855,TD!$N$34:$O$46,2,0)," ")</f>
        <v>Servicio de educación informal</v>
      </c>
      <c r="X855" s="187" t="str">
        <f>CONCATENATE(V855,"_",W855)</f>
        <v>002_Servicio de educación informal</v>
      </c>
      <c r="Y855" s="187" t="str">
        <f>CONCATENATE(U855," ",X855)</f>
        <v>05-Servicio de capacitaciones en gestión del riesgo de incendios  a la ciudadania. 002_Servicio de educación informal</v>
      </c>
      <c r="Z855" s="186" t="str">
        <f>CONCATENATE(P855,Q855,R855,S855,V855)</f>
        <v>O23011745032024025505002</v>
      </c>
      <c r="AA855" s="186" t="str">
        <f>IFERROR(VLOOKUP(Y855,TD!$K$47:$L$65,2,0)," ")</f>
        <v>PM/0131/0105/45030020255</v>
      </c>
      <c r="AB855" s="131" t="s">
        <v>138</v>
      </c>
      <c r="AC855" s="207" t="s">
        <v>205</v>
      </c>
    </row>
    <row r="856" spans="2:29" ht="56" x14ac:dyDescent="0.35">
      <c r="B856" s="132">
        <v>20250906</v>
      </c>
      <c r="C856" s="133" t="s">
        <v>209</v>
      </c>
      <c r="D856" s="202" t="s">
        <v>167</v>
      </c>
      <c r="E856" s="205" t="s">
        <v>505</v>
      </c>
      <c r="F856" s="184" t="s">
        <v>1085</v>
      </c>
      <c r="G856" s="184" t="s">
        <v>155</v>
      </c>
      <c r="H856" s="93">
        <v>80111600</v>
      </c>
      <c r="I856" s="185">
        <v>11</v>
      </c>
      <c r="J856" s="185">
        <v>1</v>
      </c>
      <c r="K856" s="52">
        <v>0</v>
      </c>
      <c r="L856" s="53">
        <v>5000000</v>
      </c>
      <c r="M856" s="142" t="s">
        <v>464</v>
      </c>
      <c r="N856" s="131" t="s">
        <v>113</v>
      </c>
      <c r="O856" s="190" t="s">
        <v>221</v>
      </c>
      <c r="P856" s="186" t="str">
        <f>IFERROR(VLOOKUP(C856,TD!$B$33:$F$37,2,0)," ")</f>
        <v>O230117</v>
      </c>
      <c r="Q856" s="186" t="str">
        <f>IFERROR(VLOOKUP(C856,TD!$B$33:$F$37,3,0)," ")</f>
        <v>4503</v>
      </c>
      <c r="R856" s="186">
        <f>IFERROR(VLOOKUP(C856,TD!$B$33:$F$37,4,0)," ")</f>
        <v>20240255</v>
      </c>
      <c r="S856" s="190" t="s">
        <v>177</v>
      </c>
      <c r="T856" s="192" t="str">
        <f>IFERROR(VLOOKUP(S856,TD!$J$34:$K$44,2,0)," ")</f>
        <v>Servicio de capacitaciones en gestión del riesgo de incendios  a la ciudadania.</v>
      </c>
      <c r="U856" s="190" t="str">
        <f>CONCATENATE(S856,"-",T856)</f>
        <v>05-Servicio de capacitaciones en gestión del riesgo de incendios  a la ciudadania.</v>
      </c>
      <c r="V856" s="190" t="s">
        <v>233</v>
      </c>
      <c r="W856" s="192" t="str">
        <f>IFERROR(VLOOKUP(V856,TD!$N$34:$O$46,2,0)," ")</f>
        <v>Servicio de educación informal</v>
      </c>
      <c r="X856" s="187" t="str">
        <f>CONCATENATE(V856,"_",W856)</f>
        <v>002_Servicio de educación informal</v>
      </c>
      <c r="Y856" s="187" t="str">
        <f>CONCATENATE(U856," ",X856)</f>
        <v>05-Servicio de capacitaciones en gestión del riesgo de incendios  a la ciudadania. 002_Servicio de educación informal</v>
      </c>
      <c r="Z856" s="186" t="str">
        <f>CONCATENATE(P856,Q856,R856,S856,V856)</f>
        <v>O23011745032024025505002</v>
      </c>
      <c r="AA856" s="186" t="str">
        <f>IFERROR(VLOOKUP(Y856,TD!$K$47:$L$65,2,0)," ")</f>
        <v>PM/0131/0105/45030020255</v>
      </c>
      <c r="AB856" s="131" t="s">
        <v>138</v>
      </c>
      <c r="AC856" s="207" t="s">
        <v>205</v>
      </c>
    </row>
    <row r="857" spans="2:29" ht="56" x14ac:dyDescent="0.35">
      <c r="B857" s="132">
        <v>20250907</v>
      </c>
      <c r="C857" s="133" t="s">
        <v>209</v>
      </c>
      <c r="D857" s="202" t="s">
        <v>167</v>
      </c>
      <c r="E857" s="205" t="s">
        <v>505</v>
      </c>
      <c r="F857" s="184" t="s">
        <v>1086</v>
      </c>
      <c r="G857" s="184" t="s">
        <v>156</v>
      </c>
      <c r="H857" s="93">
        <v>80111600</v>
      </c>
      <c r="I857" s="185">
        <v>12</v>
      </c>
      <c r="J857" s="185">
        <v>1</v>
      </c>
      <c r="K857" s="52">
        <v>0</v>
      </c>
      <c r="L857" s="53">
        <v>3760000</v>
      </c>
      <c r="M857" s="142" t="s">
        <v>464</v>
      </c>
      <c r="N857" s="131" t="s">
        <v>113</v>
      </c>
      <c r="O857" s="190" t="s">
        <v>221</v>
      </c>
      <c r="P857" s="186" t="str">
        <f>IFERROR(VLOOKUP(C857,TD!$B$33:$F$37,2,0)," ")</f>
        <v>O230117</v>
      </c>
      <c r="Q857" s="186" t="str">
        <f>IFERROR(VLOOKUP(C857,TD!$B$33:$F$37,3,0)," ")</f>
        <v>4503</v>
      </c>
      <c r="R857" s="186">
        <f>IFERROR(VLOOKUP(C857,TD!$B$33:$F$37,4,0)," ")</f>
        <v>20240255</v>
      </c>
      <c r="S857" s="190" t="s">
        <v>179</v>
      </c>
      <c r="T857" s="192" t="str">
        <f>IFERROR(VLOOKUP(S857,TD!$J$34:$K$44,2,0)," ")</f>
        <v>Infraestructura Tecnológica   (Sistemas de Información y Tecnologia)</v>
      </c>
      <c r="U857" s="190" t="str">
        <f>CONCATENATE(S857,"-",T857)</f>
        <v>11-Infraestructura Tecnológica   (Sistemas de Información y Tecnologia)</v>
      </c>
      <c r="V857" s="190" t="s">
        <v>235</v>
      </c>
      <c r="W857" s="192" t="str">
        <f>IFERROR(VLOOKUP(V857,TD!$N$34:$O$46,2,0)," ")</f>
        <v>"Servicio de monitoreo y seguimiento para la gestión del riesgo"</v>
      </c>
      <c r="X857" s="187" t="str">
        <f>CONCATENATE(V857,"_",W857)</f>
        <v>018_"Servicio de monitoreo y seguimiento para la gestión del riesgo"</v>
      </c>
      <c r="Y857" s="187" t="str">
        <f>CONCATENATE(U857," ",X857)</f>
        <v>11-Infraestructura Tecnológica   (Sistemas de Información y Tecnologia) 018_"Servicio de monitoreo y seguimiento para la gestión del riesgo"</v>
      </c>
      <c r="Z857" s="186" t="str">
        <f>CONCATENATE(P857,Q857,R857,S857,V857)</f>
        <v>O23011745032024025511018</v>
      </c>
      <c r="AA857" s="186" t="str">
        <f>IFERROR(VLOOKUP(Y857,TD!$K$47:$L$65,2,0)," ")</f>
        <v>PM/0131/0111/45030180255</v>
      </c>
      <c r="AB857" s="131" t="s">
        <v>138</v>
      </c>
      <c r="AC857" s="207" t="s">
        <v>205</v>
      </c>
    </row>
    <row r="858" spans="2:29" ht="84" x14ac:dyDescent="0.35">
      <c r="B858" s="132">
        <v>20250908</v>
      </c>
      <c r="C858" s="50" t="s">
        <v>209</v>
      </c>
      <c r="D858" s="184" t="s">
        <v>167</v>
      </c>
      <c r="E858" s="51" t="s">
        <v>505</v>
      </c>
      <c r="F858" s="184" t="s">
        <v>1087</v>
      </c>
      <c r="G858" s="184" t="s">
        <v>155</v>
      </c>
      <c r="H858" s="93">
        <v>80111600</v>
      </c>
      <c r="I858" s="185">
        <v>12</v>
      </c>
      <c r="J858" s="185">
        <v>1</v>
      </c>
      <c r="K858" s="52">
        <v>0</v>
      </c>
      <c r="L858" s="53">
        <v>8000000</v>
      </c>
      <c r="M858" s="136" t="s">
        <v>464</v>
      </c>
      <c r="N858" s="53" t="s">
        <v>113</v>
      </c>
      <c r="O858" s="190" t="s">
        <v>225</v>
      </c>
      <c r="P858" s="186" t="str">
        <f>IFERROR(VLOOKUP(C858,TD!$B$33:$F$37,2,0)," ")</f>
        <v>O230117</v>
      </c>
      <c r="Q858" s="186" t="str">
        <f>IFERROR(VLOOKUP(C858,TD!$B$33:$F$37,3,0)," ")</f>
        <v>4503</v>
      </c>
      <c r="R858" s="186">
        <f>IFERROR(VLOOKUP(C858,TD!$B$33:$F$37,4,0)," ")</f>
        <v>20240255</v>
      </c>
      <c r="S858" s="190" t="s">
        <v>179</v>
      </c>
      <c r="T858" s="192" t="str">
        <f>IFERROR(VLOOKUP(S858,TD!$J$34:$K$44,2,0)," ")</f>
        <v>Infraestructura Tecnológica   (Sistemas de Información y Tecnologia)</v>
      </c>
      <c r="U858" s="190" t="str">
        <f>CONCATENATE(S858,"-",T858)</f>
        <v>11-Infraestructura Tecnológica   (Sistemas de Información y Tecnologia)</v>
      </c>
      <c r="V858" s="190" t="s">
        <v>235</v>
      </c>
      <c r="W858" s="192" t="str">
        <f>IFERROR(VLOOKUP(V858,TD!$N$34:$O$46,2,0)," ")</f>
        <v>"Servicio de monitoreo y seguimiento para la gestión del riesgo"</v>
      </c>
      <c r="X858" s="187" t="str">
        <f>CONCATENATE(V858,"_",W858)</f>
        <v>018_"Servicio de monitoreo y seguimiento para la gestión del riesgo"</v>
      </c>
      <c r="Y858" s="187" t="str">
        <f>CONCATENATE(U858," ",X858)</f>
        <v>11-Infraestructura Tecnológica   (Sistemas de Información y Tecnologia) 018_"Servicio de monitoreo y seguimiento para la gestión del riesgo"</v>
      </c>
      <c r="Z858" s="186" t="str">
        <f>CONCATENATE(P858,Q858,R858,S858,V858)</f>
        <v>O23011745032024025511018</v>
      </c>
      <c r="AA858" s="186" t="str">
        <f>IFERROR(VLOOKUP(Y858,TD!$K$47:$L$65,2,0)," ")</f>
        <v>PM/0131/0111/45030180255</v>
      </c>
      <c r="AB858" s="53" t="s">
        <v>138</v>
      </c>
      <c r="AC858" s="188" t="s">
        <v>205</v>
      </c>
    </row>
    <row r="859" spans="2:29" ht="70" x14ac:dyDescent="0.35">
      <c r="B859" s="132">
        <v>20250910</v>
      </c>
      <c r="C859" s="50" t="s">
        <v>209</v>
      </c>
      <c r="D859" s="184" t="s">
        <v>167</v>
      </c>
      <c r="E859" s="51" t="s">
        <v>505</v>
      </c>
      <c r="F859" s="184" t="s">
        <v>1089</v>
      </c>
      <c r="G859" s="184" t="s">
        <v>155</v>
      </c>
      <c r="H859" s="93">
        <v>80111600</v>
      </c>
      <c r="I859" s="185">
        <v>11</v>
      </c>
      <c r="J859" s="185">
        <v>2</v>
      </c>
      <c r="K859" s="52">
        <v>0</v>
      </c>
      <c r="L859" s="53">
        <v>12000000</v>
      </c>
      <c r="M859" s="136" t="s">
        <v>464</v>
      </c>
      <c r="N859" s="53" t="s">
        <v>113</v>
      </c>
      <c r="O859" s="190" t="s">
        <v>225</v>
      </c>
      <c r="P859" s="186" t="str">
        <f>IFERROR(VLOOKUP(C859,TD!$B$33:$F$37,2,0)," ")</f>
        <v>O230117</v>
      </c>
      <c r="Q859" s="186" t="str">
        <f>IFERROR(VLOOKUP(C859,TD!$B$33:$F$37,3,0)," ")</f>
        <v>4503</v>
      </c>
      <c r="R859" s="186">
        <f>IFERROR(VLOOKUP(C859,TD!$B$33:$F$37,4,0)," ")</f>
        <v>20240255</v>
      </c>
      <c r="S859" s="190" t="s">
        <v>179</v>
      </c>
      <c r="T859" s="192" t="str">
        <f>IFERROR(VLOOKUP(S859,TD!$J$34:$K$44,2,0)," ")</f>
        <v>Infraestructura Tecnológica   (Sistemas de Información y Tecnologia)</v>
      </c>
      <c r="U859" s="190" t="str">
        <f>CONCATENATE(S859,"-",T859)</f>
        <v>11-Infraestructura Tecnológica   (Sistemas de Información y Tecnologia)</v>
      </c>
      <c r="V859" s="190" t="s">
        <v>235</v>
      </c>
      <c r="W859" s="192" t="str">
        <f>IFERROR(VLOOKUP(V859,TD!$N$34:$O$46,2,0)," ")</f>
        <v>"Servicio de monitoreo y seguimiento para la gestión del riesgo"</v>
      </c>
      <c r="X859" s="187" t="str">
        <f>CONCATENATE(V859,"_",W859)</f>
        <v>018_"Servicio de monitoreo y seguimiento para la gestión del riesgo"</v>
      </c>
      <c r="Y859" s="187" t="str">
        <f>CONCATENATE(U859," ",X859)</f>
        <v>11-Infraestructura Tecnológica   (Sistemas de Información y Tecnologia) 018_"Servicio de monitoreo y seguimiento para la gestión del riesgo"</v>
      </c>
      <c r="Z859" s="186" t="str">
        <f>CONCATENATE(P859,Q859,R859,S859,V859)</f>
        <v>O23011745032024025511018</v>
      </c>
      <c r="AA859" s="186" t="str">
        <f>IFERROR(VLOOKUP(Y859,TD!$K$47:$L$65,2,0)," ")</f>
        <v>PM/0131/0111/45030180255</v>
      </c>
      <c r="AB859" s="53" t="s">
        <v>138</v>
      </c>
      <c r="AC859" s="188" t="s">
        <v>205</v>
      </c>
    </row>
    <row r="860" spans="2:29" ht="70" x14ac:dyDescent="0.35">
      <c r="B860" s="132">
        <v>20250911</v>
      </c>
      <c r="C860" s="50" t="s">
        <v>209</v>
      </c>
      <c r="D860" s="184" t="s">
        <v>167</v>
      </c>
      <c r="E860" s="51" t="s">
        <v>505</v>
      </c>
      <c r="F860" s="184" t="s">
        <v>1090</v>
      </c>
      <c r="G860" s="184" t="s">
        <v>155</v>
      </c>
      <c r="H860" s="93">
        <v>80111600</v>
      </c>
      <c r="I860" s="185">
        <v>10</v>
      </c>
      <c r="J860" s="185">
        <v>3</v>
      </c>
      <c r="K860" s="52">
        <v>15</v>
      </c>
      <c r="L860" s="53">
        <v>24500000</v>
      </c>
      <c r="M860" s="136" t="s">
        <v>464</v>
      </c>
      <c r="N860" s="53" t="s">
        <v>113</v>
      </c>
      <c r="O860" s="190" t="s">
        <v>221</v>
      </c>
      <c r="P860" s="186" t="str">
        <f>IFERROR(VLOOKUP(C860,TD!$B$33:$F$37,2,0)," ")</f>
        <v>O230117</v>
      </c>
      <c r="Q860" s="186" t="str">
        <f>IFERROR(VLOOKUP(C860,TD!$B$33:$F$37,3,0)," ")</f>
        <v>4503</v>
      </c>
      <c r="R860" s="186">
        <f>IFERROR(VLOOKUP(C860,TD!$B$33:$F$37,4,0)," ")</f>
        <v>20240255</v>
      </c>
      <c r="S860" s="190" t="s">
        <v>181</v>
      </c>
      <c r="T860" s="192" t="str">
        <f>IFERROR(VLOOKUP(S860,TD!$J$34:$K$44,2,0)," ")</f>
        <v>Servicio de inspecciones técnicas realizadas</v>
      </c>
      <c r="U860" s="190" t="str">
        <f>CONCATENATE(S860,"-",T860)</f>
        <v>06-Servicio de inspecciones técnicas realizadas</v>
      </c>
      <c r="V860" s="190" t="s">
        <v>234</v>
      </c>
      <c r="W860" s="192" t="str">
        <f>IFERROR(VLOOKUP(V860,TD!$N$34:$O$46,2,0)," ")</f>
        <v>Servicio prevención y control de incendios</v>
      </c>
      <c r="X860" s="187" t="str">
        <f>CONCATENATE(V860,"_",W860)</f>
        <v>035_Servicio prevención y control de incendios</v>
      </c>
      <c r="Y860" s="187" t="str">
        <f>CONCATENATE(U860," ",X860)</f>
        <v>06-Servicio de inspecciones técnicas realizadas 035_Servicio prevención y control de incendios</v>
      </c>
      <c r="Z860" s="186" t="str">
        <f>CONCATENATE(P860,Q860,R860,S860,V860)</f>
        <v>O23011745032024025506035</v>
      </c>
      <c r="AA860" s="186" t="str">
        <f>IFERROR(VLOOKUP(Y860,TD!$K$47:$L$65,2,0)," ")</f>
        <v>PM/0131/0106/45030350255</v>
      </c>
      <c r="AB860" s="53" t="s">
        <v>138</v>
      </c>
      <c r="AC860" s="188" t="s">
        <v>205</v>
      </c>
    </row>
    <row r="861" spans="2:29" ht="70" x14ac:dyDescent="0.35">
      <c r="B861" s="132">
        <v>20250912</v>
      </c>
      <c r="C861" s="50" t="s">
        <v>209</v>
      </c>
      <c r="D861" s="184" t="s">
        <v>167</v>
      </c>
      <c r="E861" s="51" t="s">
        <v>505</v>
      </c>
      <c r="F861" s="202" t="s">
        <v>1091</v>
      </c>
      <c r="G861" s="202" t="s">
        <v>156</v>
      </c>
      <c r="H861" s="134">
        <v>80111600</v>
      </c>
      <c r="I861" s="203">
        <v>10</v>
      </c>
      <c r="J861" s="203">
        <v>2</v>
      </c>
      <c r="K861" s="135">
        <v>0</v>
      </c>
      <c r="L861" s="131">
        <v>8800000</v>
      </c>
      <c r="M861" s="142" t="s">
        <v>464</v>
      </c>
      <c r="N861" s="131" t="s">
        <v>113</v>
      </c>
      <c r="O861" s="190" t="s">
        <v>221</v>
      </c>
      <c r="P861" s="204" t="str">
        <f>IFERROR(VLOOKUP(C861,TD!$B$33:$F$37,2,0)," ")</f>
        <v>O230117</v>
      </c>
      <c r="Q861" s="204" t="str">
        <f>IFERROR(VLOOKUP(C861,TD!$B$33:$F$37,3,0)," ")</f>
        <v>4503</v>
      </c>
      <c r="R861" s="204">
        <f>IFERROR(VLOOKUP(C861,TD!$B$33:$F$37,4,0)," ")</f>
        <v>20240255</v>
      </c>
      <c r="S861" s="190" t="s">
        <v>181</v>
      </c>
      <c r="T861" s="192" t="str">
        <f>IFERROR(VLOOKUP(S861,TD!$J$34:$K$44,2,0)," ")</f>
        <v>Servicio de inspecciones técnicas realizadas</v>
      </c>
      <c r="U861" s="190" t="str">
        <f>CONCATENATE(S861,"-",T861)</f>
        <v>06-Servicio de inspecciones técnicas realizadas</v>
      </c>
      <c r="V861" s="190" t="s">
        <v>234</v>
      </c>
      <c r="W861" s="192" t="str">
        <f>IFERROR(VLOOKUP(V861,TD!$N$34:$O$46,2,0)," ")</f>
        <v>Servicio prevención y control de incendios</v>
      </c>
      <c r="X861" s="206" t="str">
        <f>CONCATENATE(V861,"_",W861)</f>
        <v>035_Servicio prevención y control de incendios</v>
      </c>
      <c r="Y861" s="206" t="str">
        <f>CONCATENATE(U861," ",X861)</f>
        <v>06-Servicio de inspecciones técnicas realizadas 035_Servicio prevención y control de incendios</v>
      </c>
      <c r="Z861" s="204" t="str">
        <f>CONCATENATE(P861,Q861,R861,S861,V861)</f>
        <v>O23011745032024025506035</v>
      </c>
      <c r="AA861" s="204" t="str">
        <f>IFERROR(VLOOKUP(Y861,TD!$K$47:$L$65,2,0)," ")</f>
        <v>PM/0131/0106/45030350255</v>
      </c>
      <c r="AB861" s="53" t="s">
        <v>138</v>
      </c>
      <c r="AC861" s="188" t="s">
        <v>205</v>
      </c>
    </row>
    <row r="862" spans="2:29" ht="84" x14ac:dyDescent="0.35">
      <c r="B862" s="132">
        <v>20250913</v>
      </c>
      <c r="C862" s="50" t="s">
        <v>209</v>
      </c>
      <c r="D862" s="184" t="s">
        <v>167</v>
      </c>
      <c r="E862" s="51" t="s">
        <v>505</v>
      </c>
      <c r="F862" s="202" t="s">
        <v>1092</v>
      </c>
      <c r="G862" s="202" t="s">
        <v>155</v>
      </c>
      <c r="H862" s="134">
        <v>80111600</v>
      </c>
      <c r="I862" s="203">
        <v>11</v>
      </c>
      <c r="J862" s="203">
        <v>2</v>
      </c>
      <c r="K862" s="135">
        <v>0</v>
      </c>
      <c r="L862" s="131">
        <v>10000000</v>
      </c>
      <c r="M862" s="142" t="s">
        <v>464</v>
      </c>
      <c r="N862" s="131" t="s">
        <v>113</v>
      </c>
      <c r="O862" s="190" t="s">
        <v>226</v>
      </c>
      <c r="P862" s="204" t="str">
        <f>IFERROR(VLOOKUP(C862,TD!$B$33:$F$37,2,0)," ")</f>
        <v>O230117</v>
      </c>
      <c r="Q862" s="204" t="str">
        <f>IFERROR(VLOOKUP(C862,TD!$B$33:$F$37,3,0)," ")</f>
        <v>4503</v>
      </c>
      <c r="R862" s="204">
        <f>IFERROR(VLOOKUP(C862,TD!$B$33:$F$37,4,0)," ")</f>
        <v>20240255</v>
      </c>
      <c r="S862" s="190" t="s">
        <v>179</v>
      </c>
      <c r="T862" s="192" t="str">
        <f>IFERROR(VLOOKUP(S862,TD!$J$34:$K$44,2,0)," ")</f>
        <v>Infraestructura Tecnológica   (Sistemas de Información y Tecnologia)</v>
      </c>
      <c r="U862" s="190" t="str">
        <f>CONCATENATE(S862,"-",T862)</f>
        <v>11-Infraestructura Tecnológica   (Sistemas de Información y Tecnologia)</v>
      </c>
      <c r="V862" s="190" t="s">
        <v>235</v>
      </c>
      <c r="W862" s="192" t="str">
        <f>IFERROR(VLOOKUP(V862,TD!$N$34:$O$46,2,0)," ")</f>
        <v>"Servicio de monitoreo y seguimiento para la gestión del riesgo"</v>
      </c>
      <c r="X862" s="206" t="str">
        <f>CONCATENATE(V862,"_",W862)</f>
        <v>018_"Servicio de monitoreo y seguimiento para la gestión del riesgo"</v>
      </c>
      <c r="Y862" s="206" t="str">
        <f>CONCATENATE(U862," ",X862)</f>
        <v>11-Infraestructura Tecnológica   (Sistemas de Información y Tecnologia) 018_"Servicio de monitoreo y seguimiento para la gestión del riesgo"</v>
      </c>
      <c r="Z862" s="204" t="str">
        <f>CONCATENATE(P862,Q862,R862,S862,V862)</f>
        <v>O23011745032024025511018</v>
      </c>
      <c r="AA862" s="204" t="str">
        <f>IFERROR(VLOOKUP(Y862,TD!$K$47:$L$65,2,0)," ")</f>
        <v>PM/0131/0111/45030180255</v>
      </c>
      <c r="AB862" s="53" t="s">
        <v>138</v>
      </c>
      <c r="AC862" s="188" t="s">
        <v>205</v>
      </c>
    </row>
    <row r="863" spans="2:29" ht="84" x14ac:dyDescent="0.35">
      <c r="B863" s="132">
        <v>20250914</v>
      </c>
      <c r="C863" s="50" t="s">
        <v>209</v>
      </c>
      <c r="D863" s="184" t="s">
        <v>167</v>
      </c>
      <c r="E863" s="51" t="s">
        <v>505</v>
      </c>
      <c r="F863" s="202" t="s">
        <v>1093</v>
      </c>
      <c r="G863" s="202" t="s">
        <v>156</v>
      </c>
      <c r="H863" s="134">
        <v>80111600</v>
      </c>
      <c r="I863" s="203">
        <v>10</v>
      </c>
      <c r="J863" s="203">
        <v>3</v>
      </c>
      <c r="K863" s="135">
        <v>0</v>
      </c>
      <c r="L863" s="131">
        <v>12000000</v>
      </c>
      <c r="M863" s="142" t="s">
        <v>464</v>
      </c>
      <c r="N863" s="131" t="s">
        <v>113</v>
      </c>
      <c r="O863" s="190" t="s">
        <v>226</v>
      </c>
      <c r="P863" s="204" t="str">
        <f>IFERROR(VLOOKUP(C863,TD!$B$33:$F$37,2,0)," ")</f>
        <v>O230117</v>
      </c>
      <c r="Q863" s="204" t="str">
        <f>IFERROR(VLOOKUP(C863,TD!$B$33:$F$37,3,0)," ")</f>
        <v>4503</v>
      </c>
      <c r="R863" s="204">
        <f>IFERROR(VLOOKUP(C863,TD!$B$33:$F$37,4,0)," ")</f>
        <v>20240255</v>
      </c>
      <c r="S863" s="190" t="s">
        <v>179</v>
      </c>
      <c r="T863" s="192" t="str">
        <f>IFERROR(VLOOKUP(S863,TD!$J$34:$K$44,2,0)," ")</f>
        <v>Infraestructura Tecnológica   (Sistemas de Información y Tecnologia)</v>
      </c>
      <c r="U863" s="190" t="str">
        <f>CONCATENATE(S863,"-",T863)</f>
        <v>11-Infraestructura Tecnológica   (Sistemas de Información y Tecnologia)</v>
      </c>
      <c r="V863" s="190" t="s">
        <v>235</v>
      </c>
      <c r="W863" s="192" t="str">
        <f>IFERROR(VLOOKUP(V863,TD!$N$34:$O$46,2,0)," ")</f>
        <v>"Servicio de monitoreo y seguimiento para la gestión del riesgo"</v>
      </c>
      <c r="X863" s="206" t="str">
        <f>CONCATENATE(V863,"_",W863)</f>
        <v>018_"Servicio de monitoreo y seguimiento para la gestión del riesgo"</v>
      </c>
      <c r="Y863" s="206" t="str">
        <f>CONCATENATE(U863," ",X863)</f>
        <v>11-Infraestructura Tecnológica   (Sistemas de Información y Tecnologia) 018_"Servicio de monitoreo y seguimiento para la gestión del riesgo"</v>
      </c>
      <c r="Z863" s="204" t="str">
        <f>CONCATENATE(P863,Q863,R863,S863,V863)</f>
        <v>O23011745032024025511018</v>
      </c>
      <c r="AA863" s="204" t="str">
        <f>IFERROR(VLOOKUP(Y863,TD!$K$47:$L$65,2,0)," ")</f>
        <v>PM/0131/0111/45030180255</v>
      </c>
      <c r="AB863" s="53" t="s">
        <v>138</v>
      </c>
      <c r="AC863" s="188" t="s">
        <v>205</v>
      </c>
    </row>
    <row r="864" spans="2:29" ht="392" x14ac:dyDescent="0.35">
      <c r="B864" s="132">
        <v>20250915</v>
      </c>
      <c r="C864" s="133" t="s">
        <v>209</v>
      </c>
      <c r="D864" s="202" t="s">
        <v>167</v>
      </c>
      <c r="E864" s="205" t="s">
        <v>505</v>
      </c>
      <c r="F864" s="202" t="s">
        <v>1094</v>
      </c>
      <c r="G864" s="202" t="s">
        <v>155</v>
      </c>
      <c r="H864" s="134">
        <v>80111600</v>
      </c>
      <c r="I864" s="203">
        <v>11</v>
      </c>
      <c r="J864" s="203">
        <v>1</v>
      </c>
      <c r="K864" s="135">
        <v>0</v>
      </c>
      <c r="L864" s="131">
        <v>5000000</v>
      </c>
      <c r="M864" s="142" t="s">
        <v>464</v>
      </c>
      <c r="N864" s="131" t="s">
        <v>113</v>
      </c>
      <c r="O864" s="190" t="s">
        <v>226</v>
      </c>
      <c r="P864" s="204" t="str">
        <f>IFERROR(VLOOKUP(C864,TD!$B$33:$F$37,2,0)," ")</f>
        <v>O230117</v>
      </c>
      <c r="Q864" s="204" t="str">
        <f>IFERROR(VLOOKUP(C864,TD!$B$33:$F$37,3,0)," ")</f>
        <v>4503</v>
      </c>
      <c r="R864" s="204">
        <f>IFERROR(VLOOKUP(C864,TD!$B$33:$F$37,4,0)," ")</f>
        <v>20240255</v>
      </c>
      <c r="S864" s="190" t="s">
        <v>179</v>
      </c>
      <c r="T864" s="192" t="str">
        <f>IFERROR(VLOOKUP(S864,TD!$J$34:$K$44,2,0)," ")</f>
        <v>Infraestructura Tecnológica   (Sistemas de Información y Tecnologia)</v>
      </c>
      <c r="U864" s="190" t="str">
        <f>CONCATENATE(S864,"-",T864)</f>
        <v>11-Infraestructura Tecnológica   (Sistemas de Información y Tecnologia)</v>
      </c>
      <c r="V864" s="190" t="s">
        <v>235</v>
      </c>
      <c r="W864" s="192" t="str">
        <f>IFERROR(VLOOKUP(V864,TD!$N$34:$O$46,2,0)," ")</f>
        <v>"Servicio de monitoreo y seguimiento para la gestión del riesgo"</v>
      </c>
      <c r="X864" s="206" t="str">
        <f>CONCATENATE(V864,"_",W864)</f>
        <v>018_"Servicio de monitoreo y seguimiento para la gestión del riesgo"</v>
      </c>
      <c r="Y864" s="206" t="str">
        <f>CONCATENATE(U864," ",X864)</f>
        <v>11-Infraestructura Tecnológica   (Sistemas de Información y Tecnologia) 018_"Servicio de monitoreo y seguimiento para la gestión del riesgo"</v>
      </c>
      <c r="Z864" s="204" t="str">
        <f>CONCATENATE(P864,Q864,R864,S864,V864)</f>
        <v>O23011745032024025511018</v>
      </c>
      <c r="AA864" s="204" t="str">
        <f>IFERROR(VLOOKUP(Y864,TD!$K$47:$L$65,2,0)," ")</f>
        <v>PM/0131/0111/45030180255</v>
      </c>
      <c r="AB864" s="131" t="s">
        <v>138</v>
      </c>
      <c r="AC864" s="207" t="s">
        <v>205</v>
      </c>
    </row>
    <row r="865" spans="2:29" ht="126" x14ac:dyDescent="0.35">
      <c r="B865" s="132">
        <v>20250916</v>
      </c>
      <c r="C865" s="133" t="s">
        <v>209</v>
      </c>
      <c r="D865" s="202" t="s">
        <v>167</v>
      </c>
      <c r="E865" s="205" t="s">
        <v>505</v>
      </c>
      <c r="F865" s="202" t="s">
        <v>1095</v>
      </c>
      <c r="G865" s="202" t="s">
        <v>156</v>
      </c>
      <c r="H865" s="134">
        <v>80111600</v>
      </c>
      <c r="I865" s="203">
        <v>10</v>
      </c>
      <c r="J865" s="203">
        <v>3</v>
      </c>
      <c r="K865" s="135">
        <v>0</v>
      </c>
      <c r="L865" s="131">
        <v>10500000</v>
      </c>
      <c r="M865" s="142" t="s">
        <v>464</v>
      </c>
      <c r="N865" s="131" t="s">
        <v>113</v>
      </c>
      <c r="O865" s="190" t="s">
        <v>221</v>
      </c>
      <c r="P865" s="204" t="str">
        <f>IFERROR(VLOOKUP(C865,TD!$B$33:$F$37,2,0)," ")</f>
        <v>O230117</v>
      </c>
      <c r="Q865" s="204" t="str">
        <f>IFERROR(VLOOKUP(C865,TD!$B$33:$F$37,3,0)," ")</f>
        <v>4503</v>
      </c>
      <c r="R865" s="204">
        <f>IFERROR(VLOOKUP(C865,TD!$B$33:$F$37,4,0)," ")</f>
        <v>20240255</v>
      </c>
      <c r="S865" s="190" t="s">
        <v>177</v>
      </c>
      <c r="T865" s="192" t="str">
        <f>IFERROR(VLOOKUP(S865,TD!$J$34:$K$44,2,0)," ")</f>
        <v>Servicio de capacitaciones en gestión del riesgo de incendios  a la ciudadania.</v>
      </c>
      <c r="U865" s="190" t="str">
        <f>CONCATENATE(S865,"-",T865)</f>
        <v>05-Servicio de capacitaciones en gestión del riesgo de incendios  a la ciudadania.</v>
      </c>
      <c r="V865" s="190" t="s">
        <v>234</v>
      </c>
      <c r="W865" s="192" t="str">
        <f>IFERROR(VLOOKUP(V865,TD!$N$34:$O$46,2,0)," ")</f>
        <v>Servicio prevención y control de incendios</v>
      </c>
      <c r="X865" s="206" t="str">
        <f>CONCATENATE(V865,"_",W865)</f>
        <v>035_Servicio prevención y control de incendios</v>
      </c>
      <c r="Y865" s="206" t="str">
        <f>CONCATENATE(U865," ",X865)</f>
        <v>05-Servicio de capacitaciones en gestión del riesgo de incendios  a la ciudadania. 035_Servicio prevención y control de incendios</v>
      </c>
      <c r="Z865" s="204" t="str">
        <f>CONCATENATE(P865,Q865,R865,S865,V865)</f>
        <v>O23011745032024025505035</v>
      </c>
      <c r="AA865" s="204" t="str">
        <f>IFERROR(VLOOKUP(Y865,TD!$K$47:$L$65,2,0)," ")</f>
        <v>PM/0131/0105/45030350255</v>
      </c>
      <c r="AB865" s="131" t="s">
        <v>138</v>
      </c>
      <c r="AC865" s="207" t="s">
        <v>205</v>
      </c>
    </row>
    <row r="866" spans="2:29" ht="112" x14ac:dyDescent="0.35">
      <c r="B866" s="132">
        <v>20250917</v>
      </c>
      <c r="C866" s="133" t="s">
        <v>209</v>
      </c>
      <c r="D866" s="202" t="s">
        <v>167</v>
      </c>
      <c r="E866" s="205" t="s">
        <v>505</v>
      </c>
      <c r="F866" s="202" t="s">
        <v>1096</v>
      </c>
      <c r="G866" s="202" t="s">
        <v>155</v>
      </c>
      <c r="H866" s="134">
        <v>80111600</v>
      </c>
      <c r="I866" s="203">
        <v>10</v>
      </c>
      <c r="J866" s="203">
        <v>3</v>
      </c>
      <c r="K866" s="135">
        <v>0</v>
      </c>
      <c r="L866" s="131">
        <v>21000000</v>
      </c>
      <c r="M866" s="142" t="s">
        <v>464</v>
      </c>
      <c r="N866" s="131" t="s">
        <v>113</v>
      </c>
      <c r="O866" s="190" t="s">
        <v>221</v>
      </c>
      <c r="P866" s="204" t="str">
        <f>IFERROR(VLOOKUP(C866,TD!$B$33:$F$37,2,0)," ")</f>
        <v>O230117</v>
      </c>
      <c r="Q866" s="204" t="str">
        <f>IFERROR(VLOOKUP(C866,TD!$B$33:$F$37,3,0)," ")</f>
        <v>4503</v>
      </c>
      <c r="R866" s="204">
        <f>IFERROR(VLOOKUP(C866,TD!$B$33:$F$37,4,0)," ")</f>
        <v>20240255</v>
      </c>
      <c r="S866" s="190" t="s">
        <v>177</v>
      </c>
      <c r="T866" s="192" t="str">
        <f>IFERROR(VLOOKUP(S866,TD!$J$34:$K$44,2,0)," ")</f>
        <v>Servicio de capacitaciones en gestión del riesgo de incendios  a la ciudadania.</v>
      </c>
      <c r="U866" s="190" t="str">
        <f>CONCATENATE(S866,"-",T866)</f>
        <v>05-Servicio de capacitaciones en gestión del riesgo de incendios  a la ciudadania.</v>
      </c>
      <c r="V866" s="190" t="s">
        <v>233</v>
      </c>
      <c r="W866" s="192" t="str">
        <f>IFERROR(VLOOKUP(V866,TD!$N$34:$O$46,2,0)," ")</f>
        <v>Servicio de educación informal</v>
      </c>
      <c r="X866" s="206" t="str">
        <f>CONCATENATE(V866,"_",W866)</f>
        <v>002_Servicio de educación informal</v>
      </c>
      <c r="Y866" s="206" t="str">
        <f>CONCATENATE(U866," ",X866)</f>
        <v>05-Servicio de capacitaciones en gestión del riesgo de incendios  a la ciudadania. 002_Servicio de educación informal</v>
      </c>
      <c r="Z866" s="204" t="str">
        <f>CONCATENATE(P866,Q866,R866,S866,V866)</f>
        <v>O23011745032024025505002</v>
      </c>
      <c r="AA866" s="204" t="str">
        <f>IFERROR(VLOOKUP(Y866,TD!$K$47:$L$65,2,0)," ")</f>
        <v>PM/0131/0105/45030020255</v>
      </c>
      <c r="AB866" s="131" t="s">
        <v>138</v>
      </c>
      <c r="AC866" s="207" t="s">
        <v>205</v>
      </c>
    </row>
    <row r="867" spans="2:29" ht="56" x14ac:dyDescent="0.35">
      <c r="B867" s="132">
        <v>20250918</v>
      </c>
      <c r="C867" s="133" t="s">
        <v>209</v>
      </c>
      <c r="D867" s="202" t="s">
        <v>167</v>
      </c>
      <c r="E867" s="205" t="s">
        <v>505</v>
      </c>
      <c r="F867" s="202" t="s">
        <v>1097</v>
      </c>
      <c r="G867" s="202" t="s">
        <v>155</v>
      </c>
      <c r="H867" s="134">
        <v>80111600</v>
      </c>
      <c r="I867" s="203">
        <v>9</v>
      </c>
      <c r="J867" s="203">
        <v>3</v>
      </c>
      <c r="K867" s="135">
        <v>0</v>
      </c>
      <c r="L867" s="131">
        <v>18000000</v>
      </c>
      <c r="M867" s="142" t="s">
        <v>464</v>
      </c>
      <c r="N867" s="131" t="s">
        <v>113</v>
      </c>
      <c r="O867" s="190" t="s">
        <v>221</v>
      </c>
      <c r="P867" s="204" t="str">
        <f>IFERROR(VLOOKUP(C867,TD!$B$33:$F$37,2,0)," ")</f>
        <v>O230117</v>
      </c>
      <c r="Q867" s="204" t="str">
        <f>IFERROR(VLOOKUP(C867,TD!$B$33:$F$37,3,0)," ")</f>
        <v>4503</v>
      </c>
      <c r="R867" s="204">
        <f>IFERROR(VLOOKUP(C867,TD!$B$33:$F$37,4,0)," ")</f>
        <v>20240255</v>
      </c>
      <c r="S867" s="190" t="s">
        <v>181</v>
      </c>
      <c r="T867" s="192" t="str">
        <f>IFERROR(VLOOKUP(S867,TD!$J$34:$K$44,2,0)," ")</f>
        <v>Servicio de inspecciones técnicas realizadas</v>
      </c>
      <c r="U867" s="190" t="str">
        <f>CONCATENATE(S867,"-",T867)</f>
        <v>06-Servicio de inspecciones técnicas realizadas</v>
      </c>
      <c r="V867" s="190" t="s">
        <v>234</v>
      </c>
      <c r="W867" s="192" t="str">
        <f>IFERROR(VLOOKUP(V867,TD!$N$34:$O$46,2,0)," ")</f>
        <v>Servicio prevención y control de incendios</v>
      </c>
      <c r="X867" s="206" t="str">
        <f>CONCATENATE(V867,"_",W867)</f>
        <v>035_Servicio prevención y control de incendios</v>
      </c>
      <c r="Y867" s="206" t="str">
        <f>CONCATENATE(U867," ",X867)</f>
        <v>06-Servicio de inspecciones técnicas realizadas 035_Servicio prevención y control de incendios</v>
      </c>
      <c r="Z867" s="204" t="str">
        <f>CONCATENATE(P867,Q867,R867,S867,V867)</f>
        <v>O23011745032024025506035</v>
      </c>
      <c r="AA867" s="204" t="str">
        <f>IFERROR(VLOOKUP(Y867,TD!$K$47:$L$65,2,0)," ")</f>
        <v>PM/0131/0106/45030350255</v>
      </c>
      <c r="AB867" s="53" t="s">
        <v>138</v>
      </c>
      <c r="AC867" s="207" t="s">
        <v>205</v>
      </c>
    </row>
    <row r="868" spans="2:29" ht="84" x14ac:dyDescent="0.35">
      <c r="B868" s="77">
        <v>20250919</v>
      </c>
      <c r="C868" s="50" t="s">
        <v>209</v>
      </c>
      <c r="D868" s="184" t="s">
        <v>167</v>
      </c>
      <c r="E868" s="51" t="s">
        <v>505</v>
      </c>
      <c r="F868" s="184" t="s">
        <v>1098</v>
      </c>
      <c r="G868" s="184" t="s">
        <v>155</v>
      </c>
      <c r="H868" s="93">
        <v>80111600</v>
      </c>
      <c r="I868" s="185">
        <v>10</v>
      </c>
      <c r="J868" s="185">
        <v>3</v>
      </c>
      <c r="K868" s="52">
        <v>0</v>
      </c>
      <c r="L868" s="53">
        <v>18000000</v>
      </c>
      <c r="M868" s="136" t="s">
        <v>464</v>
      </c>
      <c r="N868" s="53" t="s">
        <v>113</v>
      </c>
      <c r="O868" s="190" t="s">
        <v>221</v>
      </c>
      <c r="P868" s="186" t="str">
        <f>IFERROR(VLOOKUP(C868,TD!$B$33:$F$37,2,0)," ")</f>
        <v>O230117</v>
      </c>
      <c r="Q868" s="186" t="str">
        <f>IFERROR(VLOOKUP(C868,TD!$B$33:$F$37,3,0)," ")</f>
        <v>4503</v>
      </c>
      <c r="R868" s="186">
        <f>IFERROR(VLOOKUP(C868,TD!$B$33:$F$37,4,0)," ")</f>
        <v>20240255</v>
      </c>
      <c r="S868" s="190" t="s">
        <v>181</v>
      </c>
      <c r="T868" s="192" t="str">
        <f>IFERROR(VLOOKUP(S868,TD!$J$34:$K$44,2,0)," ")</f>
        <v>Servicio de inspecciones técnicas realizadas</v>
      </c>
      <c r="U868" s="190" t="str">
        <f>CONCATENATE(S868,"-",T868)</f>
        <v>06-Servicio de inspecciones técnicas realizadas</v>
      </c>
      <c r="V868" s="190" t="s">
        <v>234</v>
      </c>
      <c r="W868" s="192" t="str">
        <f>IFERROR(VLOOKUP(V868,TD!$N$34:$O$46,2,0)," ")</f>
        <v>Servicio prevención y control de incendios</v>
      </c>
      <c r="X868" s="187" t="str">
        <f>CONCATENATE(V868,"_",W868)</f>
        <v>035_Servicio prevención y control de incendios</v>
      </c>
      <c r="Y868" s="187" t="str">
        <f>CONCATENATE(U868," ",X868)</f>
        <v>06-Servicio de inspecciones técnicas realizadas 035_Servicio prevención y control de incendios</v>
      </c>
      <c r="Z868" s="186" t="str">
        <f>CONCATENATE(P868,Q868,R868,S868,V868)</f>
        <v>O23011745032024025506035</v>
      </c>
      <c r="AA868" s="186" t="str">
        <f>IFERROR(VLOOKUP(Y868,TD!$K$47:$L$65,2,0)," ")</f>
        <v>PM/0131/0106/45030350255</v>
      </c>
      <c r="AB868" s="131" t="s">
        <v>138</v>
      </c>
      <c r="AC868" s="188" t="s">
        <v>205</v>
      </c>
    </row>
    <row r="869" spans="2:29" ht="70" x14ac:dyDescent="0.35">
      <c r="B869" s="132">
        <v>20250920</v>
      </c>
      <c r="C869" s="50" t="s">
        <v>209</v>
      </c>
      <c r="D869" s="184" t="s">
        <v>167</v>
      </c>
      <c r="E869" s="51" t="s">
        <v>505</v>
      </c>
      <c r="F869" s="202" t="s">
        <v>1099</v>
      </c>
      <c r="G869" s="202" t="s">
        <v>156</v>
      </c>
      <c r="H869" s="134">
        <v>80111600</v>
      </c>
      <c r="I869" s="203">
        <v>12</v>
      </c>
      <c r="J869" s="203">
        <v>1</v>
      </c>
      <c r="K869" s="135">
        <v>0</v>
      </c>
      <c r="L869" s="131">
        <v>4000000</v>
      </c>
      <c r="M869" s="142" t="s">
        <v>464</v>
      </c>
      <c r="N869" s="131" t="s">
        <v>113</v>
      </c>
      <c r="O869" s="190" t="s">
        <v>221</v>
      </c>
      <c r="P869" s="204" t="str">
        <f>IFERROR(VLOOKUP(C869,TD!$B$33:$F$37,2,0)," ")</f>
        <v>O230117</v>
      </c>
      <c r="Q869" s="204" t="str">
        <f>IFERROR(VLOOKUP(C869,TD!$B$33:$F$37,3,0)," ")</f>
        <v>4503</v>
      </c>
      <c r="R869" s="204">
        <f>IFERROR(VLOOKUP(C869,TD!$B$33:$F$37,4,0)," ")</f>
        <v>20240255</v>
      </c>
      <c r="S869" s="190" t="s">
        <v>181</v>
      </c>
      <c r="T869" s="192" t="str">
        <f>IFERROR(VLOOKUP(S869,TD!$J$34:$K$44,2,0)," ")</f>
        <v>Servicio de inspecciones técnicas realizadas</v>
      </c>
      <c r="U869" s="190" t="str">
        <f>CONCATENATE(S869,"-",T869)</f>
        <v>06-Servicio de inspecciones técnicas realizadas</v>
      </c>
      <c r="V869" s="190" t="s">
        <v>234</v>
      </c>
      <c r="W869" s="192" t="str">
        <f>IFERROR(VLOOKUP(V869,TD!$N$34:$O$46,2,0)," ")</f>
        <v>Servicio prevención y control de incendios</v>
      </c>
      <c r="X869" s="206" t="str">
        <f>CONCATENATE(V869,"_",W869)</f>
        <v>035_Servicio prevención y control de incendios</v>
      </c>
      <c r="Y869" s="206" t="str">
        <f>CONCATENATE(U869," ",X869)</f>
        <v>06-Servicio de inspecciones técnicas realizadas 035_Servicio prevención y control de incendios</v>
      </c>
      <c r="Z869" s="204" t="str">
        <f>CONCATENATE(P869,Q869,R869,S869,V869)</f>
        <v>O23011745032024025506035</v>
      </c>
      <c r="AA869" s="204" t="str">
        <f>IFERROR(VLOOKUP(Y869,TD!$K$47:$L$65,2,0)," ")</f>
        <v>PM/0131/0106/45030350255</v>
      </c>
      <c r="AB869" s="131" t="s">
        <v>138</v>
      </c>
      <c r="AC869" s="207" t="s">
        <v>205</v>
      </c>
    </row>
    <row r="870" spans="2:29" ht="56" x14ac:dyDescent="0.35">
      <c r="B870" s="132">
        <v>20250921</v>
      </c>
      <c r="C870" s="50" t="s">
        <v>209</v>
      </c>
      <c r="D870" s="184" t="s">
        <v>167</v>
      </c>
      <c r="E870" s="51" t="s">
        <v>505</v>
      </c>
      <c r="F870" s="202" t="s">
        <v>1100</v>
      </c>
      <c r="G870" s="202" t="s">
        <v>156</v>
      </c>
      <c r="H870" s="134">
        <v>80111600</v>
      </c>
      <c r="I870" s="203">
        <v>12</v>
      </c>
      <c r="J870" s="203">
        <v>1</v>
      </c>
      <c r="K870" s="135">
        <v>0</v>
      </c>
      <c r="L870" s="131">
        <v>4000000</v>
      </c>
      <c r="M870" s="142" t="s">
        <v>464</v>
      </c>
      <c r="N870" s="131" t="s">
        <v>113</v>
      </c>
      <c r="O870" s="190" t="s">
        <v>221</v>
      </c>
      <c r="P870" s="204" t="str">
        <f>IFERROR(VLOOKUP(C870,TD!$B$33:$F$37,2,0)," ")</f>
        <v>O230117</v>
      </c>
      <c r="Q870" s="204" t="str">
        <f>IFERROR(VLOOKUP(C870,TD!$B$33:$F$37,3,0)," ")</f>
        <v>4503</v>
      </c>
      <c r="R870" s="204">
        <f>IFERROR(VLOOKUP(C870,TD!$B$33:$F$37,4,0)," ")</f>
        <v>20240255</v>
      </c>
      <c r="S870" s="190" t="s">
        <v>181</v>
      </c>
      <c r="T870" s="192" t="str">
        <f>IFERROR(VLOOKUP(S870,TD!$J$34:$K$44,2,0)," ")</f>
        <v>Servicio de inspecciones técnicas realizadas</v>
      </c>
      <c r="U870" s="190" t="str">
        <f>CONCATENATE(S870,"-",T870)</f>
        <v>06-Servicio de inspecciones técnicas realizadas</v>
      </c>
      <c r="V870" s="190" t="s">
        <v>234</v>
      </c>
      <c r="W870" s="192" t="str">
        <f>IFERROR(VLOOKUP(V870,TD!$N$34:$O$46,2,0)," ")</f>
        <v>Servicio prevención y control de incendios</v>
      </c>
      <c r="X870" s="206" t="str">
        <f>CONCATENATE(V870,"_",W870)</f>
        <v>035_Servicio prevención y control de incendios</v>
      </c>
      <c r="Y870" s="206" t="str">
        <f>CONCATENATE(U870," ",X870)</f>
        <v>06-Servicio de inspecciones técnicas realizadas 035_Servicio prevención y control de incendios</v>
      </c>
      <c r="Z870" s="204" t="str">
        <f>CONCATENATE(P870,Q870,R870,S870,V870)</f>
        <v>O23011745032024025506035</v>
      </c>
      <c r="AA870" s="204" t="str">
        <f>IFERROR(VLOOKUP(Y870,TD!$K$47:$L$65,2,0)," ")</f>
        <v>PM/0131/0106/45030350255</v>
      </c>
      <c r="AB870" s="131" t="s">
        <v>138</v>
      </c>
      <c r="AC870" s="207" t="s">
        <v>205</v>
      </c>
    </row>
    <row r="871" spans="2:29" ht="56" x14ac:dyDescent="0.35">
      <c r="B871" s="132">
        <v>20250922</v>
      </c>
      <c r="C871" s="50" t="s">
        <v>209</v>
      </c>
      <c r="D871" s="184" t="s">
        <v>167</v>
      </c>
      <c r="E871" s="51" t="s">
        <v>505</v>
      </c>
      <c r="F871" s="202" t="s">
        <v>1101</v>
      </c>
      <c r="G871" s="202" t="s">
        <v>156</v>
      </c>
      <c r="H871" s="134">
        <v>80111600</v>
      </c>
      <c r="I871" s="203">
        <v>12</v>
      </c>
      <c r="J871" s="203">
        <v>1</v>
      </c>
      <c r="K871" s="135">
        <v>0</v>
      </c>
      <c r="L871" s="131">
        <v>4000000</v>
      </c>
      <c r="M871" s="142" t="s">
        <v>464</v>
      </c>
      <c r="N871" s="131" t="s">
        <v>113</v>
      </c>
      <c r="O871" s="190" t="s">
        <v>221</v>
      </c>
      <c r="P871" s="204" t="str">
        <f>IFERROR(VLOOKUP(C871,TD!$B$33:$F$37,2,0)," ")</f>
        <v>O230117</v>
      </c>
      <c r="Q871" s="204" t="str">
        <f>IFERROR(VLOOKUP(C871,TD!$B$33:$F$37,3,0)," ")</f>
        <v>4503</v>
      </c>
      <c r="R871" s="204">
        <f>IFERROR(VLOOKUP(C871,TD!$B$33:$F$37,4,0)," ")</f>
        <v>20240255</v>
      </c>
      <c r="S871" s="190" t="s">
        <v>181</v>
      </c>
      <c r="T871" s="192" t="str">
        <f>IFERROR(VLOOKUP(S871,TD!$J$34:$K$44,2,0)," ")</f>
        <v>Servicio de inspecciones técnicas realizadas</v>
      </c>
      <c r="U871" s="190" t="str">
        <f>CONCATENATE(S871,"-",T871)</f>
        <v>06-Servicio de inspecciones técnicas realizadas</v>
      </c>
      <c r="V871" s="190" t="s">
        <v>234</v>
      </c>
      <c r="W871" s="192" t="str">
        <f>IFERROR(VLOOKUP(V871,TD!$N$34:$O$46,2,0)," ")</f>
        <v>Servicio prevención y control de incendios</v>
      </c>
      <c r="X871" s="206" t="str">
        <f>CONCATENATE(V871,"_",W871)</f>
        <v>035_Servicio prevención y control de incendios</v>
      </c>
      <c r="Y871" s="206" t="str">
        <f>CONCATENATE(U871," ",X871)</f>
        <v>06-Servicio de inspecciones técnicas realizadas 035_Servicio prevención y control de incendios</v>
      </c>
      <c r="Z871" s="204" t="str">
        <f>CONCATENATE(P871,Q871,R871,S871,V871)</f>
        <v>O23011745032024025506035</v>
      </c>
      <c r="AA871" s="204" t="str">
        <f>IFERROR(VLOOKUP(Y871,TD!$K$47:$L$65,2,0)," ")</f>
        <v>PM/0131/0106/45030350255</v>
      </c>
      <c r="AB871" s="131" t="s">
        <v>138</v>
      </c>
      <c r="AC871" s="207" t="s">
        <v>205</v>
      </c>
    </row>
    <row r="872" spans="2:29" ht="70" x14ac:dyDescent="0.35">
      <c r="B872" s="132">
        <v>20250923</v>
      </c>
      <c r="C872" s="50" t="s">
        <v>209</v>
      </c>
      <c r="D872" s="184" t="s">
        <v>167</v>
      </c>
      <c r="E872" s="51" t="s">
        <v>505</v>
      </c>
      <c r="F872" s="202" t="s">
        <v>1102</v>
      </c>
      <c r="G872" s="202" t="s">
        <v>156</v>
      </c>
      <c r="H872" s="134">
        <v>80111600</v>
      </c>
      <c r="I872" s="203">
        <v>12</v>
      </c>
      <c r="J872" s="203">
        <v>1</v>
      </c>
      <c r="K872" s="135">
        <v>0</v>
      </c>
      <c r="L872" s="131">
        <v>4000000</v>
      </c>
      <c r="M872" s="142" t="s">
        <v>464</v>
      </c>
      <c r="N872" s="131" t="s">
        <v>113</v>
      </c>
      <c r="O872" s="190" t="s">
        <v>221</v>
      </c>
      <c r="P872" s="204" t="str">
        <f>IFERROR(VLOOKUP(C872,TD!$B$33:$F$37,2,0)," ")</f>
        <v>O230117</v>
      </c>
      <c r="Q872" s="204" t="str">
        <f>IFERROR(VLOOKUP(C872,TD!$B$33:$F$37,3,0)," ")</f>
        <v>4503</v>
      </c>
      <c r="R872" s="204">
        <f>IFERROR(VLOOKUP(C872,TD!$B$33:$F$37,4,0)," ")</f>
        <v>20240255</v>
      </c>
      <c r="S872" s="190" t="s">
        <v>181</v>
      </c>
      <c r="T872" s="192" t="str">
        <f>IFERROR(VLOOKUP(S872,TD!$J$34:$K$44,2,0)," ")</f>
        <v>Servicio de inspecciones técnicas realizadas</v>
      </c>
      <c r="U872" s="190" t="str">
        <f>CONCATENATE(S872,"-",T872)</f>
        <v>06-Servicio de inspecciones técnicas realizadas</v>
      </c>
      <c r="V872" s="190" t="s">
        <v>234</v>
      </c>
      <c r="W872" s="192" t="str">
        <f>IFERROR(VLOOKUP(V872,TD!$N$34:$O$46,2,0)," ")</f>
        <v>Servicio prevención y control de incendios</v>
      </c>
      <c r="X872" s="206" t="str">
        <f>CONCATENATE(V872,"_",W872)</f>
        <v>035_Servicio prevención y control de incendios</v>
      </c>
      <c r="Y872" s="206" t="str">
        <f>CONCATENATE(U872," ",X872)</f>
        <v>06-Servicio de inspecciones técnicas realizadas 035_Servicio prevención y control de incendios</v>
      </c>
      <c r="Z872" s="204" t="str">
        <f>CONCATENATE(P872,Q872,R872,S872,V872)</f>
        <v>O23011745032024025506035</v>
      </c>
      <c r="AA872" s="204" t="str">
        <f>IFERROR(VLOOKUP(Y872,TD!$K$47:$L$65,2,0)," ")</f>
        <v>PM/0131/0106/45030350255</v>
      </c>
      <c r="AB872" s="131" t="s">
        <v>138</v>
      </c>
      <c r="AC872" s="207" t="s">
        <v>205</v>
      </c>
    </row>
    <row r="873" spans="2:29" ht="70" x14ac:dyDescent="0.35">
      <c r="B873" s="132">
        <v>20250924</v>
      </c>
      <c r="C873" s="50" t="s">
        <v>209</v>
      </c>
      <c r="D873" s="184" t="s">
        <v>167</v>
      </c>
      <c r="E873" s="51" t="s">
        <v>505</v>
      </c>
      <c r="F873" s="202" t="s">
        <v>1103</v>
      </c>
      <c r="G873" s="202" t="s">
        <v>156</v>
      </c>
      <c r="H873" s="134">
        <v>80111600</v>
      </c>
      <c r="I873" s="203">
        <v>12</v>
      </c>
      <c r="J873" s="203">
        <v>1</v>
      </c>
      <c r="K873" s="135">
        <v>0</v>
      </c>
      <c r="L873" s="131">
        <v>4000000</v>
      </c>
      <c r="M873" s="142" t="s">
        <v>464</v>
      </c>
      <c r="N873" s="131" t="s">
        <v>113</v>
      </c>
      <c r="O873" s="190" t="s">
        <v>221</v>
      </c>
      <c r="P873" s="204" t="str">
        <f>IFERROR(VLOOKUP(C873,TD!$B$33:$F$37,2,0)," ")</f>
        <v>O230117</v>
      </c>
      <c r="Q873" s="204" t="str">
        <f>IFERROR(VLOOKUP(C873,TD!$B$33:$F$37,3,0)," ")</f>
        <v>4503</v>
      </c>
      <c r="R873" s="204">
        <f>IFERROR(VLOOKUP(C873,TD!$B$33:$F$37,4,0)," ")</f>
        <v>20240255</v>
      </c>
      <c r="S873" s="190" t="s">
        <v>181</v>
      </c>
      <c r="T873" s="192" t="str">
        <f>IFERROR(VLOOKUP(S873,TD!$J$34:$K$44,2,0)," ")</f>
        <v>Servicio de inspecciones técnicas realizadas</v>
      </c>
      <c r="U873" s="190" t="str">
        <f>CONCATENATE(S873,"-",T873)</f>
        <v>06-Servicio de inspecciones técnicas realizadas</v>
      </c>
      <c r="V873" s="190" t="s">
        <v>234</v>
      </c>
      <c r="W873" s="192" t="str">
        <f>IFERROR(VLOOKUP(V873,TD!$N$34:$O$46,2,0)," ")</f>
        <v>Servicio prevención y control de incendios</v>
      </c>
      <c r="X873" s="206" t="str">
        <f>CONCATENATE(V873,"_",W873)</f>
        <v>035_Servicio prevención y control de incendios</v>
      </c>
      <c r="Y873" s="206" t="str">
        <f>CONCATENATE(U873," ",X873)</f>
        <v>06-Servicio de inspecciones técnicas realizadas 035_Servicio prevención y control de incendios</v>
      </c>
      <c r="Z873" s="204" t="str">
        <f>CONCATENATE(P873,Q873,R873,S873,V873)</f>
        <v>O23011745032024025506035</v>
      </c>
      <c r="AA873" s="204" t="str">
        <f>IFERROR(VLOOKUP(Y873,TD!$K$47:$L$65,2,0)," ")</f>
        <v>PM/0131/0106/45030350255</v>
      </c>
      <c r="AB873" s="131" t="s">
        <v>138</v>
      </c>
      <c r="AC873" s="207" t="s">
        <v>205</v>
      </c>
    </row>
    <row r="874" spans="2:29" ht="98" x14ac:dyDescent="0.35">
      <c r="B874" s="132">
        <v>20250925</v>
      </c>
      <c r="C874" s="50" t="s">
        <v>209</v>
      </c>
      <c r="D874" s="184" t="s">
        <v>167</v>
      </c>
      <c r="E874" s="51" t="s">
        <v>505</v>
      </c>
      <c r="F874" s="202" t="s">
        <v>1104</v>
      </c>
      <c r="G874" s="202" t="s">
        <v>156</v>
      </c>
      <c r="H874" s="134">
        <v>80111600</v>
      </c>
      <c r="I874" s="203">
        <v>10</v>
      </c>
      <c r="J874" s="203">
        <v>1</v>
      </c>
      <c r="K874" s="135">
        <v>0</v>
      </c>
      <c r="L874" s="131">
        <v>8000000</v>
      </c>
      <c r="M874" s="142" t="s">
        <v>464</v>
      </c>
      <c r="N874" s="131" t="s">
        <v>113</v>
      </c>
      <c r="O874" s="190" t="s">
        <v>221</v>
      </c>
      <c r="P874" s="204" t="str">
        <f>IFERROR(VLOOKUP(C874,TD!$B$33:$F$37,2,0)," ")</f>
        <v>O230117</v>
      </c>
      <c r="Q874" s="204" t="str">
        <f>IFERROR(VLOOKUP(C874,TD!$B$33:$F$37,3,0)," ")</f>
        <v>4503</v>
      </c>
      <c r="R874" s="204">
        <f>IFERROR(VLOOKUP(C874,TD!$B$33:$F$37,4,0)," ")</f>
        <v>20240255</v>
      </c>
      <c r="S874" s="190" t="s">
        <v>181</v>
      </c>
      <c r="T874" s="192" t="str">
        <f>IFERROR(VLOOKUP(S874,TD!$J$34:$K$44,2,0)," ")</f>
        <v>Servicio de inspecciones técnicas realizadas</v>
      </c>
      <c r="U874" s="190" t="str">
        <f>CONCATENATE(S874,"-",T874)</f>
        <v>06-Servicio de inspecciones técnicas realizadas</v>
      </c>
      <c r="V874" s="190" t="s">
        <v>234</v>
      </c>
      <c r="W874" s="192" t="str">
        <f>IFERROR(VLOOKUP(V874,TD!$N$34:$O$46,2,0)," ")</f>
        <v>Servicio prevención y control de incendios</v>
      </c>
      <c r="X874" s="206" t="str">
        <f>CONCATENATE(V874,"_",W874)</f>
        <v>035_Servicio prevención y control de incendios</v>
      </c>
      <c r="Y874" s="206" t="str">
        <f>CONCATENATE(U874," ",X874)</f>
        <v>06-Servicio de inspecciones técnicas realizadas 035_Servicio prevención y control de incendios</v>
      </c>
      <c r="Z874" s="204" t="str">
        <f>CONCATENATE(P874,Q874,R874,S874,V874)</f>
        <v>O23011745032024025506035</v>
      </c>
      <c r="AA874" s="204" t="str">
        <f>IFERROR(VLOOKUP(Y874,TD!$K$47:$L$65,2,0)," ")</f>
        <v>PM/0131/0106/45030350255</v>
      </c>
      <c r="AB874" s="131" t="s">
        <v>138</v>
      </c>
      <c r="AC874" s="207" t="s">
        <v>205</v>
      </c>
    </row>
    <row r="875" spans="2:29" ht="56" x14ac:dyDescent="0.35">
      <c r="B875" s="132">
        <v>20250926</v>
      </c>
      <c r="C875" s="50" t="s">
        <v>209</v>
      </c>
      <c r="D875" s="184" t="s">
        <v>167</v>
      </c>
      <c r="E875" s="51" t="s">
        <v>505</v>
      </c>
      <c r="F875" s="202" t="s">
        <v>1105</v>
      </c>
      <c r="G875" s="202" t="s">
        <v>156</v>
      </c>
      <c r="H875" s="134">
        <v>80111600</v>
      </c>
      <c r="I875" s="203">
        <v>10</v>
      </c>
      <c r="J875" s="203">
        <v>3</v>
      </c>
      <c r="K875" s="135">
        <v>0</v>
      </c>
      <c r="L875" s="131">
        <v>12000000</v>
      </c>
      <c r="M875" s="142" t="s">
        <v>464</v>
      </c>
      <c r="N875" s="131" t="s">
        <v>113</v>
      </c>
      <c r="O875" s="190" t="s">
        <v>221</v>
      </c>
      <c r="P875" s="204" t="str">
        <f>IFERROR(VLOOKUP(C875,TD!$B$33:$F$37,2,0)," ")</f>
        <v>O230117</v>
      </c>
      <c r="Q875" s="204" t="str">
        <f>IFERROR(VLOOKUP(C875,TD!$B$33:$F$37,3,0)," ")</f>
        <v>4503</v>
      </c>
      <c r="R875" s="204">
        <f>IFERROR(VLOOKUP(C875,TD!$B$33:$F$37,4,0)," ")</f>
        <v>20240255</v>
      </c>
      <c r="S875" s="190" t="s">
        <v>181</v>
      </c>
      <c r="T875" s="192" t="str">
        <f>IFERROR(VLOOKUP(S875,TD!$J$34:$K$44,2,0)," ")</f>
        <v>Servicio de inspecciones técnicas realizadas</v>
      </c>
      <c r="U875" s="190" t="str">
        <f>CONCATENATE(S875,"-",T875)</f>
        <v>06-Servicio de inspecciones técnicas realizadas</v>
      </c>
      <c r="V875" s="190" t="s">
        <v>234</v>
      </c>
      <c r="W875" s="192" t="str">
        <f>IFERROR(VLOOKUP(V875,TD!$N$34:$O$46,2,0)," ")</f>
        <v>Servicio prevención y control de incendios</v>
      </c>
      <c r="X875" s="206" t="str">
        <f>CONCATENATE(V875,"_",W875)</f>
        <v>035_Servicio prevención y control de incendios</v>
      </c>
      <c r="Y875" s="206" t="str">
        <f>CONCATENATE(U875," ",X875)</f>
        <v>06-Servicio de inspecciones técnicas realizadas 035_Servicio prevención y control de incendios</v>
      </c>
      <c r="Z875" s="204" t="str">
        <f>CONCATENATE(P875,Q875,R875,S875,V875)</f>
        <v>O23011745032024025506035</v>
      </c>
      <c r="AA875" s="204" t="str">
        <f>IFERROR(VLOOKUP(Y875,TD!$K$47:$L$65,2,0)," ")</f>
        <v>PM/0131/0106/45030350255</v>
      </c>
      <c r="AB875" s="131" t="s">
        <v>138</v>
      </c>
      <c r="AC875" s="207" t="s">
        <v>205</v>
      </c>
    </row>
    <row r="876" spans="2:29" ht="70" x14ac:dyDescent="0.35">
      <c r="B876" s="77">
        <v>20250927</v>
      </c>
      <c r="C876" s="50" t="s">
        <v>209</v>
      </c>
      <c r="D876" s="184" t="s">
        <v>167</v>
      </c>
      <c r="E876" s="51" t="s">
        <v>505</v>
      </c>
      <c r="F876" s="184" t="s">
        <v>1106</v>
      </c>
      <c r="G876" s="184" t="s">
        <v>156</v>
      </c>
      <c r="H876" s="93">
        <v>80111600</v>
      </c>
      <c r="I876" s="185">
        <v>10</v>
      </c>
      <c r="J876" s="185">
        <v>3</v>
      </c>
      <c r="K876" s="52">
        <v>0</v>
      </c>
      <c r="L876" s="53">
        <v>12000000</v>
      </c>
      <c r="M876" s="136" t="s">
        <v>464</v>
      </c>
      <c r="N876" s="53" t="s">
        <v>113</v>
      </c>
      <c r="O876" s="190" t="s">
        <v>221</v>
      </c>
      <c r="P876" s="186" t="str">
        <f>IFERROR(VLOOKUP(C876,TD!$B$33:$F$37,2,0)," ")</f>
        <v>O230117</v>
      </c>
      <c r="Q876" s="186" t="str">
        <f>IFERROR(VLOOKUP(C876,TD!$B$33:$F$37,3,0)," ")</f>
        <v>4503</v>
      </c>
      <c r="R876" s="186">
        <f>IFERROR(VLOOKUP(C876,TD!$B$33:$F$37,4,0)," ")</f>
        <v>20240255</v>
      </c>
      <c r="S876" s="190" t="s">
        <v>181</v>
      </c>
      <c r="T876" s="192" t="str">
        <f>IFERROR(VLOOKUP(S876,TD!$J$34:$K$44,2,0)," ")</f>
        <v>Servicio de inspecciones técnicas realizadas</v>
      </c>
      <c r="U876" s="190" t="str">
        <f>CONCATENATE(S876,"-",T876)</f>
        <v>06-Servicio de inspecciones técnicas realizadas</v>
      </c>
      <c r="V876" s="190" t="s">
        <v>234</v>
      </c>
      <c r="W876" s="192" t="str">
        <f>IFERROR(VLOOKUP(V876,TD!$N$34:$O$46,2,0)," ")</f>
        <v>Servicio prevención y control de incendios</v>
      </c>
      <c r="X876" s="187" t="str">
        <f>CONCATENATE(V876,"_",W876)</f>
        <v>035_Servicio prevención y control de incendios</v>
      </c>
      <c r="Y876" s="187" t="str">
        <f>CONCATENATE(U876," ",X876)</f>
        <v>06-Servicio de inspecciones técnicas realizadas 035_Servicio prevención y control de incendios</v>
      </c>
      <c r="Z876" s="186" t="str">
        <f>CONCATENATE(P876,Q876,R876,S876,V876)</f>
        <v>O23011745032024025506035</v>
      </c>
      <c r="AA876" s="186" t="str">
        <f>IFERROR(VLOOKUP(Y876,TD!$K$47:$L$65,2,0)," ")</f>
        <v>PM/0131/0106/45030350255</v>
      </c>
      <c r="AB876" s="53" t="s">
        <v>138</v>
      </c>
      <c r="AC876" s="188" t="s">
        <v>205</v>
      </c>
    </row>
    <row r="877" spans="2:29" ht="70" x14ac:dyDescent="0.35">
      <c r="B877" s="132">
        <v>20250928</v>
      </c>
      <c r="C877" s="50" t="s">
        <v>209</v>
      </c>
      <c r="D877" s="184" t="s">
        <v>167</v>
      </c>
      <c r="E877" s="51" t="s">
        <v>505</v>
      </c>
      <c r="F877" s="202" t="s">
        <v>1107</v>
      </c>
      <c r="G877" s="202" t="s">
        <v>155</v>
      </c>
      <c r="H877" s="134">
        <v>80111600</v>
      </c>
      <c r="I877" s="203">
        <v>11</v>
      </c>
      <c r="J877" s="203">
        <v>1</v>
      </c>
      <c r="K877" s="135">
        <v>15</v>
      </c>
      <c r="L877" s="131">
        <v>9500000</v>
      </c>
      <c r="M877" s="142" t="s">
        <v>464</v>
      </c>
      <c r="N877" s="131" t="s">
        <v>113</v>
      </c>
      <c r="O877" s="190" t="s">
        <v>221</v>
      </c>
      <c r="P877" s="204" t="str">
        <f>IFERROR(VLOOKUP(C877,TD!$B$33:$F$37,2,0)," ")</f>
        <v>O230117</v>
      </c>
      <c r="Q877" s="204" t="str">
        <f>IFERROR(VLOOKUP(C877,TD!$B$33:$F$37,3,0)," ")</f>
        <v>4503</v>
      </c>
      <c r="R877" s="204">
        <f>IFERROR(VLOOKUP(C877,TD!$B$33:$F$37,4,0)," ")</f>
        <v>20240255</v>
      </c>
      <c r="S877" s="190" t="s">
        <v>177</v>
      </c>
      <c r="T877" s="192" t="str">
        <f>IFERROR(VLOOKUP(S877,TD!$J$34:$K$44,2,0)," ")</f>
        <v>Servicio de capacitaciones en gestión del riesgo de incendios  a la ciudadania.</v>
      </c>
      <c r="U877" s="190" t="str">
        <f>CONCATENATE(S877,"-",T877)</f>
        <v>05-Servicio de capacitaciones en gestión del riesgo de incendios  a la ciudadania.</v>
      </c>
      <c r="V877" s="190" t="s">
        <v>234</v>
      </c>
      <c r="W877" s="192" t="str">
        <f>IFERROR(VLOOKUP(V877,TD!$N$34:$O$46,2,0)," ")</f>
        <v>Servicio prevención y control de incendios</v>
      </c>
      <c r="X877" s="206" t="str">
        <f>CONCATENATE(V877,"_",W877)</f>
        <v>035_Servicio prevención y control de incendios</v>
      </c>
      <c r="Y877" s="206" t="str">
        <f>CONCATENATE(U877," ",X877)</f>
        <v>05-Servicio de capacitaciones en gestión del riesgo de incendios  a la ciudadania. 035_Servicio prevención y control de incendios</v>
      </c>
      <c r="Z877" s="204" t="str">
        <f>CONCATENATE(P877,Q877,R877,S877,V877)</f>
        <v>O23011745032024025505035</v>
      </c>
      <c r="AA877" s="204" t="str">
        <f>IFERROR(VLOOKUP(Y877,TD!$K$47:$L$65,2,0)," ")</f>
        <v>PM/0131/0105/45030350255</v>
      </c>
      <c r="AB877" s="131" t="s">
        <v>138</v>
      </c>
      <c r="AC877" s="207" t="s">
        <v>205</v>
      </c>
    </row>
    <row r="878" spans="2:29" ht="70" x14ac:dyDescent="0.35">
      <c r="B878" s="132">
        <v>20250929</v>
      </c>
      <c r="C878" s="50" t="s">
        <v>209</v>
      </c>
      <c r="D878" s="184" t="s">
        <v>167</v>
      </c>
      <c r="E878" s="51" t="s">
        <v>505</v>
      </c>
      <c r="F878" s="202" t="s">
        <v>1108</v>
      </c>
      <c r="G878" s="202" t="s">
        <v>155</v>
      </c>
      <c r="H878" s="134">
        <v>80111600</v>
      </c>
      <c r="I878" s="203">
        <v>12</v>
      </c>
      <c r="J878" s="203">
        <v>1</v>
      </c>
      <c r="K878" s="135">
        <v>0</v>
      </c>
      <c r="L878" s="131">
        <v>7000000</v>
      </c>
      <c r="M878" s="142" t="s">
        <v>464</v>
      </c>
      <c r="N878" s="131" t="s">
        <v>113</v>
      </c>
      <c r="O878" s="190" t="s">
        <v>221</v>
      </c>
      <c r="P878" s="204" t="str">
        <f>IFERROR(VLOOKUP(C878,TD!$B$33:$F$37,2,0)," ")</f>
        <v>O230117</v>
      </c>
      <c r="Q878" s="204" t="str">
        <f>IFERROR(VLOOKUP(C878,TD!$B$33:$F$37,3,0)," ")</f>
        <v>4503</v>
      </c>
      <c r="R878" s="204">
        <f>IFERROR(VLOOKUP(C878,TD!$B$33:$F$37,4,0)," ")</f>
        <v>20240255</v>
      </c>
      <c r="S878" s="190" t="s">
        <v>177</v>
      </c>
      <c r="T878" s="192" t="str">
        <f>IFERROR(VLOOKUP(S878,TD!$J$34:$K$44,2,0)," ")</f>
        <v>Servicio de capacitaciones en gestión del riesgo de incendios  a la ciudadania.</v>
      </c>
      <c r="U878" s="190" t="str">
        <f>CONCATENATE(S878,"-",T878)</f>
        <v>05-Servicio de capacitaciones en gestión del riesgo de incendios  a la ciudadania.</v>
      </c>
      <c r="V878" s="190" t="s">
        <v>233</v>
      </c>
      <c r="W878" s="192" t="str">
        <f>IFERROR(VLOOKUP(V878,TD!$N$34:$O$46,2,0)," ")</f>
        <v>Servicio de educación informal</v>
      </c>
      <c r="X878" s="206" t="str">
        <f>CONCATENATE(V878,"_",W878)</f>
        <v>002_Servicio de educación informal</v>
      </c>
      <c r="Y878" s="206" t="str">
        <f>CONCATENATE(U878," ",X878)</f>
        <v>05-Servicio de capacitaciones en gestión del riesgo de incendios  a la ciudadania. 002_Servicio de educación informal</v>
      </c>
      <c r="Z878" s="204" t="str">
        <f>CONCATENATE(P878,Q878,R878,S878,V878)</f>
        <v>O23011745032024025505002</v>
      </c>
      <c r="AA878" s="204" t="str">
        <f>IFERROR(VLOOKUP(Y878,TD!$K$47:$L$65,2,0)," ")</f>
        <v>PM/0131/0105/45030020255</v>
      </c>
      <c r="AB878" s="131" t="s">
        <v>138</v>
      </c>
      <c r="AC878" s="207" t="s">
        <v>205</v>
      </c>
    </row>
    <row r="879" spans="2:29" ht="70" x14ac:dyDescent="0.35">
      <c r="B879" s="132">
        <v>20250930</v>
      </c>
      <c r="C879" s="50" t="s">
        <v>209</v>
      </c>
      <c r="D879" s="184" t="s">
        <v>167</v>
      </c>
      <c r="E879" s="51" t="s">
        <v>505</v>
      </c>
      <c r="F879" s="202" t="s">
        <v>1109</v>
      </c>
      <c r="G879" s="202" t="s">
        <v>155</v>
      </c>
      <c r="H879" s="134">
        <v>80111600</v>
      </c>
      <c r="I879" s="203">
        <v>12</v>
      </c>
      <c r="J879" s="203">
        <v>1</v>
      </c>
      <c r="K879" s="135">
        <v>0</v>
      </c>
      <c r="L879" s="131">
        <v>7000000</v>
      </c>
      <c r="M879" s="142" t="s">
        <v>464</v>
      </c>
      <c r="N879" s="131" t="s">
        <v>113</v>
      </c>
      <c r="O879" s="190" t="s">
        <v>221</v>
      </c>
      <c r="P879" s="204" t="str">
        <f>IFERROR(VLOOKUP(C879,TD!$B$33:$F$37,2,0)," ")</f>
        <v>O230117</v>
      </c>
      <c r="Q879" s="204" t="str">
        <f>IFERROR(VLOOKUP(C879,TD!$B$33:$F$37,3,0)," ")</f>
        <v>4503</v>
      </c>
      <c r="R879" s="204">
        <f>IFERROR(VLOOKUP(C879,TD!$B$33:$F$37,4,0)," ")</f>
        <v>20240255</v>
      </c>
      <c r="S879" s="190" t="s">
        <v>177</v>
      </c>
      <c r="T879" s="192" t="str">
        <f>IFERROR(VLOOKUP(S879,TD!$J$34:$K$44,2,0)," ")</f>
        <v>Servicio de capacitaciones en gestión del riesgo de incendios  a la ciudadania.</v>
      </c>
      <c r="U879" s="190" t="str">
        <f>CONCATENATE(S879,"-",T879)</f>
        <v>05-Servicio de capacitaciones en gestión del riesgo de incendios  a la ciudadania.</v>
      </c>
      <c r="V879" s="190" t="s">
        <v>234</v>
      </c>
      <c r="W879" s="192" t="str">
        <f>IFERROR(VLOOKUP(V879,TD!$N$34:$O$46,2,0)," ")</f>
        <v>Servicio prevención y control de incendios</v>
      </c>
      <c r="X879" s="206" t="str">
        <f>CONCATENATE(V879,"_",W879)</f>
        <v>035_Servicio prevención y control de incendios</v>
      </c>
      <c r="Y879" s="206" t="str">
        <f>CONCATENATE(U879," ",X879)</f>
        <v>05-Servicio de capacitaciones en gestión del riesgo de incendios  a la ciudadania. 035_Servicio prevención y control de incendios</v>
      </c>
      <c r="Z879" s="204" t="str">
        <f>CONCATENATE(P879,Q879,R879,S879,V879)</f>
        <v>O23011745032024025505035</v>
      </c>
      <c r="AA879" s="204" t="str">
        <f>IFERROR(VLOOKUP(Y879,TD!$K$47:$L$65,2,0)," ")</f>
        <v>PM/0131/0105/45030350255</v>
      </c>
      <c r="AB879" s="131" t="s">
        <v>138</v>
      </c>
      <c r="AC879" s="207" t="s">
        <v>205</v>
      </c>
    </row>
    <row r="880" spans="2:29" ht="70" x14ac:dyDescent="0.35">
      <c r="B880" s="132">
        <v>20250931</v>
      </c>
      <c r="C880" s="50" t="s">
        <v>209</v>
      </c>
      <c r="D880" s="184" t="s">
        <v>168</v>
      </c>
      <c r="E880" s="51" t="s">
        <v>603</v>
      </c>
      <c r="F880" s="202" t="s">
        <v>1111</v>
      </c>
      <c r="G880" s="202" t="s">
        <v>156</v>
      </c>
      <c r="H880" s="134">
        <v>80111600</v>
      </c>
      <c r="I880" s="203">
        <v>10</v>
      </c>
      <c r="J880" s="203">
        <v>3</v>
      </c>
      <c r="K880" s="135">
        <v>0</v>
      </c>
      <c r="L880" s="131">
        <v>9840000</v>
      </c>
      <c r="M880" s="142" t="s">
        <v>464</v>
      </c>
      <c r="N880" s="131" t="s">
        <v>113</v>
      </c>
      <c r="O880" s="190" t="s">
        <v>224</v>
      </c>
      <c r="P880" s="204" t="str">
        <f>IFERROR(VLOOKUP(C880,TD!$B$33:$F$37,2,0)," ")</f>
        <v>O230117</v>
      </c>
      <c r="Q880" s="204" t="str">
        <f>IFERROR(VLOOKUP(C880,TD!$B$33:$F$37,3,0)," ")</f>
        <v>4503</v>
      </c>
      <c r="R880" s="204">
        <f>IFERROR(VLOOKUP(C880,TD!$B$33:$F$37,4,0)," ")</f>
        <v>20240255</v>
      </c>
      <c r="S880" s="190" t="s">
        <v>191</v>
      </c>
      <c r="T880" s="192" t="str">
        <f>IFERROR(VLOOKUP(S880,TD!$J$34:$K$44,2,0)," ")</f>
        <v>Servicio de apoyo   logístico  en eventos operativos y/o emergencias.</v>
      </c>
      <c r="U880" s="190" t="str">
        <f>CONCATENATE(S880,"-",T880)</f>
        <v>12-Servicio de apoyo   logístico  en eventos operativos y/o emergencias.</v>
      </c>
      <c r="V880" s="190" t="s">
        <v>232</v>
      </c>
      <c r="W880" s="192" t="str">
        <f>IFERROR(VLOOKUP(V880,TD!$N$34:$O$46,2,0)," ")</f>
        <v>Servicio de atención a emergencias y desastres</v>
      </c>
      <c r="X880" s="206" t="str">
        <f>CONCATENATE(V880,"_",W880)</f>
        <v>004_Servicio de atención a emergencias y desastres</v>
      </c>
      <c r="Y880" s="206" t="str">
        <f>CONCATENATE(U880," ",X880)</f>
        <v>12-Servicio de apoyo   logístico  en eventos operativos y/o emergencias. 004_Servicio de atención a emergencias y desastres</v>
      </c>
      <c r="Z880" s="204" t="str">
        <f>CONCATENATE(P880,Q880,R880,S880,V880)</f>
        <v>O23011745032024025512004</v>
      </c>
      <c r="AA880" s="204" t="str">
        <f>IFERROR(VLOOKUP(Y880,TD!$K$47:$L$65,2,0)," ")</f>
        <v>PM/0131/0112/45030040255</v>
      </c>
      <c r="AB880" s="131" t="s">
        <v>138</v>
      </c>
      <c r="AC880" s="207" t="s">
        <v>205</v>
      </c>
    </row>
    <row r="881" spans="2:29" ht="70" x14ac:dyDescent="0.35">
      <c r="B881" s="132">
        <v>20250932</v>
      </c>
      <c r="C881" s="50" t="s">
        <v>209</v>
      </c>
      <c r="D881" s="184" t="s">
        <v>168</v>
      </c>
      <c r="E881" s="51" t="s">
        <v>603</v>
      </c>
      <c r="F881" s="202" t="s">
        <v>1112</v>
      </c>
      <c r="G881" s="202" t="s">
        <v>155</v>
      </c>
      <c r="H881" s="134">
        <v>80111600</v>
      </c>
      <c r="I881" s="203">
        <v>10</v>
      </c>
      <c r="J881" s="203">
        <v>2</v>
      </c>
      <c r="K881" s="135">
        <v>13</v>
      </c>
      <c r="L881" s="131">
        <v>10950000</v>
      </c>
      <c r="M881" s="142" t="s">
        <v>464</v>
      </c>
      <c r="N881" s="131" t="s">
        <v>113</v>
      </c>
      <c r="O881" s="190" t="s">
        <v>224</v>
      </c>
      <c r="P881" s="204" t="str">
        <f>IFERROR(VLOOKUP(C881,TD!$B$33:$F$37,2,0)," ")</f>
        <v>O230117</v>
      </c>
      <c r="Q881" s="204" t="str">
        <f>IFERROR(VLOOKUP(C881,TD!$B$33:$F$37,3,0)," ")</f>
        <v>4503</v>
      </c>
      <c r="R881" s="204">
        <f>IFERROR(VLOOKUP(C881,TD!$B$33:$F$37,4,0)," ")</f>
        <v>20240255</v>
      </c>
      <c r="S881" s="190" t="s">
        <v>191</v>
      </c>
      <c r="T881" s="192" t="str">
        <f>IFERROR(VLOOKUP(S881,TD!$J$34:$K$44,2,0)," ")</f>
        <v>Servicio de apoyo   logístico  en eventos operativos y/o emergencias.</v>
      </c>
      <c r="U881" s="190" t="str">
        <f>CONCATENATE(S881,"-",T881)</f>
        <v>12-Servicio de apoyo   logístico  en eventos operativos y/o emergencias.</v>
      </c>
      <c r="V881" s="190" t="s">
        <v>232</v>
      </c>
      <c r="W881" s="192" t="str">
        <f>IFERROR(VLOOKUP(V881,TD!$N$34:$O$46,2,0)," ")</f>
        <v>Servicio de atención a emergencias y desastres</v>
      </c>
      <c r="X881" s="206" t="str">
        <f>CONCATENATE(V881,"_",W881)</f>
        <v>004_Servicio de atención a emergencias y desastres</v>
      </c>
      <c r="Y881" s="206" t="str">
        <f>CONCATENATE(U881," ",X881)</f>
        <v>12-Servicio de apoyo   logístico  en eventos operativos y/o emergencias. 004_Servicio de atención a emergencias y desastres</v>
      </c>
      <c r="Z881" s="204" t="str">
        <f>CONCATENATE(P881,Q881,R881,S881,V881)</f>
        <v>O23011745032024025512004</v>
      </c>
      <c r="AA881" s="204" t="str">
        <f>IFERROR(VLOOKUP(Y881,TD!$K$47:$L$65,2,0)," ")</f>
        <v>PM/0131/0112/45030040255</v>
      </c>
      <c r="AB881" s="131" t="s">
        <v>138</v>
      </c>
      <c r="AC881" s="207" t="s">
        <v>205</v>
      </c>
    </row>
    <row r="882" spans="2:29" ht="70" x14ac:dyDescent="0.35">
      <c r="B882" s="77">
        <v>20250933</v>
      </c>
      <c r="C882" s="50" t="s">
        <v>209</v>
      </c>
      <c r="D882" s="184" t="s">
        <v>168</v>
      </c>
      <c r="E882" s="51" t="s">
        <v>603</v>
      </c>
      <c r="F882" s="184" t="s">
        <v>1113</v>
      </c>
      <c r="G882" s="184" t="s">
        <v>155</v>
      </c>
      <c r="H882" s="93">
        <v>80111600</v>
      </c>
      <c r="I882" s="185">
        <v>10</v>
      </c>
      <c r="J882" s="185">
        <v>3</v>
      </c>
      <c r="K882" s="52">
        <v>9</v>
      </c>
      <c r="L882" s="53">
        <v>23100000</v>
      </c>
      <c r="M882" s="136" t="s">
        <v>464</v>
      </c>
      <c r="N882" s="53" t="s">
        <v>113</v>
      </c>
      <c r="O882" s="190" t="s">
        <v>224</v>
      </c>
      <c r="P882" s="186" t="str">
        <f>IFERROR(VLOOKUP(C882,TD!$B$33:$F$37,2,0)," ")</f>
        <v>O230117</v>
      </c>
      <c r="Q882" s="186" t="str">
        <f>IFERROR(VLOOKUP(C882,TD!$B$33:$F$37,3,0)," ")</f>
        <v>4503</v>
      </c>
      <c r="R882" s="186">
        <f>IFERROR(VLOOKUP(C882,TD!$B$33:$F$37,4,0)," ")</f>
        <v>20240255</v>
      </c>
      <c r="S882" s="190" t="s">
        <v>191</v>
      </c>
      <c r="T882" s="192" t="str">
        <f>IFERROR(VLOOKUP(S882,TD!$J$34:$K$44,2,0)," ")</f>
        <v>Servicio de apoyo   logístico  en eventos operativos y/o emergencias.</v>
      </c>
      <c r="U882" s="190" t="str">
        <f>CONCATENATE(S882,"-",T882)</f>
        <v>12-Servicio de apoyo   logístico  en eventos operativos y/o emergencias.</v>
      </c>
      <c r="V882" s="190" t="s">
        <v>232</v>
      </c>
      <c r="W882" s="192" t="str">
        <f>IFERROR(VLOOKUP(V882,TD!$N$34:$O$46,2,0)," ")</f>
        <v>Servicio de atención a emergencias y desastres</v>
      </c>
      <c r="X882" s="187" t="str">
        <f>CONCATENATE(V882,"_",W882)</f>
        <v>004_Servicio de atención a emergencias y desastres</v>
      </c>
      <c r="Y882" s="187" t="str">
        <f>CONCATENATE(U882," ",X882)</f>
        <v>12-Servicio de apoyo   logístico  en eventos operativos y/o emergencias. 004_Servicio de atención a emergencias y desastres</v>
      </c>
      <c r="Z882" s="186" t="str">
        <f>CONCATENATE(P882,Q882,R882,S882,V882)</f>
        <v>O23011745032024025512004</v>
      </c>
      <c r="AA882" s="186" t="str">
        <f>IFERROR(VLOOKUP(Y882,TD!$K$47:$L$65,2,0)," ")</f>
        <v>PM/0131/0112/45030040255</v>
      </c>
      <c r="AB882" s="53" t="s">
        <v>138</v>
      </c>
      <c r="AC882" s="188" t="s">
        <v>205</v>
      </c>
    </row>
    <row r="883" spans="2:29" ht="84" x14ac:dyDescent="0.35">
      <c r="B883" s="132">
        <v>20250934</v>
      </c>
      <c r="C883" s="50" t="s">
        <v>209</v>
      </c>
      <c r="D883" s="184" t="s">
        <v>168</v>
      </c>
      <c r="E883" s="51" t="s">
        <v>603</v>
      </c>
      <c r="F883" s="184" t="s">
        <v>1114</v>
      </c>
      <c r="G883" s="184" t="s">
        <v>155</v>
      </c>
      <c r="H883" s="93">
        <v>80111600</v>
      </c>
      <c r="I883" s="185">
        <v>10</v>
      </c>
      <c r="J883" s="185">
        <v>3</v>
      </c>
      <c r="K883" s="52">
        <v>0</v>
      </c>
      <c r="L883" s="53">
        <v>24000000</v>
      </c>
      <c r="M883" s="136" t="s">
        <v>464</v>
      </c>
      <c r="N883" s="53" t="s">
        <v>113</v>
      </c>
      <c r="O883" s="190" t="s">
        <v>224</v>
      </c>
      <c r="P883" s="186" t="str">
        <f>IFERROR(VLOOKUP(C883,TD!$B$33:$F$37,2,0)," ")</f>
        <v>O230117</v>
      </c>
      <c r="Q883" s="186" t="str">
        <f>IFERROR(VLOOKUP(C883,TD!$B$33:$F$37,3,0)," ")</f>
        <v>4503</v>
      </c>
      <c r="R883" s="186">
        <f>IFERROR(VLOOKUP(C883,TD!$B$33:$F$37,4,0)," ")</f>
        <v>20240255</v>
      </c>
      <c r="S883" s="190" t="s">
        <v>191</v>
      </c>
      <c r="T883" s="192" t="str">
        <f>IFERROR(VLOOKUP(S883,TD!$J$34:$K$44,2,0)," ")</f>
        <v>Servicio de apoyo   logístico  en eventos operativos y/o emergencias.</v>
      </c>
      <c r="U883" s="190" t="str">
        <f>CONCATENATE(S883,"-",T883)</f>
        <v>12-Servicio de apoyo   logístico  en eventos operativos y/o emergencias.</v>
      </c>
      <c r="V883" s="190" t="s">
        <v>232</v>
      </c>
      <c r="W883" s="192" t="str">
        <f>IFERROR(VLOOKUP(V883,TD!$N$34:$O$46,2,0)," ")</f>
        <v>Servicio de atención a emergencias y desastres</v>
      </c>
      <c r="X883" s="187" t="str">
        <f>CONCATENATE(V883,"_",W883)</f>
        <v>004_Servicio de atención a emergencias y desastres</v>
      </c>
      <c r="Y883" s="187" t="str">
        <f>CONCATENATE(U883," ",X883)</f>
        <v>12-Servicio de apoyo   logístico  en eventos operativos y/o emergencias. 004_Servicio de atención a emergencias y desastres</v>
      </c>
      <c r="Z883" s="186" t="str">
        <f>CONCATENATE(P883,Q883,R883,S883,V883)</f>
        <v>O23011745032024025512004</v>
      </c>
      <c r="AA883" s="186" t="str">
        <f>IFERROR(VLOOKUP(Y883,TD!$K$47:$L$65,2,0)," ")</f>
        <v>PM/0131/0112/45030040255</v>
      </c>
      <c r="AB883" s="53" t="s">
        <v>138</v>
      </c>
      <c r="AC883" s="188" t="s">
        <v>205</v>
      </c>
    </row>
    <row r="884" spans="2:29" ht="56" x14ac:dyDescent="0.35">
      <c r="B884" s="132">
        <v>20250935</v>
      </c>
      <c r="C884" s="50" t="s">
        <v>209</v>
      </c>
      <c r="D884" s="184" t="s">
        <v>168</v>
      </c>
      <c r="E884" s="51" t="s">
        <v>603</v>
      </c>
      <c r="F884" s="184" t="s">
        <v>1115</v>
      </c>
      <c r="G884" s="184" t="s">
        <v>155</v>
      </c>
      <c r="H884" s="93">
        <v>80111600</v>
      </c>
      <c r="I884" s="185">
        <v>10</v>
      </c>
      <c r="J884" s="185">
        <v>3</v>
      </c>
      <c r="K884" s="52">
        <v>0</v>
      </c>
      <c r="L884" s="53">
        <v>16500000</v>
      </c>
      <c r="M884" s="136" t="s">
        <v>464</v>
      </c>
      <c r="N884" s="53" t="s">
        <v>113</v>
      </c>
      <c r="O884" s="190" t="s">
        <v>224</v>
      </c>
      <c r="P884" s="186" t="str">
        <f>IFERROR(VLOOKUP(C884,TD!$B$33:$F$37,2,0)," ")</f>
        <v>O230117</v>
      </c>
      <c r="Q884" s="186" t="str">
        <f>IFERROR(VLOOKUP(C884,TD!$B$33:$F$37,3,0)," ")</f>
        <v>4503</v>
      </c>
      <c r="R884" s="186">
        <f>IFERROR(VLOOKUP(C884,TD!$B$33:$F$37,4,0)," ")</f>
        <v>20240255</v>
      </c>
      <c r="S884" s="190" t="s">
        <v>191</v>
      </c>
      <c r="T884" s="192" t="str">
        <f>IFERROR(VLOOKUP(S884,TD!$J$34:$K$44,2,0)," ")</f>
        <v>Servicio de apoyo   logístico  en eventos operativos y/o emergencias.</v>
      </c>
      <c r="U884" s="190" t="str">
        <f>CONCATENATE(S884,"-",T884)</f>
        <v>12-Servicio de apoyo   logístico  en eventos operativos y/o emergencias.</v>
      </c>
      <c r="V884" s="190" t="s">
        <v>232</v>
      </c>
      <c r="W884" s="192" t="str">
        <f>IFERROR(VLOOKUP(V884,TD!$N$34:$O$46,2,0)," ")</f>
        <v>Servicio de atención a emergencias y desastres</v>
      </c>
      <c r="X884" s="187" t="str">
        <f>CONCATENATE(V884,"_",W884)</f>
        <v>004_Servicio de atención a emergencias y desastres</v>
      </c>
      <c r="Y884" s="187" t="str">
        <f>CONCATENATE(U884," ",X884)</f>
        <v>12-Servicio de apoyo   logístico  en eventos operativos y/o emergencias. 004_Servicio de atención a emergencias y desastres</v>
      </c>
      <c r="Z884" s="186" t="str">
        <f>CONCATENATE(P884,Q884,R884,S884,V884)</f>
        <v>O23011745032024025512004</v>
      </c>
      <c r="AA884" s="186" t="str">
        <f>IFERROR(VLOOKUP(Y884,TD!$K$47:$L$65,2,0)," ")</f>
        <v>PM/0131/0112/45030040255</v>
      </c>
      <c r="AB884" s="53" t="s">
        <v>138</v>
      </c>
      <c r="AC884" s="188" t="s">
        <v>205</v>
      </c>
    </row>
    <row r="885" spans="2:29" ht="70" x14ac:dyDescent="0.35">
      <c r="B885" s="132">
        <v>20250936</v>
      </c>
      <c r="C885" s="50" t="s">
        <v>209</v>
      </c>
      <c r="D885" s="184" t="s">
        <v>168</v>
      </c>
      <c r="E885" s="51" t="s">
        <v>603</v>
      </c>
      <c r="F885" s="184" t="s">
        <v>1116</v>
      </c>
      <c r="G885" s="184" t="s">
        <v>155</v>
      </c>
      <c r="H885" s="93">
        <v>80111600</v>
      </c>
      <c r="I885" s="185">
        <v>10</v>
      </c>
      <c r="J885" s="185">
        <v>2</v>
      </c>
      <c r="K885" s="52">
        <v>21</v>
      </c>
      <c r="L885" s="53">
        <v>17550000</v>
      </c>
      <c r="M885" s="136" t="s">
        <v>464</v>
      </c>
      <c r="N885" s="53" t="s">
        <v>113</v>
      </c>
      <c r="O885" s="190" t="s">
        <v>224</v>
      </c>
      <c r="P885" s="186" t="str">
        <f>IFERROR(VLOOKUP(C885,TD!$B$33:$F$37,2,0)," ")</f>
        <v>O230117</v>
      </c>
      <c r="Q885" s="186" t="str">
        <f>IFERROR(VLOOKUP(C885,TD!$B$33:$F$37,3,0)," ")</f>
        <v>4503</v>
      </c>
      <c r="R885" s="186">
        <f>IFERROR(VLOOKUP(C885,TD!$B$33:$F$37,4,0)," ")</f>
        <v>20240255</v>
      </c>
      <c r="S885" s="190" t="s">
        <v>191</v>
      </c>
      <c r="T885" s="192" t="str">
        <f>IFERROR(VLOOKUP(S885,TD!$J$34:$K$44,2,0)," ")</f>
        <v>Servicio de apoyo   logístico  en eventos operativos y/o emergencias.</v>
      </c>
      <c r="U885" s="190" t="str">
        <f>CONCATENATE(S885,"-",T885)</f>
        <v>12-Servicio de apoyo   logístico  en eventos operativos y/o emergencias.</v>
      </c>
      <c r="V885" s="190" t="s">
        <v>232</v>
      </c>
      <c r="W885" s="192" t="str">
        <f>IFERROR(VLOOKUP(V885,TD!$N$34:$O$46,2,0)," ")</f>
        <v>Servicio de atención a emergencias y desastres</v>
      </c>
      <c r="X885" s="187" t="str">
        <f>CONCATENATE(V885,"_",W885)</f>
        <v>004_Servicio de atención a emergencias y desastres</v>
      </c>
      <c r="Y885" s="187" t="str">
        <f>CONCATENATE(U885," ",X885)</f>
        <v>12-Servicio de apoyo   logístico  en eventos operativos y/o emergencias. 004_Servicio de atención a emergencias y desastres</v>
      </c>
      <c r="Z885" s="186" t="str">
        <f>CONCATENATE(P885,Q885,R885,S885,V885)</f>
        <v>O23011745032024025512004</v>
      </c>
      <c r="AA885" s="186" t="str">
        <f>IFERROR(VLOOKUP(Y885,TD!$K$47:$L$65,2,0)," ")</f>
        <v>PM/0131/0112/45030040255</v>
      </c>
      <c r="AB885" s="53" t="s">
        <v>138</v>
      </c>
      <c r="AC885" s="188" t="s">
        <v>205</v>
      </c>
    </row>
    <row r="886" spans="2:29" ht="56" x14ac:dyDescent="0.35">
      <c r="B886" s="132">
        <v>20250937</v>
      </c>
      <c r="C886" s="50" t="s">
        <v>346</v>
      </c>
      <c r="D886" s="184" t="s">
        <v>166</v>
      </c>
      <c r="E886" s="51" t="s">
        <v>558</v>
      </c>
      <c r="F886" s="184" t="s">
        <v>1118</v>
      </c>
      <c r="G886" s="184" t="s">
        <v>133</v>
      </c>
      <c r="H886" s="93" t="s">
        <v>1119</v>
      </c>
      <c r="I886" s="185">
        <v>4</v>
      </c>
      <c r="J886" s="185">
        <v>4</v>
      </c>
      <c r="K886" s="52">
        <v>0</v>
      </c>
      <c r="L886" s="53">
        <v>34872950</v>
      </c>
      <c r="M886" s="136" t="s">
        <v>172</v>
      </c>
      <c r="N886" s="53" t="s">
        <v>85</v>
      </c>
      <c r="O886" s="190" t="s">
        <v>347</v>
      </c>
      <c r="P886" s="186" t="str">
        <f>IFERROR(VLOOKUP(C886,TD!$B$33:$F$37,2,0)," ")</f>
        <v>NA</v>
      </c>
      <c r="Q886" s="186" t="str">
        <f>IFERROR(VLOOKUP(C886,TD!$B$33:$F$37,3,0)," ")</f>
        <v>NA</v>
      </c>
      <c r="R886" s="186" t="str">
        <f>IFERROR(VLOOKUP(C886,TD!$B$33:$F$37,4,0)," ")</f>
        <v>NA</v>
      </c>
      <c r="S886" s="190" t="s">
        <v>406</v>
      </c>
      <c r="T886" s="192" t="str">
        <f>IFERROR(VLOOKUP(S886,TD!$J$34:$K$44,2,0)," ")</f>
        <v>N/A</v>
      </c>
      <c r="U886" s="190" t="str">
        <f>CONCATENATE(S886,"-",T886)</f>
        <v>N/A-N/A</v>
      </c>
      <c r="V886" s="190" t="s">
        <v>406</v>
      </c>
      <c r="W886" s="192" t="str">
        <f>IFERROR(VLOOKUP(V886,TD!$N$34:$O$46,2,0)," ")</f>
        <v>N/A</v>
      </c>
      <c r="X886" s="187" t="str">
        <f>CONCATENATE(V886,"_",W886)</f>
        <v>N/A_N/A</v>
      </c>
      <c r="Y886" s="187" t="str">
        <f>CONCATENATE(U886," ",X886)</f>
        <v>N/A-N/A N/A_N/A</v>
      </c>
      <c r="Z886" s="186" t="str">
        <f>CONCATENATE(P886,Q886,R886,S886,V886)</f>
        <v>NANANAN/AN/A</v>
      </c>
      <c r="AA886" s="186" t="str">
        <f>IFERROR(VLOOKUP(Y886,TD!$K$47:$L$65,2,0)," ")</f>
        <v>N/A</v>
      </c>
      <c r="AB886" s="53" t="s">
        <v>348</v>
      </c>
      <c r="AC886" s="188" t="s">
        <v>205</v>
      </c>
    </row>
    <row r="887" spans="2:29" ht="56" x14ac:dyDescent="0.35">
      <c r="B887" s="132">
        <v>20250938</v>
      </c>
      <c r="C887" s="50" t="s">
        <v>208</v>
      </c>
      <c r="D887" s="184" t="s">
        <v>166</v>
      </c>
      <c r="E887" s="51" t="s">
        <v>558</v>
      </c>
      <c r="F887" s="184" t="s">
        <v>1120</v>
      </c>
      <c r="G887" s="184" t="s">
        <v>119</v>
      </c>
      <c r="H887" s="93" t="s">
        <v>1121</v>
      </c>
      <c r="I887" s="185">
        <v>10</v>
      </c>
      <c r="J887" s="185">
        <v>0</v>
      </c>
      <c r="K887" s="52">
        <v>0</v>
      </c>
      <c r="L887" s="53">
        <v>105454585</v>
      </c>
      <c r="M887" s="136" t="s">
        <v>464</v>
      </c>
      <c r="N887" s="53" t="s">
        <v>123</v>
      </c>
      <c r="O887" s="190" t="s">
        <v>218</v>
      </c>
      <c r="P887" s="186" t="str">
        <f>IFERROR(VLOOKUP(C887,TD!$B$33:$F$37,2,0)," ")</f>
        <v>O230117</v>
      </c>
      <c r="Q887" s="186" t="str">
        <f>IFERROR(VLOOKUP(C887,TD!$B$33:$F$37,3,0)," ")</f>
        <v>4599</v>
      </c>
      <c r="R887" s="186">
        <f>IFERROR(VLOOKUP(C887,TD!$B$33:$F$37,4,0)," ")</f>
        <v>20240207</v>
      </c>
      <c r="S887" s="190" t="s">
        <v>185</v>
      </c>
      <c r="T887" s="192" t="str">
        <f>IFERROR(VLOOKUP(S887,TD!$J$34:$K$44,2,0)," ")</f>
        <v>Infraestructura física, mantenimiento y dotación (Sedes construidas, mantenidas reforzadas)</v>
      </c>
      <c r="U887" s="190" t="str">
        <f>CONCATENATE(S887,"-",T887)</f>
        <v>08-Infraestructura física, mantenimiento y dotación (Sedes construidas, mantenidas reforzadas)</v>
      </c>
      <c r="V887" s="190" t="s">
        <v>238</v>
      </c>
      <c r="W887" s="192" t="str">
        <f>IFERROR(VLOOKUP(V887,TD!$N$34:$O$46,2,0)," ")</f>
        <v>Sedes mantenidas</v>
      </c>
      <c r="X887" s="187" t="str">
        <f>CONCATENATE(V887,"_",W887)</f>
        <v>016_Sedes mantenidas</v>
      </c>
      <c r="Y887" s="187" t="str">
        <f>CONCATENATE(U887," ",X887)</f>
        <v>08-Infraestructura física, mantenimiento y dotación (Sedes construidas, mantenidas reforzadas) 016_Sedes mantenidas</v>
      </c>
      <c r="Z887" s="186" t="str">
        <f>CONCATENATE(P887,Q887,R887,S887,V887)</f>
        <v>O23011745992024020708016</v>
      </c>
      <c r="AA887" s="186" t="str">
        <f>IFERROR(VLOOKUP(Y887,TD!$K$47:$L$65,2,0)," ")</f>
        <v>PM/0131/0108/45990160207</v>
      </c>
      <c r="AB887" s="53" t="s">
        <v>147</v>
      </c>
      <c r="AC887" s="188" t="s">
        <v>205</v>
      </c>
    </row>
    <row r="888" spans="2:29" ht="70" x14ac:dyDescent="0.35">
      <c r="B888" s="77">
        <v>20250939</v>
      </c>
      <c r="C888" s="50" t="s">
        <v>346</v>
      </c>
      <c r="D888" s="184" t="s">
        <v>166</v>
      </c>
      <c r="E888" s="51" t="s">
        <v>558</v>
      </c>
      <c r="F888" s="184" t="s">
        <v>1122</v>
      </c>
      <c r="G888" s="184" t="s">
        <v>157</v>
      </c>
      <c r="H888" s="93" t="s">
        <v>638</v>
      </c>
      <c r="I888" s="185">
        <v>10</v>
      </c>
      <c r="J888" s="185">
        <v>5</v>
      </c>
      <c r="K888" s="52">
        <v>0</v>
      </c>
      <c r="L888" s="53">
        <v>9300000</v>
      </c>
      <c r="M888" s="136" t="s">
        <v>172</v>
      </c>
      <c r="N888" s="53" t="s">
        <v>157</v>
      </c>
      <c r="O888" s="190" t="s">
        <v>347</v>
      </c>
      <c r="P888" s="186" t="str">
        <f>IFERROR(VLOOKUP(C888,TD!$B$33:$F$37,2,0)," ")</f>
        <v>NA</v>
      </c>
      <c r="Q888" s="186" t="str">
        <f>IFERROR(VLOOKUP(C888,TD!$B$33:$F$37,3,0)," ")</f>
        <v>NA</v>
      </c>
      <c r="R888" s="186" t="str">
        <f>IFERROR(VLOOKUP(C888,TD!$B$33:$F$37,4,0)," ")</f>
        <v>NA</v>
      </c>
      <c r="S888" s="190" t="s">
        <v>406</v>
      </c>
      <c r="T888" s="192" t="str">
        <f>IFERROR(VLOOKUP(S888,TD!$J$34:$K$44,2,0)," ")</f>
        <v>N/A</v>
      </c>
      <c r="U888" s="190" t="str">
        <f>CONCATENATE(S888,"-",T888)</f>
        <v>N/A-N/A</v>
      </c>
      <c r="V888" s="190" t="s">
        <v>406</v>
      </c>
      <c r="W888" s="192" t="str">
        <f>IFERROR(VLOOKUP(V888,TD!$N$34:$O$46,2,0)," ")</f>
        <v>N/A</v>
      </c>
      <c r="X888" s="187" t="str">
        <f>CONCATENATE(V888,"_",W888)</f>
        <v>N/A_N/A</v>
      </c>
      <c r="Y888" s="187" t="str">
        <f>CONCATENATE(U888," ",X888)</f>
        <v>N/A-N/A N/A_N/A</v>
      </c>
      <c r="Z888" s="186" t="str">
        <f>CONCATENATE(P888,Q888,R888,S888,V888)</f>
        <v>NANANAN/AN/A</v>
      </c>
      <c r="AA888" s="186" t="str">
        <f>IFERROR(VLOOKUP(Y888,TD!$K$47:$L$65,2,0)," ")</f>
        <v>N/A</v>
      </c>
      <c r="AB888" s="53" t="s">
        <v>348</v>
      </c>
      <c r="AC888" s="188" t="s">
        <v>205</v>
      </c>
    </row>
    <row r="889" spans="2:29" ht="56" x14ac:dyDescent="0.35">
      <c r="B889" s="132">
        <v>20250940</v>
      </c>
      <c r="C889" s="50" t="s">
        <v>208</v>
      </c>
      <c r="D889" s="184" t="s">
        <v>45</v>
      </c>
      <c r="E889" s="51" t="s">
        <v>355</v>
      </c>
      <c r="F889" s="184" t="s">
        <v>1123</v>
      </c>
      <c r="G889" s="184" t="s">
        <v>155</v>
      </c>
      <c r="H889" s="93">
        <v>80111600</v>
      </c>
      <c r="I889" s="185">
        <v>8</v>
      </c>
      <c r="J889" s="185">
        <v>3</v>
      </c>
      <c r="K889" s="52">
        <v>0</v>
      </c>
      <c r="L889" s="53">
        <v>29400000</v>
      </c>
      <c r="M889" s="136" t="s">
        <v>464</v>
      </c>
      <c r="N889" s="53" t="s">
        <v>113</v>
      </c>
      <c r="O889" s="190" t="s">
        <v>219</v>
      </c>
      <c r="P889" s="186" t="str">
        <f>IFERROR(VLOOKUP(C889,TD!$B$33:$F$37,2,0)," ")</f>
        <v>O230117</v>
      </c>
      <c r="Q889" s="186" t="str">
        <f>IFERROR(VLOOKUP(C889,TD!$B$33:$F$37,3,0)," ")</f>
        <v>4599</v>
      </c>
      <c r="R889" s="186">
        <f>IFERROR(VLOOKUP(C889,TD!$B$33:$F$37,4,0)," ")</f>
        <v>20240207</v>
      </c>
      <c r="S889" s="190" t="s">
        <v>185</v>
      </c>
      <c r="T889" s="192" t="str">
        <f>IFERROR(VLOOKUP(S889,TD!$J$34:$K$44,2,0)," ")</f>
        <v>Infraestructura física, mantenimiento y dotación (Sedes construidas, mantenidas reforzadas)</v>
      </c>
      <c r="U889" s="190" t="str">
        <f>CONCATENATE(S889,"-",T889)</f>
        <v>08-Infraestructura física, mantenimiento y dotación (Sedes construidas, mantenidas reforzadas)</v>
      </c>
      <c r="V889" s="190" t="s">
        <v>238</v>
      </c>
      <c r="W889" s="192" t="str">
        <f>IFERROR(VLOOKUP(V889,TD!$N$34:$O$46,2,0)," ")</f>
        <v>Sedes mantenidas</v>
      </c>
      <c r="X889" s="187" t="str">
        <f>CONCATENATE(V889,"_",W889)</f>
        <v>016_Sedes mantenidas</v>
      </c>
      <c r="Y889" s="187" t="str">
        <f>CONCATENATE(U889," ",X889)</f>
        <v>08-Infraestructura física, mantenimiento y dotación (Sedes construidas, mantenidas reforzadas) 016_Sedes mantenidas</v>
      </c>
      <c r="Z889" s="186" t="str">
        <f>CONCATENATE(P889,Q889,R889,S889,V889)</f>
        <v>O23011745992024020708016</v>
      </c>
      <c r="AA889" s="186" t="str">
        <f>IFERROR(VLOOKUP(Y889,TD!$K$47:$L$65,2,0)," ")</f>
        <v>PM/0131/0108/45990160207</v>
      </c>
      <c r="AB889" s="53" t="s">
        <v>138</v>
      </c>
      <c r="AC889" s="188" t="s">
        <v>205</v>
      </c>
    </row>
    <row r="890" spans="2:29" ht="56" x14ac:dyDescent="0.35">
      <c r="B890" s="132">
        <v>20250941</v>
      </c>
      <c r="C890" s="50" t="s">
        <v>208</v>
      </c>
      <c r="D890" s="184" t="s">
        <v>161</v>
      </c>
      <c r="E890" s="51" t="s">
        <v>355</v>
      </c>
      <c r="F890" s="184" t="s">
        <v>1124</v>
      </c>
      <c r="G890" s="184" t="s">
        <v>156</v>
      </c>
      <c r="H890" s="93">
        <v>80111600</v>
      </c>
      <c r="I890" s="185">
        <v>8</v>
      </c>
      <c r="J890" s="185">
        <v>3</v>
      </c>
      <c r="K890" s="52">
        <v>0</v>
      </c>
      <c r="L890" s="53">
        <v>13200000</v>
      </c>
      <c r="M890" s="184" t="s">
        <v>464</v>
      </c>
      <c r="N890" s="53" t="s">
        <v>113</v>
      </c>
      <c r="O890" s="51" t="s">
        <v>220</v>
      </c>
      <c r="P890" s="186" t="str">
        <f>IFERROR(VLOOKUP(C890,TD!$B$33:$F$37,2,0)," ")</f>
        <v>O230117</v>
      </c>
      <c r="Q890" s="186" t="str">
        <f>IFERROR(VLOOKUP(C890,TD!$B$33:$F$37,3,0)," ")</f>
        <v>4599</v>
      </c>
      <c r="R890" s="186">
        <f>IFERROR(VLOOKUP(C890,TD!$B$33:$F$37,4,0)," ")</f>
        <v>20240207</v>
      </c>
      <c r="S890" s="51" t="s">
        <v>193</v>
      </c>
      <c r="T890" s="186" t="str">
        <f>IFERROR(VLOOKUP(S890,TD!$J$34:$K$44,2,0)," ")</f>
        <v>Servicios para la planeación y sistemas de gestión y comunicación estratégica</v>
      </c>
      <c r="U890" s="187" t="str">
        <f>CONCATENATE(S890,"-",T890)</f>
        <v>13-Servicios para la planeación y sistemas de gestión y comunicación estratégica</v>
      </c>
      <c r="V890" s="51" t="s">
        <v>242</v>
      </c>
      <c r="W890" s="186" t="str">
        <f>IFERROR(VLOOKUP(V890,TD!$N$34:$O$46,2,0)," ")</f>
        <v>Documentos de planeación</v>
      </c>
      <c r="X890" s="187" t="str">
        <f>CONCATENATE(V890,"_",W890)</f>
        <v>019_Documentos de planeación</v>
      </c>
      <c r="Y890" s="187" t="str">
        <f>CONCATENATE(U890," ",X890)</f>
        <v>13-Servicios para la planeación y sistemas de gestión y comunicación estratégica 019_Documentos de planeación</v>
      </c>
      <c r="Z890" s="186" t="str">
        <f>CONCATENATE(P890,Q890,R890,S890,V890)</f>
        <v>O23011745992024020713019</v>
      </c>
      <c r="AA890" s="186" t="str">
        <f>IFERROR(VLOOKUP(Y890,TD!$K$47:$L$65,2,0)," ")</f>
        <v>PM/0131/0113/45990190207</v>
      </c>
      <c r="AB890" s="53" t="s">
        <v>138</v>
      </c>
      <c r="AC890" s="188" t="s">
        <v>205</v>
      </c>
    </row>
    <row r="891" spans="2:29" ht="56" x14ac:dyDescent="0.35">
      <c r="B891" s="132">
        <v>20250942</v>
      </c>
      <c r="C891" s="50" t="s">
        <v>209</v>
      </c>
      <c r="D891" s="184" t="s">
        <v>165</v>
      </c>
      <c r="E891" s="51" t="s">
        <v>484</v>
      </c>
      <c r="F891" s="184" t="s">
        <v>1128</v>
      </c>
      <c r="G891" s="184" t="s">
        <v>155</v>
      </c>
      <c r="H891" s="93">
        <v>80111600</v>
      </c>
      <c r="I891" s="185">
        <v>10</v>
      </c>
      <c r="J891" s="185">
        <v>3</v>
      </c>
      <c r="K891" s="52">
        <v>0</v>
      </c>
      <c r="L891" s="53">
        <v>21170000</v>
      </c>
      <c r="M891" s="136" t="s">
        <v>464</v>
      </c>
      <c r="N891" s="53" t="s">
        <v>113</v>
      </c>
      <c r="O891" s="51" t="s">
        <v>229</v>
      </c>
      <c r="P891" s="186" t="str">
        <f>IFERROR(VLOOKUP(C891,TD!$B$33:$F$37,2,0)," ")</f>
        <v>O230117</v>
      </c>
      <c r="Q891" s="186" t="str">
        <f>IFERROR(VLOOKUP(C891,TD!$B$33:$F$37,3,0)," ")</f>
        <v>4503</v>
      </c>
      <c r="R891" s="186">
        <f>IFERROR(VLOOKUP(C891,TD!$B$33:$F$37,4,0)," ")</f>
        <v>20240255</v>
      </c>
      <c r="S891" s="51" t="s">
        <v>183</v>
      </c>
      <c r="T891" s="186" t="str">
        <f>IFERROR(VLOOKUP(S891,TD!$J$34:$K$44,2,0)," ")</f>
        <v>Servicio de formación en gestión del riesgo de incendios para el personal UAECOB</v>
      </c>
      <c r="U891" s="187" t="str">
        <f>CONCATENATE(S891,"-",T891)</f>
        <v>07-Servicio de formación en gestión del riesgo de incendios para el personal UAECOB</v>
      </c>
      <c r="V891" s="51" t="s">
        <v>233</v>
      </c>
      <c r="W891" s="186" t="str">
        <f>IFERROR(VLOOKUP(V891,TD!$N$34:$O$46,2,0)," ")</f>
        <v>Servicio de educación informal</v>
      </c>
      <c r="X891" s="187" t="str">
        <f>CONCATENATE(V891,"_",W891)</f>
        <v>002_Servicio de educación informal</v>
      </c>
      <c r="Y891" s="187" t="str">
        <f>CONCATENATE(U891," ",X891)</f>
        <v>07-Servicio de formación en gestión del riesgo de incendios para el personal UAECOB 002_Servicio de educación informal</v>
      </c>
      <c r="Z891" s="186" t="str">
        <f>CONCATENATE(P891,Q891,R891,S891,V891)</f>
        <v>O23011745032024025507002</v>
      </c>
      <c r="AA891" s="186" t="str">
        <f>IFERROR(VLOOKUP(Y891,TD!$K$47:$L$65,2,0)," ")</f>
        <v>PM/0131/0107/45030020255</v>
      </c>
      <c r="AB891" s="53" t="s">
        <v>138</v>
      </c>
      <c r="AC891" s="188" t="s">
        <v>205</v>
      </c>
    </row>
    <row r="892" spans="2:29" ht="56" x14ac:dyDescent="0.35">
      <c r="B892" s="132">
        <v>20250943</v>
      </c>
      <c r="C892" s="50" t="s">
        <v>209</v>
      </c>
      <c r="D892" s="184" t="s">
        <v>165</v>
      </c>
      <c r="E892" s="51" t="s">
        <v>484</v>
      </c>
      <c r="F892" s="184" t="s">
        <v>1129</v>
      </c>
      <c r="G892" s="184" t="s">
        <v>155</v>
      </c>
      <c r="H892" s="93">
        <v>80111600</v>
      </c>
      <c r="I892" s="185">
        <v>10</v>
      </c>
      <c r="J892" s="185">
        <v>3</v>
      </c>
      <c r="K892" s="52">
        <v>0</v>
      </c>
      <c r="L892" s="53">
        <v>12750000</v>
      </c>
      <c r="M892" s="136" t="s">
        <v>464</v>
      </c>
      <c r="N892" s="53" t="s">
        <v>113</v>
      </c>
      <c r="O892" s="51" t="s">
        <v>229</v>
      </c>
      <c r="P892" s="186" t="str">
        <f>IFERROR(VLOOKUP(C892,TD!$B$33:$F$37,2,0)," ")</f>
        <v>O230117</v>
      </c>
      <c r="Q892" s="186" t="str">
        <f>IFERROR(VLOOKUP(C892,TD!$B$33:$F$37,3,0)," ")</f>
        <v>4503</v>
      </c>
      <c r="R892" s="186">
        <f>IFERROR(VLOOKUP(C892,TD!$B$33:$F$37,4,0)," ")</f>
        <v>20240255</v>
      </c>
      <c r="S892" s="51" t="s">
        <v>183</v>
      </c>
      <c r="T892" s="186" t="str">
        <f>IFERROR(VLOOKUP(S892,TD!$J$34:$K$44,2,0)," ")</f>
        <v>Servicio de formación en gestión del riesgo de incendios para el personal UAECOB</v>
      </c>
      <c r="U892" s="187" t="str">
        <f>CONCATENATE(S892,"-",T892)</f>
        <v>07-Servicio de formación en gestión del riesgo de incendios para el personal UAECOB</v>
      </c>
      <c r="V892" s="51" t="s">
        <v>233</v>
      </c>
      <c r="W892" s="186" t="str">
        <f>IFERROR(VLOOKUP(V892,TD!$N$34:$O$46,2,0)," ")</f>
        <v>Servicio de educación informal</v>
      </c>
      <c r="X892" s="187" t="str">
        <f>CONCATENATE(V892,"_",W892)</f>
        <v>002_Servicio de educación informal</v>
      </c>
      <c r="Y892" s="187" t="str">
        <f>CONCATENATE(U892," ",X892)</f>
        <v>07-Servicio de formación en gestión del riesgo de incendios para el personal UAECOB 002_Servicio de educación informal</v>
      </c>
      <c r="Z892" s="186" t="str">
        <f>CONCATENATE(P892,Q892,R892,S892,V892)</f>
        <v>O23011745032024025507002</v>
      </c>
      <c r="AA892" s="186" t="str">
        <f>IFERROR(VLOOKUP(Y892,TD!$K$47:$L$65,2,0)," ")</f>
        <v>PM/0131/0107/45030020255</v>
      </c>
      <c r="AB892" s="53" t="s">
        <v>138</v>
      </c>
      <c r="AC892" s="188" t="s">
        <v>205</v>
      </c>
    </row>
    <row r="893" spans="2:29" ht="70" x14ac:dyDescent="0.35">
      <c r="B893" s="132">
        <v>20250944</v>
      </c>
      <c r="C893" s="50" t="s">
        <v>209</v>
      </c>
      <c r="D893" s="184" t="s">
        <v>165</v>
      </c>
      <c r="E893" s="51" t="s">
        <v>484</v>
      </c>
      <c r="F893" s="184" t="s">
        <v>1130</v>
      </c>
      <c r="G893" s="184" t="s">
        <v>155</v>
      </c>
      <c r="H893" s="93">
        <v>80111600</v>
      </c>
      <c r="I893" s="185">
        <v>10</v>
      </c>
      <c r="J893" s="185">
        <v>2</v>
      </c>
      <c r="K893" s="52">
        <v>0</v>
      </c>
      <c r="L893" s="53">
        <v>13250000</v>
      </c>
      <c r="M893" s="136" t="s">
        <v>464</v>
      </c>
      <c r="N893" s="53" t="s">
        <v>113</v>
      </c>
      <c r="O893" s="51" t="s">
        <v>229</v>
      </c>
      <c r="P893" s="186" t="str">
        <f>IFERROR(VLOOKUP(C893,TD!$B$33:$F$37,2,0)," ")</f>
        <v>O230117</v>
      </c>
      <c r="Q893" s="186" t="str">
        <f>IFERROR(VLOOKUP(C893,TD!$B$33:$F$37,3,0)," ")</f>
        <v>4503</v>
      </c>
      <c r="R893" s="186">
        <f>IFERROR(VLOOKUP(C893,TD!$B$33:$F$37,4,0)," ")</f>
        <v>20240255</v>
      </c>
      <c r="S893" s="51" t="s">
        <v>183</v>
      </c>
      <c r="T893" s="186" t="str">
        <f>IFERROR(VLOOKUP(S893,TD!$J$34:$K$44,2,0)," ")</f>
        <v>Servicio de formación en gestión del riesgo de incendios para el personal UAECOB</v>
      </c>
      <c r="U893" s="187" t="str">
        <f>CONCATENATE(S893,"-",T893)</f>
        <v>07-Servicio de formación en gestión del riesgo de incendios para el personal UAECOB</v>
      </c>
      <c r="V893" s="51" t="s">
        <v>233</v>
      </c>
      <c r="W893" s="186" t="str">
        <f>IFERROR(VLOOKUP(V893,TD!$N$34:$O$46,2,0)," ")</f>
        <v>Servicio de educación informal</v>
      </c>
      <c r="X893" s="187" t="str">
        <f>CONCATENATE(V893,"_",W893)</f>
        <v>002_Servicio de educación informal</v>
      </c>
      <c r="Y893" s="187" t="str">
        <f>CONCATENATE(U893," ",X893)</f>
        <v>07-Servicio de formación en gestión del riesgo de incendios para el personal UAECOB 002_Servicio de educación informal</v>
      </c>
      <c r="Z893" s="186" t="str">
        <f>CONCATENATE(P893,Q893,R893,S893,V893)</f>
        <v>O23011745032024025507002</v>
      </c>
      <c r="AA893" s="186" t="str">
        <f>IFERROR(VLOOKUP(Y893,TD!$K$47:$L$65,2,0)," ")</f>
        <v>PM/0131/0107/45030020255</v>
      </c>
      <c r="AB893" s="53" t="s">
        <v>138</v>
      </c>
      <c r="AC893" s="188" t="s">
        <v>205</v>
      </c>
    </row>
    <row r="894" spans="2:29" ht="84" x14ac:dyDescent="0.35">
      <c r="B894" s="77">
        <v>20250945</v>
      </c>
      <c r="C894" s="50" t="s">
        <v>209</v>
      </c>
      <c r="D894" s="184" t="s">
        <v>165</v>
      </c>
      <c r="E894" s="51" t="s">
        <v>484</v>
      </c>
      <c r="F894" s="184" t="s">
        <v>1131</v>
      </c>
      <c r="G894" s="184" t="s">
        <v>155</v>
      </c>
      <c r="H894" s="93">
        <v>80111600</v>
      </c>
      <c r="I894" s="185">
        <v>10</v>
      </c>
      <c r="J894" s="185">
        <v>2</v>
      </c>
      <c r="K894" s="52">
        <v>0</v>
      </c>
      <c r="L894" s="53">
        <v>16500000</v>
      </c>
      <c r="M894" s="136" t="s">
        <v>464</v>
      </c>
      <c r="N894" s="53" t="s">
        <v>113</v>
      </c>
      <c r="O894" s="51" t="s">
        <v>229</v>
      </c>
      <c r="P894" s="186" t="str">
        <f>IFERROR(VLOOKUP(C894,TD!$B$33:$F$37,2,0)," ")</f>
        <v>O230117</v>
      </c>
      <c r="Q894" s="186" t="str">
        <f>IFERROR(VLOOKUP(C894,TD!$B$33:$F$37,3,0)," ")</f>
        <v>4503</v>
      </c>
      <c r="R894" s="186">
        <f>IFERROR(VLOOKUP(C894,TD!$B$33:$F$37,4,0)," ")</f>
        <v>20240255</v>
      </c>
      <c r="S894" s="51" t="s">
        <v>183</v>
      </c>
      <c r="T894" s="186" t="str">
        <f>IFERROR(VLOOKUP(S894,TD!$J$34:$K$44,2,0)," ")</f>
        <v>Servicio de formación en gestión del riesgo de incendios para el personal UAECOB</v>
      </c>
      <c r="U894" s="187" t="str">
        <f>CONCATENATE(S894,"-",T894)</f>
        <v>07-Servicio de formación en gestión del riesgo de incendios para el personal UAECOB</v>
      </c>
      <c r="V894" s="51" t="s">
        <v>233</v>
      </c>
      <c r="W894" s="186" t="str">
        <f>IFERROR(VLOOKUP(V894,TD!$N$34:$O$46,2,0)," ")</f>
        <v>Servicio de educación informal</v>
      </c>
      <c r="X894" s="187" t="str">
        <f>CONCATENATE(V894,"_",W894)</f>
        <v>002_Servicio de educación informal</v>
      </c>
      <c r="Y894" s="187" t="str">
        <f>CONCATENATE(U894," ",X894)</f>
        <v>07-Servicio de formación en gestión del riesgo de incendios para el personal UAECOB 002_Servicio de educación informal</v>
      </c>
      <c r="Z894" s="186" t="str">
        <f>CONCATENATE(P894,Q894,R894,S894,V894)</f>
        <v>O23011745032024025507002</v>
      </c>
      <c r="AA894" s="186" t="str">
        <f>IFERROR(VLOOKUP(Y894,TD!$K$47:$L$65,2,0)," ")</f>
        <v>PM/0131/0107/45030020255</v>
      </c>
      <c r="AB894" s="53" t="s">
        <v>138</v>
      </c>
      <c r="AC894" s="188" t="s">
        <v>205</v>
      </c>
    </row>
    <row r="895" spans="2:29" ht="70" x14ac:dyDescent="0.35">
      <c r="B895" s="132">
        <v>20250947</v>
      </c>
      <c r="C895" s="50" t="s">
        <v>209</v>
      </c>
      <c r="D895" s="184" t="s">
        <v>165</v>
      </c>
      <c r="E895" s="51" t="s">
        <v>484</v>
      </c>
      <c r="F895" s="184" t="s">
        <v>1133</v>
      </c>
      <c r="G895" s="184" t="s">
        <v>155</v>
      </c>
      <c r="H895" s="93">
        <v>80111600</v>
      </c>
      <c r="I895" s="185">
        <v>10</v>
      </c>
      <c r="J895" s="185">
        <v>2</v>
      </c>
      <c r="K895" s="52">
        <v>0</v>
      </c>
      <c r="L895" s="53">
        <v>14375000</v>
      </c>
      <c r="M895" s="136" t="s">
        <v>464</v>
      </c>
      <c r="N895" s="53" t="s">
        <v>113</v>
      </c>
      <c r="O895" s="51" t="s">
        <v>229</v>
      </c>
      <c r="P895" s="186" t="str">
        <f>IFERROR(VLOOKUP(C895,TD!$B$33:$F$37,2,0)," ")</f>
        <v>O230117</v>
      </c>
      <c r="Q895" s="186" t="str">
        <f>IFERROR(VLOOKUP(C895,TD!$B$33:$F$37,3,0)," ")</f>
        <v>4503</v>
      </c>
      <c r="R895" s="186">
        <f>IFERROR(VLOOKUP(C895,TD!$B$33:$F$37,4,0)," ")</f>
        <v>20240255</v>
      </c>
      <c r="S895" s="51" t="s">
        <v>183</v>
      </c>
      <c r="T895" s="186" t="str">
        <f>IFERROR(VLOOKUP(S895,TD!$J$34:$K$44,2,0)," ")</f>
        <v>Servicio de formación en gestión del riesgo de incendios para el personal UAECOB</v>
      </c>
      <c r="U895" s="187" t="str">
        <f>CONCATENATE(S895,"-",T895)</f>
        <v>07-Servicio de formación en gestión del riesgo de incendios para el personal UAECOB</v>
      </c>
      <c r="V895" s="51" t="s">
        <v>233</v>
      </c>
      <c r="W895" s="186" t="str">
        <f>IFERROR(VLOOKUP(V895,TD!$N$34:$O$46,2,0)," ")</f>
        <v>Servicio de educación informal</v>
      </c>
      <c r="X895" s="187" t="str">
        <f>CONCATENATE(V895,"_",W895)</f>
        <v>002_Servicio de educación informal</v>
      </c>
      <c r="Y895" s="187" t="str">
        <f>CONCATENATE(U895," ",X895)</f>
        <v>07-Servicio de formación en gestión del riesgo de incendios para el personal UAECOB 002_Servicio de educación informal</v>
      </c>
      <c r="Z895" s="186" t="str">
        <f>CONCATENATE(P895,Q895,R895,S895,V895)</f>
        <v>O23011745032024025507002</v>
      </c>
      <c r="AA895" s="186" t="str">
        <f>IFERROR(VLOOKUP(Y895,TD!$K$47:$L$65,2,0)," ")</f>
        <v>PM/0131/0107/45030020255</v>
      </c>
      <c r="AB895" s="53" t="s">
        <v>138</v>
      </c>
      <c r="AC895" s="188" t="s">
        <v>205</v>
      </c>
    </row>
    <row r="896" spans="2:29" ht="56" x14ac:dyDescent="0.35">
      <c r="B896" s="132">
        <v>20250948</v>
      </c>
      <c r="C896" s="50" t="s">
        <v>209</v>
      </c>
      <c r="D896" s="184" t="s">
        <v>165</v>
      </c>
      <c r="E896" s="51" t="s">
        <v>484</v>
      </c>
      <c r="F896" s="184" t="s">
        <v>1134</v>
      </c>
      <c r="G896" s="184" t="s">
        <v>155</v>
      </c>
      <c r="H896" s="93">
        <v>80111600</v>
      </c>
      <c r="I896" s="185">
        <v>10</v>
      </c>
      <c r="J896" s="185">
        <v>2</v>
      </c>
      <c r="K896" s="52">
        <v>0</v>
      </c>
      <c r="L896" s="53">
        <v>19625000</v>
      </c>
      <c r="M896" s="136" t="s">
        <v>464</v>
      </c>
      <c r="N896" s="53" t="s">
        <v>113</v>
      </c>
      <c r="O896" s="51" t="s">
        <v>229</v>
      </c>
      <c r="P896" s="186" t="str">
        <f>IFERROR(VLOOKUP(C896,TD!$B$33:$F$37,2,0)," ")</f>
        <v>O230117</v>
      </c>
      <c r="Q896" s="186" t="str">
        <f>IFERROR(VLOOKUP(C896,TD!$B$33:$F$37,3,0)," ")</f>
        <v>4503</v>
      </c>
      <c r="R896" s="186">
        <f>IFERROR(VLOOKUP(C896,TD!$B$33:$F$37,4,0)," ")</f>
        <v>20240255</v>
      </c>
      <c r="S896" s="51" t="s">
        <v>183</v>
      </c>
      <c r="T896" s="186" t="str">
        <f>IFERROR(VLOOKUP(S896,TD!$J$34:$K$44,2,0)," ")</f>
        <v>Servicio de formación en gestión del riesgo de incendios para el personal UAECOB</v>
      </c>
      <c r="U896" s="187" t="str">
        <f>CONCATENATE(S896,"-",T896)</f>
        <v>07-Servicio de formación en gestión del riesgo de incendios para el personal UAECOB</v>
      </c>
      <c r="V896" s="51" t="s">
        <v>233</v>
      </c>
      <c r="W896" s="186" t="str">
        <f>IFERROR(VLOOKUP(V896,TD!$N$34:$O$46,2,0)," ")</f>
        <v>Servicio de educación informal</v>
      </c>
      <c r="X896" s="187" t="str">
        <f>CONCATENATE(V896,"_",W896)</f>
        <v>002_Servicio de educación informal</v>
      </c>
      <c r="Y896" s="187" t="str">
        <f>CONCATENATE(U896," ",X896)</f>
        <v>07-Servicio de formación en gestión del riesgo de incendios para el personal UAECOB 002_Servicio de educación informal</v>
      </c>
      <c r="Z896" s="186" t="str">
        <f>CONCATENATE(P896,Q896,R896,S896,V896)</f>
        <v>O23011745032024025507002</v>
      </c>
      <c r="AA896" s="186" t="str">
        <f>IFERROR(VLOOKUP(Y896,TD!$K$47:$L$65,2,0)," ")</f>
        <v>PM/0131/0107/45030020255</v>
      </c>
      <c r="AB896" s="53" t="s">
        <v>138</v>
      </c>
      <c r="AC896" s="188" t="s">
        <v>205</v>
      </c>
    </row>
    <row r="897" spans="2:29" ht="56" x14ac:dyDescent="0.35">
      <c r="B897" s="132">
        <v>20250949</v>
      </c>
      <c r="C897" s="50" t="s">
        <v>209</v>
      </c>
      <c r="D897" s="184" t="s">
        <v>165</v>
      </c>
      <c r="E897" s="51" t="s">
        <v>484</v>
      </c>
      <c r="F897" s="184" t="s">
        <v>1135</v>
      </c>
      <c r="G897" s="184" t="s">
        <v>155</v>
      </c>
      <c r="H897" s="93">
        <v>80111600</v>
      </c>
      <c r="I897" s="185">
        <v>10</v>
      </c>
      <c r="J897" s="185">
        <v>2</v>
      </c>
      <c r="K897" s="52">
        <v>0</v>
      </c>
      <c r="L897" s="53">
        <v>11500000</v>
      </c>
      <c r="M897" s="136" t="s">
        <v>464</v>
      </c>
      <c r="N897" s="53" t="s">
        <v>113</v>
      </c>
      <c r="O897" s="51" t="s">
        <v>229</v>
      </c>
      <c r="P897" s="186" t="str">
        <f>IFERROR(VLOOKUP(C897,TD!$B$33:$F$37,2,0)," ")</f>
        <v>O230117</v>
      </c>
      <c r="Q897" s="186" t="str">
        <f>IFERROR(VLOOKUP(C897,TD!$B$33:$F$37,3,0)," ")</f>
        <v>4503</v>
      </c>
      <c r="R897" s="186">
        <f>IFERROR(VLOOKUP(C897,TD!$B$33:$F$37,4,0)," ")</f>
        <v>20240255</v>
      </c>
      <c r="S897" s="51" t="s">
        <v>183</v>
      </c>
      <c r="T897" s="186" t="str">
        <f>IFERROR(VLOOKUP(S897,TD!$J$34:$K$44,2,0)," ")</f>
        <v>Servicio de formación en gestión del riesgo de incendios para el personal UAECOB</v>
      </c>
      <c r="U897" s="187" t="str">
        <f>CONCATENATE(S897,"-",T897)</f>
        <v>07-Servicio de formación en gestión del riesgo de incendios para el personal UAECOB</v>
      </c>
      <c r="V897" s="51" t="s">
        <v>233</v>
      </c>
      <c r="W897" s="186" t="str">
        <f>IFERROR(VLOOKUP(V897,TD!$N$34:$O$46,2,0)," ")</f>
        <v>Servicio de educación informal</v>
      </c>
      <c r="X897" s="187" t="str">
        <f>CONCATENATE(V897,"_",W897)</f>
        <v>002_Servicio de educación informal</v>
      </c>
      <c r="Y897" s="187" t="str">
        <f>CONCATENATE(U897," ",X897)</f>
        <v>07-Servicio de formación en gestión del riesgo de incendios para el personal UAECOB 002_Servicio de educación informal</v>
      </c>
      <c r="Z897" s="186" t="str">
        <f>CONCATENATE(P897,Q897,R897,S897,V897)</f>
        <v>O23011745032024025507002</v>
      </c>
      <c r="AA897" s="186" t="str">
        <f>IFERROR(VLOOKUP(Y897,TD!$K$47:$L$65,2,0)," ")</f>
        <v>PM/0131/0107/45030020255</v>
      </c>
      <c r="AB897" s="53" t="s">
        <v>138</v>
      </c>
      <c r="AC897" s="188" t="s">
        <v>205</v>
      </c>
    </row>
    <row r="898" spans="2:29" ht="56" x14ac:dyDescent="0.35">
      <c r="B898" s="132">
        <v>20250950</v>
      </c>
      <c r="C898" s="50" t="s">
        <v>208</v>
      </c>
      <c r="D898" s="184" t="s">
        <v>166</v>
      </c>
      <c r="E898" s="51" t="s">
        <v>558</v>
      </c>
      <c r="F898" s="184" t="s">
        <v>1142</v>
      </c>
      <c r="G898" s="184" t="s">
        <v>156</v>
      </c>
      <c r="H898" s="93" t="s">
        <v>609</v>
      </c>
      <c r="I898" s="185">
        <v>10</v>
      </c>
      <c r="J898" s="185">
        <v>1</v>
      </c>
      <c r="K898" s="52">
        <v>27</v>
      </c>
      <c r="L898" s="53">
        <v>6240223</v>
      </c>
      <c r="M898" s="136" t="s">
        <v>464</v>
      </c>
      <c r="N898" s="53" t="s">
        <v>610</v>
      </c>
      <c r="O898" s="51" t="s">
        <v>219</v>
      </c>
      <c r="P898" s="186" t="str">
        <f>IFERROR(VLOOKUP(C898,TD!$B$33:$F$37,2,0)," ")</f>
        <v>O230117</v>
      </c>
      <c r="Q898" s="186" t="str">
        <f>IFERROR(VLOOKUP(C898,TD!$B$33:$F$37,3,0)," ")</f>
        <v>4599</v>
      </c>
      <c r="R898" s="186">
        <f>IFERROR(VLOOKUP(C898,TD!$B$33:$F$37,4,0)," ")</f>
        <v>20240207</v>
      </c>
      <c r="S898" s="51" t="s">
        <v>185</v>
      </c>
      <c r="T898" s="186" t="str">
        <f>IFERROR(VLOOKUP(S898,TD!$J$34:$K$44,2,0)," ")</f>
        <v>Infraestructura física, mantenimiento y dotación (Sedes construidas, mantenidas reforzadas)</v>
      </c>
      <c r="U898" s="187" t="str">
        <f>CONCATENATE(S898,"-",T898)</f>
        <v>08-Infraestructura física, mantenimiento y dotación (Sedes construidas, mantenidas reforzadas)</v>
      </c>
      <c r="V898" s="51" t="s">
        <v>238</v>
      </c>
      <c r="W898" s="186" t="str">
        <f>IFERROR(VLOOKUP(V898,TD!$N$34:$O$46,2,0)," ")</f>
        <v>Sedes mantenidas</v>
      </c>
      <c r="X898" s="187" t="str">
        <f>CONCATENATE(V898,"_",W898)</f>
        <v>016_Sedes mantenidas</v>
      </c>
      <c r="Y898" s="187" t="str">
        <f>CONCATENATE(U898," ",X898)</f>
        <v>08-Infraestructura física, mantenimiento y dotación (Sedes construidas, mantenidas reforzadas) 016_Sedes mantenidas</v>
      </c>
      <c r="Z898" s="186" t="str">
        <f>CONCATENATE(P898,Q898,R898,S898,V898)</f>
        <v>O23011745992024020708016</v>
      </c>
      <c r="AA898" s="186" t="str">
        <f>IFERROR(VLOOKUP(Y898,TD!$K$47:$L$65,2,0)," ")</f>
        <v>PM/0131/0108/45990160207</v>
      </c>
      <c r="AB898" s="53" t="s">
        <v>138</v>
      </c>
      <c r="AC898" s="188" t="s">
        <v>205</v>
      </c>
    </row>
    <row r="899" spans="2:29" ht="56" x14ac:dyDescent="0.35">
      <c r="B899" s="167">
        <v>20250951</v>
      </c>
      <c r="C899" s="50" t="s">
        <v>208</v>
      </c>
      <c r="D899" s="184" t="s">
        <v>166</v>
      </c>
      <c r="E899" s="51" t="s">
        <v>558</v>
      </c>
      <c r="F899" s="237" t="s">
        <v>1143</v>
      </c>
      <c r="G899" s="237" t="s">
        <v>155</v>
      </c>
      <c r="H899" s="162" t="s">
        <v>609</v>
      </c>
      <c r="I899" s="238">
        <v>10</v>
      </c>
      <c r="J899" s="238">
        <v>2</v>
      </c>
      <c r="K899" s="163">
        <v>13</v>
      </c>
      <c r="L899" s="165">
        <v>22181503</v>
      </c>
      <c r="M899" s="164" t="s">
        <v>464</v>
      </c>
      <c r="N899" s="165" t="s">
        <v>610</v>
      </c>
      <c r="O899" s="51" t="s">
        <v>219</v>
      </c>
      <c r="P899" s="239" t="str">
        <f>IFERROR(VLOOKUP(C899,TD!$B$33:$F$37,2,0)," ")</f>
        <v>O230117</v>
      </c>
      <c r="Q899" s="239" t="str">
        <f>IFERROR(VLOOKUP(C899,TD!$B$33:$F$37,3,0)," ")</f>
        <v>4599</v>
      </c>
      <c r="R899" s="239">
        <f>IFERROR(VLOOKUP(C899,TD!$B$33:$F$37,4,0)," ")</f>
        <v>20240207</v>
      </c>
      <c r="S899" s="51" t="s">
        <v>185</v>
      </c>
      <c r="T899" s="186" t="str">
        <f>IFERROR(VLOOKUP(S899,TD!$J$34:$K$44,2,0)," ")</f>
        <v>Infraestructura física, mantenimiento y dotación (Sedes construidas, mantenidas reforzadas)</v>
      </c>
      <c r="U899" s="187" t="str">
        <f>CONCATENATE(S899,"-",T899)</f>
        <v>08-Infraestructura física, mantenimiento y dotación (Sedes construidas, mantenidas reforzadas)</v>
      </c>
      <c r="V899" s="51" t="s">
        <v>238</v>
      </c>
      <c r="W899" s="186" t="str">
        <f>IFERROR(VLOOKUP(V899,TD!$N$34:$O$46,2,0)," ")</f>
        <v>Sedes mantenidas</v>
      </c>
      <c r="X899" s="187" t="str">
        <f>CONCATENATE(V899,"_",W899)</f>
        <v>016_Sedes mantenidas</v>
      </c>
      <c r="Y899" s="187" t="str">
        <f>CONCATENATE(U899," ",X899)</f>
        <v>08-Infraestructura física, mantenimiento y dotación (Sedes construidas, mantenidas reforzadas) 016_Sedes mantenidas</v>
      </c>
      <c r="Z899" s="239" t="str">
        <f>CONCATENATE(P899,Q899,R899,S899,V899)</f>
        <v>O23011745992024020708016</v>
      </c>
      <c r="AA899" s="239" t="str">
        <f>IFERROR(VLOOKUP(Y899,TD!$K$47:$L$65,2,0)," ")</f>
        <v>PM/0131/0108/45990160207</v>
      </c>
      <c r="AB899" s="165" t="s">
        <v>138</v>
      </c>
      <c r="AC899" s="240" t="s">
        <v>205</v>
      </c>
    </row>
    <row r="900" spans="2:29" ht="98" x14ac:dyDescent="0.35">
      <c r="B900" s="161">
        <v>20250952</v>
      </c>
      <c r="C900" s="50" t="s">
        <v>208</v>
      </c>
      <c r="D900" s="184" t="s">
        <v>166</v>
      </c>
      <c r="E900" s="51" t="s">
        <v>558</v>
      </c>
      <c r="F900" s="237" t="s">
        <v>1144</v>
      </c>
      <c r="G900" s="237" t="s">
        <v>156</v>
      </c>
      <c r="H900" s="162" t="s">
        <v>609</v>
      </c>
      <c r="I900" s="238">
        <v>10</v>
      </c>
      <c r="J900" s="238">
        <v>0</v>
      </c>
      <c r="K900" s="163">
        <v>22</v>
      </c>
      <c r="L900" s="165">
        <v>2408507</v>
      </c>
      <c r="M900" s="164" t="s">
        <v>464</v>
      </c>
      <c r="N900" s="165" t="s">
        <v>610</v>
      </c>
      <c r="O900" s="51" t="s">
        <v>219</v>
      </c>
      <c r="P900" s="239" t="str">
        <f>IFERROR(VLOOKUP(C900,TD!$B$33:$F$37,2,0)," ")</f>
        <v>O230117</v>
      </c>
      <c r="Q900" s="239" t="str">
        <f>IFERROR(VLOOKUP(C900,TD!$B$33:$F$37,3,0)," ")</f>
        <v>4599</v>
      </c>
      <c r="R900" s="239">
        <f>IFERROR(VLOOKUP(C900,TD!$B$33:$F$37,4,0)," ")</f>
        <v>20240207</v>
      </c>
      <c r="S900" s="51" t="s">
        <v>185</v>
      </c>
      <c r="T900" s="186" t="str">
        <f>IFERROR(VLOOKUP(S900,TD!$J$34:$K$44,2,0)," ")</f>
        <v>Infraestructura física, mantenimiento y dotación (Sedes construidas, mantenidas reforzadas)</v>
      </c>
      <c r="U900" s="187" t="str">
        <f>CONCATENATE(S900,"-",T900)</f>
        <v>08-Infraestructura física, mantenimiento y dotación (Sedes construidas, mantenidas reforzadas)</v>
      </c>
      <c r="V900" s="51" t="s">
        <v>238</v>
      </c>
      <c r="W900" s="186" t="str">
        <f>IFERROR(VLOOKUP(V900,TD!$N$34:$O$46,2,0)," ")</f>
        <v>Sedes mantenidas</v>
      </c>
      <c r="X900" s="187" t="str">
        <f>CONCATENATE(V900,"_",W900)</f>
        <v>016_Sedes mantenidas</v>
      </c>
      <c r="Y900" s="187" t="str">
        <f>CONCATENATE(U900," ",X900)</f>
        <v>08-Infraestructura física, mantenimiento y dotación (Sedes construidas, mantenidas reforzadas) 016_Sedes mantenidas</v>
      </c>
      <c r="Z900" s="239" t="str">
        <f>CONCATENATE(P900,Q900,R900,S900,V900)</f>
        <v>O23011745992024020708016</v>
      </c>
      <c r="AA900" s="239" t="str">
        <f>IFERROR(VLOOKUP(Y900,TD!$K$47:$L$65,2,0)," ")</f>
        <v>PM/0131/0108/45990160207</v>
      </c>
      <c r="AB900" s="165" t="s">
        <v>138</v>
      </c>
      <c r="AC900" s="240" t="s">
        <v>205</v>
      </c>
    </row>
    <row r="901" spans="2:29" ht="126" x14ac:dyDescent="0.35">
      <c r="B901" s="167">
        <v>20250953</v>
      </c>
      <c r="C901" s="50" t="s">
        <v>208</v>
      </c>
      <c r="D901" s="184" t="s">
        <v>166</v>
      </c>
      <c r="E901" s="51" t="s">
        <v>558</v>
      </c>
      <c r="F901" s="237" t="s">
        <v>1145</v>
      </c>
      <c r="G901" s="237" t="s">
        <v>156</v>
      </c>
      <c r="H901" s="162" t="s">
        <v>609</v>
      </c>
      <c r="I901" s="238">
        <v>10</v>
      </c>
      <c r="J901" s="238">
        <v>1</v>
      </c>
      <c r="K901" s="163">
        <v>7</v>
      </c>
      <c r="L901" s="165">
        <v>4050671</v>
      </c>
      <c r="M901" s="164" t="s">
        <v>464</v>
      </c>
      <c r="N901" s="165" t="s">
        <v>610</v>
      </c>
      <c r="O901" s="51" t="s">
        <v>219</v>
      </c>
      <c r="P901" s="239" t="str">
        <f>IFERROR(VLOOKUP(C901,TD!$B$33:$F$37,2,0)," ")</f>
        <v>O230117</v>
      </c>
      <c r="Q901" s="239" t="str">
        <f>IFERROR(VLOOKUP(C901,TD!$B$33:$F$37,3,0)," ")</f>
        <v>4599</v>
      </c>
      <c r="R901" s="239">
        <f>IFERROR(VLOOKUP(C901,TD!$B$33:$F$37,4,0)," ")</f>
        <v>20240207</v>
      </c>
      <c r="S901" s="51" t="s">
        <v>185</v>
      </c>
      <c r="T901" s="186" t="str">
        <f>IFERROR(VLOOKUP(S901,TD!$J$34:$K$44,2,0)," ")</f>
        <v>Infraestructura física, mantenimiento y dotación (Sedes construidas, mantenidas reforzadas)</v>
      </c>
      <c r="U901" s="187" t="str">
        <f>CONCATENATE(S901,"-",T901)</f>
        <v>08-Infraestructura física, mantenimiento y dotación (Sedes construidas, mantenidas reforzadas)</v>
      </c>
      <c r="V901" s="51" t="s">
        <v>238</v>
      </c>
      <c r="W901" s="186" t="str">
        <f>IFERROR(VLOOKUP(V901,TD!$N$34:$O$46,2,0)," ")</f>
        <v>Sedes mantenidas</v>
      </c>
      <c r="X901" s="187" t="str">
        <f>CONCATENATE(V901,"_",W901)</f>
        <v>016_Sedes mantenidas</v>
      </c>
      <c r="Y901" s="187" t="str">
        <f>CONCATENATE(U901," ",X901)</f>
        <v>08-Infraestructura física, mantenimiento y dotación (Sedes construidas, mantenidas reforzadas) 016_Sedes mantenidas</v>
      </c>
      <c r="Z901" s="239" t="str">
        <f>CONCATENATE(P901,Q901,R901,S901,V901)</f>
        <v>O23011745992024020708016</v>
      </c>
      <c r="AA901" s="239" t="str">
        <f>IFERROR(VLOOKUP(Y901,TD!$K$47:$L$65,2,0)," ")</f>
        <v>PM/0131/0108/45990160207</v>
      </c>
      <c r="AB901" s="165" t="s">
        <v>138</v>
      </c>
      <c r="AC901" s="240" t="s">
        <v>205</v>
      </c>
    </row>
    <row r="902" spans="2:29" ht="126" x14ac:dyDescent="0.35">
      <c r="B902" s="167">
        <v>20250954</v>
      </c>
      <c r="C902" s="50" t="s">
        <v>208</v>
      </c>
      <c r="D902" s="184" t="s">
        <v>166</v>
      </c>
      <c r="E902" s="51" t="s">
        <v>558</v>
      </c>
      <c r="F902" s="237" t="s">
        <v>1146</v>
      </c>
      <c r="G902" s="237" t="s">
        <v>156</v>
      </c>
      <c r="H902" s="162" t="s">
        <v>609</v>
      </c>
      <c r="I902" s="238">
        <v>10</v>
      </c>
      <c r="J902" s="238">
        <v>0</v>
      </c>
      <c r="K902" s="163">
        <v>26</v>
      </c>
      <c r="L902" s="165">
        <v>2846418</v>
      </c>
      <c r="M902" s="164" t="s">
        <v>464</v>
      </c>
      <c r="N902" s="165" t="s">
        <v>610</v>
      </c>
      <c r="O902" s="51" t="s">
        <v>219</v>
      </c>
      <c r="P902" s="239" t="str">
        <f>IFERROR(VLOOKUP(C902,TD!$B$33:$F$37,2,0)," ")</f>
        <v>O230117</v>
      </c>
      <c r="Q902" s="239" t="str">
        <f>IFERROR(VLOOKUP(C902,TD!$B$33:$F$37,3,0)," ")</f>
        <v>4599</v>
      </c>
      <c r="R902" s="239">
        <f>IFERROR(VLOOKUP(C902,TD!$B$33:$F$37,4,0)," ")</f>
        <v>20240207</v>
      </c>
      <c r="S902" s="51" t="s">
        <v>185</v>
      </c>
      <c r="T902" s="186" t="str">
        <f>IFERROR(VLOOKUP(S902,TD!$J$34:$K$44,2,0)," ")</f>
        <v>Infraestructura física, mantenimiento y dotación (Sedes construidas, mantenidas reforzadas)</v>
      </c>
      <c r="U902" s="187" t="str">
        <f>CONCATENATE(S902,"-",T902)</f>
        <v>08-Infraestructura física, mantenimiento y dotación (Sedes construidas, mantenidas reforzadas)</v>
      </c>
      <c r="V902" s="51" t="s">
        <v>238</v>
      </c>
      <c r="W902" s="186" t="str">
        <f>IFERROR(VLOOKUP(V902,TD!$N$34:$O$46,2,0)," ")</f>
        <v>Sedes mantenidas</v>
      </c>
      <c r="X902" s="187" t="str">
        <f>CONCATENATE(V902,"_",W902)</f>
        <v>016_Sedes mantenidas</v>
      </c>
      <c r="Y902" s="187" t="str">
        <f>CONCATENATE(U902," ",X902)</f>
        <v>08-Infraestructura física, mantenimiento y dotación (Sedes construidas, mantenidas reforzadas) 016_Sedes mantenidas</v>
      </c>
      <c r="Z902" s="239" t="str">
        <f>CONCATENATE(P902,Q902,R902,S902,V902)</f>
        <v>O23011745992024020708016</v>
      </c>
      <c r="AA902" s="239" t="str">
        <f>IFERROR(VLOOKUP(Y902,TD!$K$47:$L$65,2,0)," ")</f>
        <v>PM/0131/0108/45990160207</v>
      </c>
      <c r="AB902" s="165" t="s">
        <v>138</v>
      </c>
      <c r="AC902" s="240" t="s">
        <v>205</v>
      </c>
    </row>
    <row r="903" spans="2:29" ht="70" x14ac:dyDescent="0.35">
      <c r="B903" s="167">
        <v>20250955</v>
      </c>
      <c r="C903" s="50" t="s">
        <v>208</v>
      </c>
      <c r="D903" s="184" t="s">
        <v>166</v>
      </c>
      <c r="E903" s="51" t="s">
        <v>558</v>
      </c>
      <c r="F903" s="237" t="s">
        <v>1147</v>
      </c>
      <c r="G903" s="237" t="s">
        <v>156</v>
      </c>
      <c r="H903" s="162" t="s">
        <v>609</v>
      </c>
      <c r="I903" s="238">
        <v>10</v>
      </c>
      <c r="J903" s="238">
        <v>0</v>
      </c>
      <c r="K903" s="163">
        <v>10</v>
      </c>
      <c r="L903" s="165">
        <v>1000000</v>
      </c>
      <c r="M903" s="164" t="s">
        <v>464</v>
      </c>
      <c r="N903" s="165" t="s">
        <v>610</v>
      </c>
      <c r="O903" s="51" t="s">
        <v>219</v>
      </c>
      <c r="P903" s="239" t="str">
        <f>IFERROR(VLOOKUP(C903,TD!$B$33:$F$37,2,0)," ")</f>
        <v>O230117</v>
      </c>
      <c r="Q903" s="239" t="str">
        <f>IFERROR(VLOOKUP(C903,TD!$B$33:$F$37,3,0)," ")</f>
        <v>4599</v>
      </c>
      <c r="R903" s="239">
        <f>IFERROR(VLOOKUP(C903,TD!$B$33:$F$37,4,0)," ")</f>
        <v>20240207</v>
      </c>
      <c r="S903" s="51" t="s">
        <v>185</v>
      </c>
      <c r="T903" s="186" t="str">
        <f>IFERROR(VLOOKUP(S903,TD!$J$34:$K$44,2,0)," ")</f>
        <v>Infraestructura física, mantenimiento y dotación (Sedes construidas, mantenidas reforzadas)</v>
      </c>
      <c r="U903" s="187" t="str">
        <f>CONCATENATE(S903,"-",T903)</f>
        <v>08-Infraestructura física, mantenimiento y dotación (Sedes construidas, mantenidas reforzadas)</v>
      </c>
      <c r="V903" s="51" t="s">
        <v>238</v>
      </c>
      <c r="W903" s="186" t="str">
        <f>IFERROR(VLOOKUP(V903,TD!$N$34:$O$46,2,0)," ")</f>
        <v>Sedes mantenidas</v>
      </c>
      <c r="X903" s="187" t="str">
        <f>CONCATENATE(V903,"_",W903)</f>
        <v>016_Sedes mantenidas</v>
      </c>
      <c r="Y903" s="187" t="str">
        <f>CONCATENATE(U903," ",X903)</f>
        <v>08-Infraestructura física, mantenimiento y dotación (Sedes construidas, mantenidas reforzadas) 016_Sedes mantenidas</v>
      </c>
      <c r="Z903" s="239" t="str">
        <f>CONCATENATE(P903,Q903,R903,S903,V903)</f>
        <v>O23011745992024020708016</v>
      </c>
      <c r="AA903" s="239" t="str">
        <f>IFERROR(VLOOKUP(Y903,TD!$K$47:$L$65,2,0)," ")</f>
        <v>PM/0131/0108/45990160207</v>
      </c>
      <c r="AB903" s="165" t="s">
        <v>138</v>
      </c>
      <c r="AC903" s="240" t="s">
        <v>205</v>
      </c>
    </row>
    <row r="904" spans="2:29" ht="70" x14ac:dyDescent="0.35">
      <c r="B904" s="132">
        <v>20250956</v>
      </c>
      <c r="C904" s="50" t="s">
        <v>208</v>
      </c>
      <c r="D904" s="184" t="s">
        <v>166</v>
      </c>
      <c r="E904" s="51" t="s">
        <v>558</v>
      </c>
      <c r="F904" s="237" t="s">
        <v>1148</v>
      </c>
      <c r="G904" s="237" t="s">
        <v>156</v>
      </c>
      <c r="H904" s="162" t="s">
        <v>609</v>
      </c>
      <c r="I904" s="238">
        <v>10</v>
      </c>
      <c r="J904" s="238">
        <v>1</v>
      </c>
      <c r="K904" s="163">
        <v>11</v>
      </c>
      <c r="L904" s="165">
        <v>4488582</v>
      </c>
      <c r="M904" s="164" t="s">
        <v>464</v>
      </c>
      <c r="N904" s="165" t="s">
        <v>610</v>
      </c>
      <c r="O904" s="51" t="s">
        <v>219</v>
      </c>
      <c r="P904" s="239" t="str">
        <f>IFERROR(VLOOKUP(C904,TD!$B$33:$F$37,2,0)," ")</f>
        <v>O230117</v>
      </c>
      <c r="Q904" s="239" t="str">
        <f>IFERROR(VLOOKUP(C904,TD!$B$33:$F$37,3,0)," ")</f>
        <v>4599</v>
      </c>
      <c r="R904" s="239">
        <f>IFERROR(VLOOKUP(C904,TD!$B$33:$F$37,4,0)," ")</f>
        <v>20240207</v>
      </c>
      <c r="S904" s="51" t="s">
        <v>185</v>
      </c>
      <c r="T904" s="186" t="str">
        <f>IFERROR(VLOOKUP(S904,TD!$J$34:$K$44,2,0)," ")</f>
        <v>Infraestructura física, mantenimiento y dotación (Sedes construidas, mantenidas reforzadas)</v>
      </c>
      <c r="U904" s="187" t="str">
        <f>CONCATENATE(S904,"-",T904)</f>
        <v>08-Infraestructura física, mantenimiento y dotación (Sedes construidas, mantenidas reforzadas)</v>
      </c>
      <c r="V904" s="51" t="s">
        <v>238</v>
      </c>
      <c r="W904" s="186" t="str">
        <f>IFERROR(VLOOKUP(V904,TD!$N$34:$O$46,2,0)," ")</f>
        <v>Sedes mantenidas</v>
      </c>
      <c r="X904" s="187" t="str">
        <f>CONCATENATE(V904,"_",W904)</f>
        <v>016_Sedes mantenidas</v>
      </c>
      <c r="Y904" s="187" t="str">
        <f>CONCATENATE(U904," ",X904)</f>
        <v>08-Infraestructura física, mantenimiento y dotación (Sedes construidas, mantenidas reforzadas) 016_Sedes mantenidas</v>
      </c>
      <c r="Z904" s="239" t="str">
        <f>CONCATENATE(P904,Q904,R904,S904,V904)</f>
        <v>O23011745992024020708016</v>
      </c>
      <c r="AA904" s="239" t="str">
        <f>IFERROR(VLOOKUP(Y904,TD!$K$47:$L$65,2,0)," ")</f>
        <v>PM/0131/0108/45990160207</v>
      </c>
      <c r="AB904" s="165" t="s">
        <v>138</v>
      </c>
      <c r="AC904" s="240" t="s">
        <v>205</v>
      </c>
    </row>
    <row r="905" spans="2:29" ht="70" x14ac:dyDescent="0.35">
      <c r="B905" s="167">
        <v>20250957</v>
      </c>
      <c r="C905" s="50" t="s">
        <v>208</v>
      </c>
      <c r="D905" s="184" t="s">
        <v>166</v>
      </c>
      <c r="E905" s="51" t="s">
        <v>558</v>
      </c>
      <c r="F905" s="237" t="s">
        <v>1149</v>
      </c>
      <c r="G905" s="237" t="s">
        <v>155</v>
      </c>
      <c r="H905" s="162" t="s">
        <v>609</v>
      </c>
      <c r="I905" s="238">
        <v>10</v>
      </c>
      <c r="J905" s="238">
        <v>3</v>
      </c>
      <c r="K905" s="163">
        <v>4</v>
      </c>
      <c r="L905" s="165">
        <v>25066667</v>
      </c>
      <c r="M905" s="164" t="s">
        <v>464</v>
      </c>
      <c r="N905" s="165" t="s">
        <v>610</v>
      </c>
      <c r="O905" s="51" t="s">
        <v>219</v>
      </c>
      <c r="P905" s="239" t="str">
        <f>IFERROR(VLOOKUP(C905,TD!$B$33:$F$37,2,0)," ")</f>
        <v>O230117</v>
      </c>
      <c r="Q905" s="239" t="str">
        <f>IFERROR(VLOOKUP(C905,TD!$B$33:$F$37,3,0)," ")</f>
        <v>4599</v>
      </c>
      <c r="R905" s="239">
        <f>IFERROR(VLOOKUP(C905,TD!$B$33:$F$37,4,0)," ")</f>
        <v>20240207</v>
      </c>
      <c r="S905" s="51" t="s">
        <v>185</v>
      </c>
      <c r="T905" s="186" t="str">
        <f>IFERROR(VLOOKUP(S905,TD!$J$34:$K$44,2,0)," ")</f>
        <v>Infraestructura física, mantenimiento y dotación (Sedes construidas, mantenidas reforzadas)</v>
      </c>
      <c r="U905" s="187" t="str">
        <f>CONCATENATE(S905,"-",T905)</f>
        <v>08-Infraestructura física, mantenimiento y dotación (Sedes construidas, mantenidas reforzadas)</v>
      </c>
      <c r="V905" s="51" t="s">
        <v>238</v>
      </c>
      <c r="W905" s="186" t="str">
        <f>IFERROR(VLOOKUP(V905,TD!$N$34:$O$46,2,0)," ")</f>
        <v>Sedes mantenidas</v>
      </c>
      <c r="X905" s="187" t="str">
        <f>CONCATENATE(V905,"_",W905)</f>
        <v>016_Sedes mantenidas</v>
      </c>
      <c r="Y905" s="187" t="str">
        <f>CONCATENATE(U905," ",X905)</f>
        <v>08-Infraestructura física, mantenimiento y dotación (Sedes construidas, mantenidas reforzadas) 016_Sedes mantenidas</v>
      </c>
      <c r="Z905" s="239" t="str">
        <f>CONCATENATE(P905,Q905,R905,S905,V905)</f>
        <v>O23011745992024020708016</v>
      </c>
      <c r="AA905" s="239" t="str">
        <f>IFERROR(VLOOKUP(Y905,TD!$K$47:$L$65,2,0)," ")</f>
        <v>PM/0131/0108/45990160207</v>
      </c>
      <c r="AB905" s="165" t="s">
        <v>138</v>
      </c>
      <c r="AC905" s="240" t="s">
        <v>205</v>
      </c>
    </row>
    <row r="906" spans="2:29" ht="70" x14ac:dyDescent="0.35">
      <c r="B906" s="161">
        <v>20250958</v>
      </c>
      <c r="C906" s="50" t="s">
        <v>208</v>
      </c>
      <c r="D906" s="184" t="s">
        <v>166</v>
      </c>
      <c r="E906" s="51" t="s">
        <v>558</v>
      </c>
      <c r="F906" s="237" t="s">
        <v>1150</v>
      </c>
      <c r="G906" s="237" t="s">
        <v>156</v>
      </c>
      <c r="H906" s="162" t="s">
        <v>609</v>
      </c>
      <c r="I906" s="238">
        <v>10</v>
      </c>
      <c r="J906" s="238">
        <v>2</v>
      </c>
      <c r="K906" s="163">
        <v>11</v>
      </c>
      <c r="L906" s="165">
        <v>10152373</v>
      </c>
      <c r="M906" s="164" t="s">
        <v>464</v>
      </c>
      <c r="N906" s="165" t="s">
        <v>610</v>
      </c>
      <c r="O906" s="51" t="s">
        <v>219</v>
      </c>
      <c r="P906" s="239" t="str">
        <f>IFERROR(VLOOKUP(C906,TD!$B$33:$F$37,2,0)," ")</f>
        <v>O230117</v>
      </c>
      <c r="Q906" s="239" t="str">
        <f>IFERROR(VLOOKUP(C906,TD!$B$33:$F$37,3,0)," ")</f>
        <v>4599</v>
      </c>
      <c r="R906" s="239">
        <f>IFERROR(VLOOKUP(C906,TD!$B$33:$F$37,4,0)," ")</f>
        <v>20240207</v>
      </c>
      <c r="S906" s="51" t="s">
        <v>185</v>
      </c>
      <c r="T906" s="186" t="str">
        <f>IFERROR(VLOOKUP(S906,TD!$J$34:$K$44,2,0)," ")</f>
        <v>Infraestructura física, mantenimiento y dotación (Sedes construidas, mantenidas reforzadas)</v>
      </c>
      <c r="U906" s="187" t="str">
        <f>CONCATENATE(S906,"-",T906)</f>
        <v>08-Infraestructura física, mantenimiento y dotación (Sedes construidas, mantenidas reforzadas)</v>
      </c>
      <c r="V906" s="51" t="s">
        <v>238</v>
      </c>
      <c r="W906" s="186" t="str">
        <f>IFERROR(VLOOKUP(V906,TD!$N$34:$O$46,2,0)," ")</f>
        <v>Sedes mantenidas</v>
      </c>
      <c r="X906" s="187" t="str">
        <f>CONCATENATE(V906,"_",W906)</f>
        <v>016_Sedes mantenidas</v>
      </c>
      <c r="Y906" s="187" t="str">
        <f>CONCATENATE(U906," ",X906)</f>
        <v>08-Infraestructura física, mantenimiento y dotación (Sedes construidas, mantenidas reforzadas) 016_Sedes mantenidas</v>
      </c>
      <c r="Z906" s="239" t="str">
        <f>CONCATENATE(P906,Q906,R906,S906,V906)</f>
        <v>O23011745992024020708016</v>
      </c>
      <c r="AA906" s="239" t="str">
        <f>IFERROR(VLOOKUP(Y906,TD!$K$47:$L$65,2,0)," ")</f>
        <v>PM/0131/0108/45990160207</v>
      </c>
      <c r="AB906" s="165" t="s">
        <v>138</v>
      </c>
      <c r="AC906" s="240" t="s">
        <v>205</v>
      </c>
    </row>
    <row r="907" spans="2:29" ht="70" x14ac:dyDescent="0.35">
      <c r="B907" s="167">
        <v>20250959</v>
      </c>
      <c r="C907" s="50" t="s">
        <v>208</v>
      </c>
      <c r="D907" s="184" t="s">
        <v>166</v>
      </c>
      <c r="E907" s="51" t="s">
        <v>558</v>
      </c>
      <c r="F907" s="237" t="s">
        <v>1151</v>
      </c>
      <c r="G907" s="237" t="s">
        <v>155</v>
      </c>
      <c r="H907" s="162" t="s">
        <v>609</v>
      </c>
      <c r="I907" s="238">
        <v>10</v>
      </c>
      <c r="J907" s="238">
        <v>2</v>
      </c>
      <c r="K907" s="163">
        <v>0</v>
      </c>
      <c r="L907" s="165">
        <v>10322174</v>
      </c>
      <c r="M907" s="164" t="s">
        <v>464</v>
      </c>
      <c r="N907" s="165" t="s">
        <v>610</v>
      </c>
      <c r="O907" s="51" t="s">
        <v>219</v>
      </c>
      <c r="P907" s="239" t="str">
        <f>IFERROR(VLOOKUP(C907,TD!$B$33:$F$37,2,0)," ")</f>
        <v>O230117</v>
      </c>
      <c r="Q907" s="239" t="str">
        <f>IFERROR(VLOOKUP(C907,TD!$B$33:$F$37,3,0)," ")</f>
        <v>4599</v>
      </c>
      <c r="R907" s="239">
        <f>IFERROR(VLOOKUP(C907,TD!$B$33:$F$37,4,0)," ")</f>
        <v>20240207</v>
      </c>
      <c r="S907" s="51" t="s">
        <v>185</v>
      </c>
      <c r="T907" s="186" t="str">
        <f>IFERROR(VLOOKUP(S907,TD!$J$34:$K$44,2,0)," ")</f>
        <v>Infraestructura física, mantenimiento y dotación (Sedes construidas, mantenidas reforzadas)</v>
      </c>
      <c r="U907" s="187" t="str">
        <f>CONCATENATE(S907,"-",T907)</f>
        <v>08-Infraestructura física, mantenimiento y dotación (Sedes construidas, mantenidas reforzadas)</v>
      </c>
      <c r="V907" s="51" t="s">
        <v>238</v>
      </c>
      <c r="W907" s="186" t="str">
        <f>IFERROR(VLOOKUP(V907,TD!$N$34:$O$46,2,0)," ")</f>
        <v>Sedes mantenidas</v>
      </c>
      <c r="X907" s="187" t="str">
        <f>CONCATENATE(V907,"_",W907)</f>
        <v>016_Sedes mantenidas</v>
      </c>
      <c r="Y907" s="187" t="str">
        <f>CONCATENATE(U907," ",X907)</f>
        <v>08-Infraestructura física, mantenimiento y dotación (Sedes construidas, mantenidas reforzadas) 016_Sedes mantenidas</v>
      </c>
      <c r="Z907" s="239" t="str">
        <f>CONCATENATE(P907,Q907,R907,S907,V907)</f>
        <v>O23011745992024020708016</v>
      </c>
      <c r="AA907" s="239" t="str">
        <f>IFERROR(VLOOKUP(Y907,TD!$K$47:$L$65,2,0)," ")</f>
        <v>PM/0131/0108/45990160207</v>
      </c>
      <c r="AB907" s="165" t="s">
        <v>138</v>
      </c>
      <c r="AC907" s="240" t="s">
        <v>205</v>
      </c>
    </row>
    <row r="908" spans="2:29" ht="84" x14ac:dyDescent="0.35">
      <c r="B908" s="167">
        <v>20250960</v>
      </c>
      <c r="C908" s="50" t="s">
        <v>208</v>
      </c>
      <c r="D908" s="184" t="s">
        <v>166</v>
      </c>
      <c r="E908" s="51" t="s">
        <v>558</v>
      </c>
      <c r="F908" s="237" t="s">
        <v>1152</v>
      </c>
      <c r="G908" s="237" t="s">
        <v>156</v>
      </c>
      <c r="H908" s="162" t="s">
        <v>609</v>
      </c>
      <c r="I908" s="238">
        <v>10</v>
      </c>
      <c r="J908" s="238">
        <v>1</v>
      </c>
      <c r="K908" s="163">
        <v>1</v>
      </c>
      <c r="L908" s="165">
        <v>3393806</v>
      </c>
      <c r="M908" s="164" t="s">
        <v>464</v>
      </c>
      <c r="N908" s="165" t="s">
        <v>610</v>
      </c>
      <c r="O908" s="51" t="s">
        <v>219</v>
      </c>
      <c r="P908" s="239" t="str">
        <f>IFERROR(VLOOKUP(C908,TD!$B$33:$F$37,2,0)," ")</f>
        <v>O230117</v>
      </c>
      <c r="Q908" s="239" t="str">
        <f>IFERROR(VLOOKUP(C908,TD!$B$33:$F$37,3,0)," ")</f>
        <v>4599</v>
      </c>
      <c r="R908" s="239">
        <f>IFERROR(VLOOKUP(C908,TD!$B$33:$F$37,4,0)," ")</f>
        <v>20240207</v>
      </c>
      <c r="S908" s="51" t="s">
        <v>185</v>
      </c>
      <c r="T908" s="186" t="str">
        <f>IFERROR(VLOOKUP(S908,TD!$J$34:$K$44,2,0)," ")</f>
        <v>Infraestructura física, mantenimiento y dotación (Sedes construidas, mantenidas reforzadas)</v>
      </c>
      <c r="U908" s="187" t="str">
        <f>CONCATENATE(S908,"-",T908)</f>
        <v>08-Infraestructura física, mantenimiento y dotación (Sedes construidas, mantenidas reforzadas)</v>
      </c>
      <c r="V908" s="51" t="s">
        <v>238</v>
      </c>
      <c r="W908" s="186" t="str">
        <f>IFERROR(VLOOKUP(V908,TD!$N$34:$O$46,2,0)," ")</f>
        <v>Sedes mantenidas</v>
      </c>
      <c r="X908" s="187" t="str">
        <f>CONCATENATE(V908,"_",W908)</f>
        <v>016_Sedes mantenidas</v>
      </c>
      <c r="Y908" s="187" t="str">
        <f>CONCATENATE(U908," ",X908)</f>
        <v>08-Infraestructura física, mantenimiento y dotación (Sedes construidas, mantenidas reforzadas) 016_Sedes mantenidas</v>
      </c>
      <c r="Z908" s="239" t="str">
        <f>CONCATENATE(P908,Q908,R908,S908,V908)</f>
        <v>O23011745992024020708016</v>
      </c>
      <c r="AA908" s="239" t="str">
        <f>IFERROR(VLOOKUP(Y908,TD!$K$47:$L$65,2,0)," ")</f>
        <v>PM/0131/0108/45990160207</v>
      </c>
      <c r="AB908" s="165" t="s">
        <v>138</v>
      </c>
      <c r="AC908" s="240" t="s">
        <v>205</v>
      </c>
    </row>
    <row r="909" spans="2:29" ht="70" x14ac:dyDescent="0.35">
      <c r="B909" s="167">
        <v>20250961</v>
      </c>
      <c r="C909" s="50" t="s">
        <v>208</v>
      </c>
      <c r="D909" s="184" t="s">
        <v>166</v>
      </c>
      <c r="E909" s="51" t="s">
        <v>558</v>
      </c>
      <c r="F909" s="237" t="s">
        <v>1153</v>
      </c>
      <c r="G909" s="237" t="s">
        <v>155</v>
      </c>
      <c r="H909" s="162" t="s">
        <v>609</v>
      </c>
      <c r="I909" s="238">
        <v>10</v>
      </c>
      <c r="J909" s="238">
        <v>1</v>
      </c>
      <c r="K909" s="163">
        <v>19</v>
      </c>
      <c r="L909" s="165">
        <v>12042536</v>
      </c>
      <c r="M909" s="164" t="s">
        <v>464</v>
      </c>
      <c r="N909" s="165" t="s">
        <v>610</v>
      </c>
      <c r="O909" s="51" t="s">
        <v>219</v>
      </c>
      <c r="P909" s="239" t="str">
        <f>IFERROR(VLOOKUP(C909,TD!$B$33:$F$37,2,0)," ")</f>
        <v>O230117</v>
      </c>
      <c r="Q909" s="239" t="str">
        <f>IFERROR(VLOOKUP(C909,TD!$B$33:$F$37,3,0)," ")</f>
        <v>4599</v>
      </c>
      <c r="R909" s="239">
        <f>IFERROR(VLOOKUP(C909,TD!$B$33:$F$37,4,0)," ")</f>
        <v>20240207</v>
      </c>
      <c r="S909" s="51" t="s">
        <v>185</v>
      </c>
      <c r="T909" s="186" t="str">
        <f>IFERROR(VLOOKUP(S909,TD!$J$34:$K$44,2,0)," ")</f>
        <v>Infraestructura física, mantenimiento y dotación (Sedes construidas, mantenidas reforzadas)</v>
      </c>
      <c r="U909" s="187" t="str">
        <f>CONCATENATE(S909,"-",T909)</f>
        <v>08-Infraestructura física, mantenimiento y dotación (Sedes construidas, mantenidas reforzadas)</v>
      </c>
      <c r="V909" s="51" t="s">
        <v>238</v>
      </c>
      <c r="W909" s="186" t="str">
        <f>IFERROR(VLOOKUP(V909,TD!$N$34:$O$46,2,0)," ")</f>
        <v>Sedes mantenidas</v>
      </c>
      <c r="X909" s="187" t="str">
        <f>CONCATENATE(V909,"_",W909)</f>
        <v>016_Sedes mantenidas</v>
      </c>
      <c r="Y909" s="187" t="str">
        <f>CONCATENATE(U909," ",X909)</f>
        <v>08-Infraestructura física, mantenimiento y dotación (Sedes construidas, mantenidas reforzadas) 016_Sedes mantenidas</v>
      </c>
      <c r="Z909" s="239" t="str">
        <f>CONCATENATE(P909,Q909,R909,S909,V909)</f>
        <v>O23011745992024020708016</v>
      </c>
      <c r="AA909" s="239" t="str">
        <f>IFERROR(VLOOKUP(Y909,TD!$K$47:$L$65,2,0)," ")</f>
        <v>PM/0131/0108/45990160207</v>
      </c>
      <c r="AB909" s="165" t="s">
        <v>138</v>
      </c>
      <c r="AC909" s="240" t="s">
        <v>205</v>
      </c>
    </row>
    <row r="910" spans="2:29" ht="70" x14ac:dyDescent="0.35">
      <c r="B910" s="132">
        <v>20250962</v>
      </c>
      <c r="C910" s="50" t="s">
        <v>208</v>
      </c>
      <c r="D910" s="184" t="s">
        <v>166</v>
      </c>
      <c r="E910" s="51" t="s">
        <v>558</v>
      </c>
      <c r="F910" s="237" t="s">
        <v>1154</v>
      </c>
      <c r="G910" s="237" t="s">
        <v>155</v>
      </c>
      <c r="H910" s="162" t="s">
        <v>609</v>
      </c>
      <c r="I910" s="238">
        <v>10</v>
      </c>
      <c r="J910" s="238">
        <v>1</v>
      </c>
      <c r="K910" s="163">
        <v>5</v>
      </c>
      <c r="L910" s="165">
        <v>7976225</v>
      </c>
      <c r="M910" s="164" t="s">
        <v>464</v>
      </c>
      <c r="N910" s="165" t="s">
        <v>610</v>
      </c>
      <c r="O910" s="51" t="s">
        <v>219</v>
      </c>
      <c r="P910" s="239" t="str">
        <f>IFERROR(VLOOKUP(C910,TD!$B$33:$F$37,2,0)," ")</f>
        <v>O230117</v>
      </c>
      <c r="Q910" s="239" t="str">
        <f>IFERROR(VLOOKUP(C910,TD!$B$33:$F$37,3,0)," ")</f>
        <v>4599</v>
      </c>
      <c r="R910" s="239">
        <f>IFERROR(VLOOKUP(C910,TD!$B$33:$F$37,4,0)," ")</f>
        <v>20240207</v>
      </c>
      <c r="S910" s="51" t="s">
        <v>185</v>
      </c>
      <c r="T910" s="186" t="str">
        <f>IFERROR(VLOOKUP(S910,TD!$J$34:$K$44,2,0)," ")</f>
        <v>Infraestructura física, mantenimiento y dotación (Sedes construidas, mantenidas reforzadas)</v>
      </c>
      <c r="U910" s="187" t="str">
        <f>CONCATENATE(S910,"-",T910)</f>
        <v>08-Infraestructura física, mantenimiento y dotación (Sedes construidas, mantenidas reforzadas)</v>
      </c>
      <c r="V910" s="51" t="s">
        <v>238</v>
      </c>
      <c r="W910" s="186" t="str">
        <f>IFERROR(VLOOKUP(V910,TD!$N$34:$O$46,2,0)," ")</f>
        <v>Sedes mantenidas</v>
      </c>
      <c r="X910" s="187" t="str">
        <f>CONCATENATE(V910,"_",W910)</f>
        <v>016_Sedes mantenidas</v>
      </c>
      <c r="Y910" s="187" t="str">
        <f>CONCATENATE(U910," ",X910)</f>
        <v>08-Infraestructura física, mantenimiento y dotación (Sedes construidas, mantenidas reforzadas) 016_Sedes mantenidas</v>
      </c>
      <c r="Z910" s="239" t="str">
        <f>CONCATENATE(P910,Q910,R910,S910,V910)</f>
        <v>O23011745992024020708016</v>
      </c>
      <c r="AA910" s="239" t="str">
        <f>IFERROR(VLOOKUP(Y910,TD!$K$47:$L$65,2,0)," ")</f>
        <v>PM/0131/0108/45990160207</v>
      </c>
      <c r="AB910" s="165" t="s">
        <v>120</v>
      </c>
      <c r="AC910" s="240" t="s">
        <v>205</v>
      </c>
    </row>
    <row r="911" spans="2:29" ht="70" x14ac:dyDescent="0.35">
      <c r="B911" s="167">
        <v>20250963</v>
      </c>
      <c r="C911" s="50" t="s">
        <v>208</v>
      </c>
      <c r="D911" s="184" t="s">
        <v>166</v>
      </c>
      <c r="E911" s="51" t="s">
        <v>558</v>
      </c>
      <c r="F911" s="237" t="s">
        <v>1155</v>
      </c>
      <c r="G911" s="237" t="s">
        <v>156</v>
      </c>
      <c r="H911" s="162" t="s">
        <v>609</v>
      </c>
      <c r="I911" s="238">
        <v>10</v>
      </c>
      <c r="J911" s="238">
        <v>0</v>
      </c>
      <c r="K911" s="163">
        <v>25</v>
      </c>
      <c r="L911" s="165">
        <v>2345949</v>
      </c>
      <c r="M911" s="164" t="s">
        <v>464</v>
      </c>
      <c r="N911" s="165" t="s">
        <v>610</v>
      </c>
      <c r="O911" s="51" t="s">
        <v>219</v>
      </c>
      <c r="P911" s="239" t="str">
        <f>IFERROR(VLOOKUP(C911,TD!$B$33:$F$37,2,0)," ")</f>
        <v>O230117</v>
      </c>
      <c r="Q911" s="239" t="str">
        <f>IFERROR(VLOOKUP(C911,TD!$B$33:$F$37,3,0)," ")</f>
        <v>4599</v>
      </c>
      <c r="R911" s="239">
        <f>IFERROR(VLOOKUP(C911,TD!$B$33:$F$37,4,0)," ")</f>
        <v>20240207</v>
      </c>
      <c r="S911" s="51" t="s">
        <v>185</v>
      </c>
      <c r="T911" s="186" t="str">
        <f>IFERROR(VLOOKUP(S911,TD!$J$34:$K$44,2,0)," ")</f>
        <v>Infraestructura física, mantenimiento y dotación (Sedes construidas, mantenidas reforzadas)</v>
      </c>
      <c r="U911" s="187" t="str">
        <f>CONCATENATE(S911,"-",T911)</f>
        <v>08-Infraestructura física, mantenimiento y dotación (Sedes construidas, mantenidas reforzadas)</v>
      </c>
      <c r="V911" s="51" t="s">
        <v>238</v>
      </c>
      <c r="W911" s="186" t="str">
        <f>IFERROR(VLOOKUP(V911,TD!$N$34:$O$46,2,0)," ")</f>
        <v>Sedes mantenidas</v>
      </c>
      <c r="X911" s="187" t="str">
        <f>CONCATENATE(V911,"_",W911)</f>
        <v>016_Sedes mantenidas</v>
      </c>
      <c r="Y911" s="187" t="str">
        <f>CONCATENATE(U911," ",X911)</f>
        <v>08-Infraestructura física, mantenimiento y dotación (Sedes construidas, mantenidas reforzadas) 016_Sedes mantenidas</v>
      </c>
      <c r="Z911" s="239" t="str">
        <f>CONCATENATE(P911,Q911,R911,S911,V911)</f>
        <v>O23011745992024020708016</v>
      </c>
      <c r="AA911" s="239" t="str">
        <f>IFERROR(VLOOKUP(Y911,TD!$K$47:$L$65,2,0)," ")</f>
        <v>PM/0131/0108/45990160207</v>
      </c>
      <c r="AB911" s="165" t="s">
        <v>138</v>
      </c>
      <c r="AC911" s="240" t="s">
        <v>205</v>
      </c>
    </row>
    <row r="912" spans="2:29" ht="56" x14ac:dyDescent="0.35">
      <c r="B912" s="161">
        <v>20250964</v>
      </c>
      <c r="C912" s="50" t="s">
        <v>208</v>
      </c>
      <c r="D912" s="184" t="s">
        <v>166</v>
      </c>
      <c r="E912" s="51" t="s">
        <v>558</v>
      </c>
      <c r="F912" s="237" t="s">
        <v>1156</v>
      </c>
      <c r="G912" s="237" t="s">
        <v>156</v>
      </c>
      <c r="H912" s="162" t="s">
        <v>609</v>
      </c>
      <c r="I912" s="238">
        <v>10</v>
      </c>
      <c r="J912" s="238">
        <v>1</v>
      </c>
      <c r="K912" s="163">
        <v>0</v>
      </c>
      <c r="L912" s="165">
        <v>2815139</v>
      </c>
      <c r="M912" s="164" t="s">
        <v>464</v>
      </c>
      <c r="N912" s="165" t="s">
        <v>610</v>
      </c>
      <c r="O912" s="51" t="s">
        <v>219</v>
      </c>
      <c r="P912" s="239" t="str">
        <f>IFERROR(VLOOKUP(C912,TD!$B$33:$F$37,2,0)," ")</f>
        <v>O230117</v>
      </c>
      <c r="Q912" s="239" t="str">
        <f>IFERROR(VLOOKUP(C912,TD!$B$33:$F$37,3,0)," ")</f>
        <v>4599</v>
      </c>
      <c r="R912" s="239">
        <f>IFERROR(VLOOKUP(C912,TD!$B$33:$F$37,4,0)," ")</f>
        <v>20240207</v>
      </c>
      <c r="S912" s="51" t="s">
        <v>185</v>
      </c>
      <c r="T912" s="186" t="str">
        <f>IFERROR(VLOOKUP(S912,TD!$J$34:$K$44,2,0)," ")</f>
        <v>Infraestructura física, mantenimiento y dotación (Sedes construidas, mantenidas reforzadas)</v>
      </c>
      <c r="U912" s="187" t="str">
        <f>CONCATENATE(S912,"-",T912)</f>
        <v>08-Infraestructura física, mantenimiento y dotación (Sedes construidas, mantenidas reforzadas)</v>
      </c>
      <c r="V912" s="51" t="s">
        <v>238</v>
      </c>
      <c r="W912" s="186" t="str">
        <f>IFERROR(VLOOKUP(V912,TD!$N$34:$O$46,2,0)," ")</f>
        <v>Sedes mantenidas</v>
      </c>
      <c r="X912" s="187" t="str">
        <f>CONCATENATE(V912,"_",W912)</f>
        <v>016_Sedes mantenidas</v>
      </c>
      <c r="Y912" s="187" t="str">
        <f>CONCATENATE(U912," ",X912)</f>
        <v>08-Infraestructura física, mantenimiento y dotación (Sedes construidas, mantenidas reforzadas) 016_Sedes mantenidas</v>
      </c>
      <c r="Z912" s="239" t="str">
        <f>CONCATENATE(P912,Q912,R912,S912,V912)</f>
        <v>O23011745992024020708016</v>
      </c>
      <c r="AA912" s="239" t="str">
        <f>IFERROR(VLOOKUP(Y912,TD!$K$47:$L$65,2,0)," ")</f>
        <v>PM/0131/0108/45990160207</v>
      </c>
      <c r="AB912" s="165" t="s">
        <v>138</v>
      </c>
      <c r="AC912" s="240" t="s">
        <v>205</v>
      </c>
    </row>
    <row r="913" spans="2:29" ht="98" x14ac:dyDescent="0.35">
      <c r="B913" s="167">
        <v>20250965</v>
      </c>
      <c r="C913" s="50" t="s">
        <v>208</v>
      </c>
      <c r="D913" s="184" t="s">
        <v>166</v>
      </c>
      <c r="E913" s="51" t="s">
        <v>558</v>
      </c>
      <c r="F913" s="237" t="s">
        <v>1157</v>
      </c>
      <c r="G913" s="237" t="s">
        <v>156</v>
      </c>
      <c r="H913" s="162" t="s">
        <v>609</v>
      </c>
      <c r="I913" s="238">
        <v>10</v>
      </c>
      <c r="J913" s="238">
        <v>0</v>
      </c>
      <c r="K913" s="163">
        <v>18</v>
      </c>
      <c r="L913" s="165">
        <v>1689083</v>
      </c>
      <c r="M913" s="164" t="s">
        <v>464</v>
      </c>
      <c r="N913" s="165" t="s">
        <v>610</v>
      </c>
      <c r="O913" s="51" t="s">
        <v>219</v>
      </c>
      <c r="P913" s="239" t="str">
        <f>IFERROR(VLOOKUP(C913,TD!$B$33:$F$37,2,0)," ")</f>
        <v>O230117</v>
      </c>
      <c r="Q913" s="239" t="str">
        <f>IFERROR(VLOOKUP(C913,TD!$B$33:$F$37,3,0)," ")</f>
        <v>4599</v>
      </c>
      <c r="R913" s="239">
        <f>IFERROR(VLOOKUP(C913,TD!$B$33:$F$37,4,0)," ")</f>
        <v>20240207</v>
      </c>
      <c r="S913" s="51" t="s">
        <v>185</v>
      </c>
      <c r="T913" s="186" t="str">
        <f>IFERROR(VLOOKUP(S913,TD!$J$34:$K$44,2,0)," ")</f>
        <v>Infraestructura física, mantenimiento y dotación (Sedes construidas, mantenidas reforzadas)</v>
      </c>
      <c r="U913" s="187" t="str">
        <f>CONCATENATE(S913,"-",T913)</f>
        <v>08-Infraestructura física, mantenimiento y dotación (Sedes construidas, mantenidas reforzadas)</v>
      </c>
      <c r="V913" s="51" t="s">
        <v>238</v>
      </c>
      <c r="W913" s="186" t="str">
        <f>IFERROR(VLOOKUP(V913,TD!$N$34:$O$46,2,0)," ")</f>
        <v>Sedes mantenidas</v>
      </c>
      <c r="X913" s="187" t="str">
        <f>CONCATENATE(V913,"_",W913)</f>
        <v>016_Sedes mantenidas</v>
      </c>
      <c r="Y913" s="187" t="str">
        <f>CONCATENATE(U913," ",X913)</f>
        <v>08-Infraestructura física, mantenimiento y dotación (Sedes construidas, mantenidas reforzadas) 016_Sedes mantenidas</v>
      </c>
      <c r="Z913" s="239" t="str">
        <f>CONCATENATE(P913,Q913,R913,S913,V913)</f>
        <v>O23011745992024020708016</v>
      </c>
      <c r="AA913" s="239" t="str">
        <f>IFERROR(VLOOKUP(Y913,TD!$K$47:$L$65,2,0)," ")</f>
        <v>PM/0131/0108/45990160207</v>
      </c>
      <c r="AB913" s="165" t="s">
        <v>138</v>
      </c>
      <c r="AC913" s="240" t="s">
        <v>205</v>
      </c>
    </row>
    <row r="914" spans="2:29" ht="56" x14ac:dyDescent="0.35">
      <c r="B914" s="167">
        <v>20250966</v>
      </c>
      <c r="C914" s="50" t="s">
        <v>208</v>
      </c>
      <c r="D914" s="184" t="s">
        <v>166</v>
      </c>
      <c r="E914" s="51" t="s">
        <v>558</v>
      </c>
      <c r="F914" s="237" t="s">
        <v>1158</v>
      </c>
      <c r="G914" s="237" t="s">
        <v>156</v>
      </c>
      <c r="H914" s="162" t="s">
        <v>609</v>
      </c>
      <c r="I914" s="238">
        <v>10</v>
      </c>
      <c r="J914" s="238">
        <v>1</v>
      </c>
      <c r="K914" s="163">
        <v>27</v>
      </c>
      <c r="L914" s="165">
        <v>5348764</v>
      </c>
      <c r="M914" s="164" t="s">
        <v>464</v>
      </c>
      <c r="N914" s="165" t="s">
        <v>610</v>
      </c>
      <c r="O914" s="51" t="s">
        <v>219</v>
      </c>
      <c r="P914" s="239" t="str">
        <f>IFERROR(VLOOKUP(C914,TD!$B$33:$F$37,2,0)," ")</f>
        <v>O230117</v>
      </c>
      <c r="Q914" s="239" t="str">
        <f>IFERROR(VLOOKUP(C914,TD!$B$33:$F$37,3,0)," ")</f>
        <v>4599</v>
      </c>
      <c r="R914" s="239">
        <f>IFERROR(VLOOKUP(C914,TD!$B$33:$F$37,4,0)," ")</f>
        <v>20240207</v>
      </c>
      <c r="S914" s="51" t="s">
        <v>185</v>
      </c>
      <c r="T914" s="186" t="str">
        <f>IFERROR(VLOOKUP(S914,TD!$J$34:$K$44,2,0)," ")</f>
        <v>Infraestructura física, mantenimiento y dotación (Sedes construidas, mantenidas reforzadas)</v>
      </c>
      <c r="U914" s="187" t="str">
        <f>CONCATENATE(S914,"-",T914)</f>
        <v>08-Infraestructura física, mantenimiento y dotación (Sedes construidas, mantenidas reforzadas)</v>
      </c>
      <c r="V914" s="51" t="s">
        <v>238</v>
      </c>
      <c r="W914" s="186" t="str">
        <f>IFERROR(VLOOKUP(V914,TD!$N$34:$O$46,2,0)," ")</f>
        <v>Sedes mantenidas</v>
      </c>
      <c r="X914" s="187" t="str">
        <f>CONCATENATE(V914,"_",W914)</f>
        <v>016_Sedes mantenidas</v>
      </c>
      <c r="Y914" s="187" t="str">
        <f>CONCATENATE(U914," ",X914)</f>
        <v>08-Infraestructura física, mantenimiento y dotación (Sedes construidas, mantenidas reforzadas) 016_Sedes mantenidas</v>
      </c>
      <c r="Z914" s="239" t="str">
        <f>CONCATENATE(P914,Q914,R914,S914,V914)</f>
        <v>O23011745992024020708016</v>
      </c>
      <c r="AA914" s="239" t="str">
        <f>IFERROR(VLOOKUP(Y914,TD!$K$47:$L$65,2,0)," ")</f>
        <v>PM/0131/0108/45990160207</v>
      </c>
      <c r="AB914" s="165" t="s">
        <v>138</v>
      </c>
      <c r="AC914" s="240" t="s">
        <v>205</v>
      </c>
    </row>
    <row r="915" spans="2:29" ht="56" x14ac:dyDescent="0.35">
      <c r="B915" s="167">
        <v>20250967</v>
      </c>
      <c r="C915" s="50" t="s">
        <v>208</v>
      </c>
      <c r="D915" s="184" t="s">
        <v>166</v>
      </c>
      <c r="E915" s="51" t="s">
        <v>558</v>
      </c>
      <c r="F915" s="237" t="s">
        <v>1159</v>
      </c>
      <c r="G915" s="237" t="s">
        <v>155</v>
      </c>
      <c r="H915" s="162" t="s">
        <v>609</v>
      </c>
      <c r="I915" s="238">
        <v>10</v>
      </c>
      <c r="J915" s="238">
        <v>2</v>
      </c>
      <c r="K915" s="163">
        <v>2</v>
      </c>
      <c r="L915" s="165">
        <v>16533333</v>
      </c>
      <c r="M915" s="164" t="s">
        <v>464</v>
      </c>
      <c r="N915" s="165" t="s">
        <v>610</v>
      </c>
      <c r="O915" s="51" t="s">
        <v>219</v>
      </c>
      <c r="P915" s="239" t="str">
        <f>IFERROR(VLOOKUP(C915,TD!$B$33:$F$37,2,0)," ")</f>
        <v>O230117</v>
      </c>
      <c r="Q915" s="239" t="str">
        <f>IFERROR(VLOOKUP(C915,TD!$B$33:$F$37,3,0)," ")</f>
        <v>4599</v>
      </c>
      <c r="R915" s="239">
        <f>IFERROR(VLOOKUP(C915,TD!$B$33:$F$37,4,0)," ")</f>
        <v>20240207</v>
      </c>
      <c r="S915" s="51" t="s">
        <v>185</v>
      </c>
      <c r="T915" s="186" t="str">
        <f>IFERROR(VLOOKUP(S915,TD!$J$34:$K$44,2,0)," ")</f>
        <v>Infraestructura física, mantenimiento y dotación (Sedes construidas, mantenidas reforzadas)</v>
      </c>
      <c r="U915" s="187" t="str">
        <f>CONCATENATE(S915,"-",T915)</f>
        <v>08-Infraestructura física, mantenimiento y dotación (Sedes construidas, mantenidas reforzadas)</v>
      </c>
      <c r="V915" s="51" t="s">
        <v>238</v>
      </c>
      <c r="W915" s="186" t="str">
        <f>IFERROR(VLOOKUP(V915,TD!$N$34:$O$46,2,0)," ")</f>
        <v>Sedes mantenidas</v>
      </c>
      <c r="X915" s="187" t="str">
        <f>CONCATENATE(V915,"_",W915)</f>
        <v>016_Sedes mantenidas</v>
      </c>
      <c r="Y915" s="187" t="str">
        <f>CONCATENATE(U915," ",X915)</f>
        <v>08-Infraestructura física, mantenimiento y dotación (Sedes construidas, mantenidas reforzadas) 016_Sedes mantenidas</v>
      </c>
      <c r="Z915" s="239" t="str">
        <f>CONCATENATE(P915,Q915,R915,S915,V915)</f>
        <v>O23011745992024020708016</v>
      </c>
      <c r="AA915" s="239" t="str">
        <f>IFERROR(VLOOKUP(Y915,TD!$K$47:$L$65,2,0)," ")</f>
        <v>PM/0131/0108/45990160207</v>
      </c>
      <c r="AB915" s="165" t="s">
        <v>138</v>
      </c>
      <c r="AC915" s="240" t="s">
        <v>205</v>
      </c>
    </row>
    <row r="916" spans="2:29" ht="56" x14ac:dyDescent="0.35">
      <c r="B916" s="132">
        <v>20250968</v>
      </c>
      <c r="C916" s="50" t="s">
        <v>208</v>
      </c>
      <c r="D916" s="184" t="s">
        <v>166</v>
      </c>
      <c r="E916" s="51" t="s">
        <v>558</v>
      </c>
      <c r="F916" s="237" t="s">
        <v>1160</v>
      </c>
      <c r="G916" s="237" t="s">
        <v>155</v>
      </c>
      <c r="H916" s="162" t="s">
        <v>609</v>
      </c>
      <c r="I916" s="238">
        <v>10</v>
      </c>
      <c r="J916" s="238">
        <v>2</v>
      </c>
      <c r="K916" s="163">
        <v>11</v>
      </c>
      <c r="L916" s="165">
        <v>17726333</v>
      </c>
      <c r="M916" s="164" t="s">
        <v>464</v>
      </c>
      <c r="N916" s="165" t="s">
        <v>610</v>
      </c>
      <c r="O916" s="51" t="s">
        <v>219</v>
      </c>
      <c r="P916" s="239" t="str">
        <f>IFERROR(VLOOKUP(C916,TD!$B$33:$F$37,2,0)," ")</f>
        <v>O230117</v>
      </c>
      <c r="Q916" s="239" t="str">
        <f>IFERROR(VLOOKUP(C916,TD!$B$33:$F$37,3,0)," ")</f>
        <v>4599</v>
      </c>
      <c r="R916" s="239">
        <f>IFERROR(VLOOKUP(C916,TD!$B$33:$F$37,4,0)," ")</f>
        <v>20240207</v>
      </c>
      <c r="S916" s="51" t="s">
        <v>185</v>
      </c>
      <c r="T916" s="186" t="str">
        <f>IFERROR(VLOOKUP(S916,TD!$J$34:$K$44,2,0)," ")</f>
        <v>Infraestructura física, mantenimiento y dotación (Sedes construidas, mantenidas reforzadas)</v>
      </c>
      <c r="U916" s="187" t="str">
        <f>CONCATENATE(S916,"-",T916)</f>
        <v>08-Infraestructura física, mantenimiento y dotación (Sedes construidas, mantenidas reforzadas)</v>
      </c>
      <c r="V916" s="51" t="s">
        <v>238</v>
      </c>
      <c r="W916" s="186" t="str">
        <f>IFERROR(VLOOKUP(V916,TD!$N$34:$O$46,2,0)," ")</f>
        <v>Sedes mantenidas</v>
      </c>
      <c r="X916" s="187" t="str">
        <f>CONCATENATE(V916,"_",W916)</f>
        <v>016_Sedes mantenidas</v>
      </c>
      <c r="Y916" s="187" t="str">
        <f>CONCATENATE(U916," ",X916)</f>
        <v>08-Infraestructura física, mantenimiento y dotación (Sedes construidas, mantenidas reforzadas) 016_Sedes mantenidas</v>
      </c>
      <c r="Z916" s="239" t="str">
        <f>CONCATENATE(P916,Q916,R916,S916,V916)</f>
        <v>O23011745992024020708016</v>
      </c>
      <c r="AA916" s="239" t="str">
        <f>IFERROR(VLOOKUP(Y916,TD!$K$47:$L$65,2,0)," ")</f>
        <v>PM/0131/0108/45990160207</v>
      </c>
      <c r="AB916" s="165" t="s">
        <v>138</v>
      </c>
      <c r="AC916" s="240" t="s">
        <v>205</v>
      </c>
    </row>
    <row r="917" spans="2:29" ht="84" x14ac:dyDescent="0.35">
      <c r="B917" s="167">
        <v>20250969</v>
      </c>
      <c r="C917" s="50" t="s">
        <v>208</v>
      </c>
      <c r="D917" s="184" t="s">
        <v>166</v>
      </c>
      <c r="E917" s="51" t="s">
        <v>558</v>
      </c>
      <c r="F917" s="237" t="s">
        <v>1161</v>
      </c>
      <c r="G917" s="237" t="s">
        <v>155</v>
      </c>
      <c r="H917" s="162" t="s">
        <v>609</v>
      </c>
      <c r="I917" s="238">
        <v>10</v>
      </c>
      <c r="J917" s="238">
        <v>1</v>
      </c>
      <c r="K917" s="163">
        <v>9</v>
      </c>
      <c r="L917" s="165">
        <v>8887793</v>
      </c>
      <c r="M917" s="164" t="s">
        <v>464</v>
      </c>
      <c r="N917" s="165" t="s">
        <v>610</v>
      </c>
      <c r="O917" s="51" t="s">
        <v>219</v>
      </c>
      <c r="P917" s="239" t="str">
        <f>IFERROR(VLOOKUP(C917,TD!$B$33:$F$37,2,0)," ")</f>
        <v>O230117</v>
      </c>
      <c r="Q917" s="239" t="str">
        <f>IFERROR(VLOOKUP(C917,TD!$B$33:$F$37,3,0)," ")</f>
        <v>4599</v>
      </c>
      <c r="R917" s="239">
        <f>IFERROR(VLOOKUP(C917,TD!$B$33:$F$37,4,0)," ")</f>
        <v>20240207</v>
      </c>
      <c r="S917" s="51" t="s">
        <v>185</v>
      </c>
      <c r="T917" s="186" t="str">
        <f>IFERROR(VLOOKUP(S917,TD!$J$34:$K$44,2,0)," ")</f>
        <v>Infraestructura física, mantenimiento y dotación (Sedes construidas, mantenidas reforzadas)</v>
      </c>
      <c r="U917" s="187" t="str">
        <f>CONCATENATE(S917,"-",T917)</f>
        <v>08-Infraestructura física, mantenimiento y dotación (Sedes construidas, mantenidas reforzadas)</v>
      </c>
      <c r="V917" s="51" t="s">
        <v>238</v>
      </c>
      <c r="W917" s="186" t="str">
        <f>IFERROR(VLOOKUP(V917,TD!$N$34:$O$46,2,0)," ")</f>
        <v>Sedes mantenidas</v>
      </c>
      <c r="X917" s="187" t="str">
        <f>CONCATENATE(V917,"_",W917)</f>
        <v>016_Sedes mantenidas</v>
      </c>
      <c r="Y917" s="187" t="str">
        <f>CONCATENATE(U917," ",X917)</f>
        <v>08-Infraestructura física, mantenimiento y dotación (Sedes construidas, mantenidas reforzadas) 016_Sedes mantenidas</v>
      </c>
      <c r="Z917" s="239" t="str">
        <f>CONCATENATE(P917,Q917,R917,S917,V917)</f>
        <v>O23011745992024020708016</v>
      </c>
      <c r="AA917" s="239" t="str">
        <f>IFERROR(VLOOKUP(Y917,TD!$K$47:$L$65,2,0)," ")</f>
        <v>PM/0131/0108/45990160207</v>
      </c>
      <c r="AB917" s="165" t="s">
        <v>138</v>
      </c>
      <c r="AC917" s="240" t="s">
        <v>205</v>
      </c>
    </row>
    <row r="918" spans="2:29" ht="70" x14ac:dyDescent="0.35">
      <c r="B918" s="161">
        <v>20250970</v>
      </c>
      <c r="C918" s="50" t="s">
        <v>208</v>
      </c>
      <c r="D918" s="184" t="s">
        <v>166</v>
      </c>
      <c r="E918" s="51" t="s">
        <v>558</v>
      </c>
      <c r="F918" s="237" t="s">
        <v>1162</v>
      </c>
      <c r="G918" s="237" t="s">
        <v>156</v>
      </c>
      <c r="H918" s="162" t="s">
        <v>609</v>
      </c>
      <c r="I918" s="238">
        <v>10</v>
      </c>
      <c r="J918" s="238">
        <v>1</v>
      </c>
      <c r="K918" s="163">
        <v>7</v>
      </c>
      <c r="L918" s="165">
        <v>3472005</v>
      </c>
      <c r="M918" s="164" t="s">
        <v>464</v>
      </c>
      <c r="N918" s="165" t="s">
        <v>610</v>
      </c>
      <c r="O918" s="51" t="s">
        <v>219</v>
      </c>
      <c r="P918" s="239" t="str">
        <f>IFERROR(VLOOKUP(C918,TD!$B$33:$F$37,2,0)," ")</f>
        <v>O230117</v>
      </c>
      <c r="Q918" s="239" t="str">
        <f>IFERROR(VLOOKUP(C918,TD!$B$33:$F$37,3,0)," ")</f>
        <v>4599</v>
      </c>
      <c r="R918" s="239">
        <f>IFERROR(VLOOKUP(C918,TD!$B$33:$F$37,4,0)," ")</f>
        <v>20240207</v>
      </c>
      <c r="S918" s="51" t="s">
        <v>185</v>
      </c>
      <c r="T918" s="186" t="str">
        <f>IFERROR(VLOOKUP(S918,TD!$J$34:$K$44,2,0)," ")</f>
        <v>Infraestructura física, mantenimiento y dotación (Sedes construidas, mantenidas reforzadas)</v>
      </c>
      <c r="U918" s="187" t="str">
        <f>CONCATENATE(S918,"-",T918)</f>
        <v>08-Infraestructura física, mantenimiento y dotación (Sedes construidas, mantenidas reforzadas)</v>
      </c>
      <c r="V918" s="51" t="s">
        <v>238</v>
      </c>
      <c r="W918" s="186" t="str">
        <f>IFERROR(VLOOKUP(V918,TD!$N$34:$O$46,2,0)," ")</f>
        <v>Sedes mantenidas</v>
      </c>
      <c r="X918" s="187" t="str">
        <f>CONCATENATE(V918,"_",W918)</f>
        <v>016_Sedes mantenidas</v>
      </c>
      <c r="Y918" s="187" t="str">
        <f>CONCATENATE(U918," ",X918)</f>
        <v>08-Infraestructura física, mantenimiento y dotación (Sedes construidas, mantenidas reforzadas) 016_Sedes mantenidas</v>
      </c>
      <c r="Z918" s="239" t="str">
        <f>CONCATENATE(P918,Q918,R918,S918,V918)</f>
        <v>O23011745992024020708016</v>
      </c>
      <c r="AA918" s="239" t="str">
        <f>IFERROR(VLOOKUP(Y918,TD!$K$47:$L$65,2,0)," ")</f>
        <v>PM/0131/0108/45990160207</v>
      </c>
      <c r="AB918" s="165" t="s">
        <v>138</v>
      </c>
      <c r="AC918" s="240" t="s">
        <v>205</v>
      </c>
    </row>
    <row r="919" spans="2:29" ht="70" x14ac:dyDescent="0.35">
      <c r="B919" s="167">
        <v>20250971</v>
      </c>
      <c r="C919" s="50" t="s">
        <v>208</v>
      </c>
      <c r="D919" s="184" t="s">
        <v>166</v>
      </c>
      <c r="E919" s="51" t="s">
        <v>558</v>
      </c>
      <c r="F919" s="237" t="s">
        <v>1163</v>
      </c>
      <c r="G919" s="237" t="s">
        <v>156</v>
      </c>
      <c r="H919" s="162" t="s">
        <v>609</v>
      </c>
      <c r="I919" s="238">
        <v>10</v>
      </c>
      <c r="J919" s="238">
        <v>1</v>
      </c>
      <c r="K919" s="163">
        <v>11</v>
      </c>
      <c r="L919" s="165">
        <v>5038204</v>
      </c>
      <c r="M919" s="164" t="s">
        <v>464</v>
      </c>
      <c r="N919" s="165" t="s">
        <v>610</v>
      </c>
      <c r="O919" s="51" t="s">
        <v>219</v>
      </c>
      <c r="P919" s="239" t="str">
        <f>IFERROR(VLOOKUP(C919,TD!$B$33:$F$37,2,0)," ")</f>
        <v>O230117</v>
      </c>
      <c r="Q919" s="239" t="str">
        <f>IFERROR(VLOOKUP(C919,TD!$B$33:$F$37,3,0)," ")</f>
        <v>4599</v>
      </c>
      <c r="R919" s="239">
        <f>IFERROR(VLOOKUP(C919,TD!$B$33:$F$37,4,0)," ")</f>
        <v>20240207</v>
      </c>
      <c r="S919" s="51" t="s">
        <v>185</v>
      </c>
      <c r="T919" s="186" t="str">
        <f>IFERROR(VLOOKUP(S919,TD!$J$34:$K$44,2,0)," ")</f>
        <v>Infraestructura física, mantenimiento y dotación (Sedes construidas, mantenidas reforzadas)</v>
      </c>
      <c r="U919" s="187" t="str">
        <f>CONCATENATE(S919,"-",T919)</f>
        <v>08-Infraestructura física, mantenimiento y dotación (Sedes construidas, mantenidas reforzadas)</v>
      </c>
      <c r="V919" s="51" t="s">
        <v>238</v>
      </c>
      <c r="W919" s="186" t="str">
        <f>IFERROR(VLOOKUP(V919,TD!$N$34:$O$46,2,0)," ")</f>
        <v>Sedes mantenidas</v>
      </c>
      <c r="X919" s="187" t="str">
        <f>CONCATENATE(V919,"_",W919)</f>
        <v>016_Sedes mantenidas</v>
      </c>
      <c r="Y919" s="187" t="str">
        <f>CONCATENATE(U919," ",X919)</f>
        <v>08-Infraestructura física, mantenimiento y dotación (Sedes construidas, mantenidas reforzadas) 016_Sedes mantenidas</v>
      </c>
      <c r="Z919" s="239" t="str">
        <f>CONCATENATE(P919,Q919,R919,S919,V919)</f>
        <v>O23011745992024020708016</v>
      </c>
      <c r="AA919" s="239" t="str">
        <f>IFERROR(VLOOKUP(Y919,TD!$K$47:$L$65,2,0)," ")</f>
        <v>PM/0131/0108/45990160207</v>
      </c>
      <c r="AB919" s="165" t="s">
        <v>138</v>
      </c>
      <c r="AC919" s="240" t="s">
        <v>205</v>
      </c>
    </row>
    <row r="920" spans="2:29" ht="70" x14ac:dyDescent="0.35">
      <c r="B920" s="167">
        <v>20250972</v>
      </c>
      <c r="C920" s="50" t="s">
        <v>208</v>
      </c>
      <c r="D920" s="184" t="s">
        <v>166</v>
      </c>
      <c r="E920" s="51" t="s">
        <v>558</v>
      </c>
      <c r="F920" s="237" t="s">
        <v>1164</v>
      </c>
      <c r="G920" s="237" t="s">
        <v>156</v>
      </c>
      <c r="H920" s="162" t="s">
        <v>609</v>
      </c>
      <c r="I920" s="238">
        <v>10</v>
      </c>
      <c r="J920" s="238">
        <v>0</v>
      </c>
      <c r="K920" s="163">
        <v>6</v>
      </c>
      <c r="L920" s="165">
        <v>563028</v>
      </c>
      <c r="M920" s="164" t="s">
        <v>464</v>
      </c>
      <c r="N920" s="165" t="s">
        <v>610</v>
      </c>
      <c r="O920" s="51" t="s">
        <v>219</v>
      </c>
      <c r="P920" s="239" t="str">
        <f>IFERROR(VLOOKUP(C920,TD!$B$33:$F$37,2,0)," ")</f>
        <v>O230117</v>
      </c>
      <c r="Q920" s="239" t="str">
        <f>IFERROR(VLOOKUP(C920,TD!$B$33:$F$37,3,0)," ")</f>
        <v>4599</v>
      </c>
      <c r="R920" s="239">
        <f>IFERROR(VLOOKUP(C920,TD!$B$33:$F$37,4,0)," ")</f>
        <v>20240207</v>
      </c>
      <c r="S920" s="51" t="s">
        <v>185</v>
      </c>
      <c r="T920" s="186" t="str">
        <f>IFERROR(VLOOKUP(S920,TD!$J$34:$K$44,2,0)," ")</f>
        <v>Infraestructura física, mantenimiento y dotación (Sedes construidas, mantenidas reforzadas)</v>
      </c>
      <c r="U920" s="187" t="str">
        <f>CONCATENATE(S920,"-",T920)</f>
        <v>08-Infraestructura física, mantenimiento y dotación (Sedes construidas, mantenidas reforzadas)</v>
      </c>
      <c r="V920" s="51" t="s">
        <v>238</v>
      </c>
      <c r="W920" s="186" t="str">
        <f>IFERROR(VLOOKUP(V920,TD!$N$34:$O$46,2,0)," ")</f>
        <v>Sedes mantenidas</v>
      </c>
      <c r="X920" s="187" t="str">
        <f>CONCATENATE(V920,"_",W920)</f>
        <v>016_Sedes mantenidas</v>
      </c>
      <c r="Y920" s="187" t="str">
        <f>CONCATENATE(U920," ",X920)</f>
        <v>08-Infraestructura física, mantenimiento y dotación (Sedes construidas, mantenidas reforzadas) 016_Sedes mantenidas</v>
      </c>
      <c r="Z920" s="239" t="str">
        <f>CONCATENATE(P920,Q920,R920,S920,V920)</f>
        <v>O23011745992024020708016</v>
      </c>
      <c r="AA920" s="239" t="str">
        <f>IFERROR(VLOOKUP(Y920,TD!$K$47:$L$65,2,0)," ")</f>
        <v>PM/0131/0108/45990160207</v>
      </c>
      <c r="AB920" s="165" t="s">
        <v>138</v>
      </c>
      <c r="AC920" s="240" t="s">
        <v>205</v>
      </c>
    </row>
    <row r="921" spans="2:29" ht="98" x14ac:dyDescent="0.35">
      <c r="B921" s="167">
        <v>20250973</v>
      </c>
      <c r="C921" s="50" t="s">
        <v>208</v>
      </c>
      <c r="D921" s="184" t="s">
        <v>166</v>
      </c>
      <c r="E921" s="51" t="s">
        <v>558</v>
      </c>
      <c r="F921" s="237" t="s">
        <v>1165</v>
      </c>
      <c r="G921" s="237" t="s">
        <v>156</v>
      </c>
      <c r="H921" s="162" t="s">
        <v>609</v>
      </c>
      <c r="I921" s="238">
        <v>10</v>
      </c>
      <c r="J921" s="238">
        <v>2</v>
      </c>
      <c r="K921" s="163">
        <v>28</v>
      </c>
      <c r="L921" s="165">
        <v>9093333</v>
      </c>
      <c r="M921" s="164" t="s">
        <v>464</v>
      </c>
      <c r="N921" s="165" t="s">
        <v>610</v>
      </c>
      <c r="O921" s="51" t="s">
        <v>219</v>
      </c>
      <c r="P921" s="239" t="str">
        <f>IFERROR(VLOOKUP(C921,TD!$B$33:$F$37,2,0)," ")</f>
        <v>O230117</v>
      </c>
      <c r="Q921" s="239" t="str">
        <f>IFERROR(VLOOKUP(C921,TD!$B$33:$F$37,3,0)," ")</f>
        <v>4599</v>
      </c>
      <c r="R921" s="239">
        <f>IFERROR(VLOOKUP(C921,TD!$B$33:$F$37,4,0)," ")</f>
        <v>20240207</v>
      </c>
      <c r="S921" s="51" t="s">
        <v>185</v>
      </c>
      <c r="T921" s="186" t="str">
        <f>IFERROR(VLOOKUP(S921,TD!$J$34:$K$44,2,0)," ")</f>
        <v>Infraestructura física, mantenimiento y dotación (Sedes construidas, mantenidas reforzadas)</v>
      </c>
      <c r="U921" s="187" t="str">
        <f>CONCATENATE(S921,"-",T921)</f>
        <v>08-Infraestructura física, mantenimiento y dotación (Sedes construidas, mantenidas reforzadas)</v>
      </c>
      <c r="V921" s="51" t="s">
        <v>238</v>
      </c>
      <c r="W921" s="186" t="str">
        <f>IFERROR(VLOOKUP(V921,TD!$N$34:$O$46,2,0)," ")</f>
        <v>Sedes mantenidas</v>
      </c>
      <c r="X921" s="187" t="str">
        <f>CONCATENATE(V921,"_",W921)</f>
        <v>016_Sedes mantenidas</v>
      </c>
      <c r="Y921" s="187" t="str">
        <f>CONCATENATE(U921," ",X921)</f>
        <v>08-Infraestructura física, mantenimiento y dotación (Sedes construidas, mantenidas reforzadas) 016_Sedes mantenidas</v>
      </c>
      <c r="Z921" s="239" t="str">
        <f>CONCATENATE(P921,Q921,R921,S921,V921)</f>
        <v>O23011745992024020708016</v>
      </c>
      <c r="AA921" s="239" t="str">
        <f>IFERROR(VLOOKUP(Y921,TD!$K$47:$L$65,2,0)," ")</f>
        <v>PM/0131/0108/45990160207</v>
      </c>
      <c r="AB921" s="165" t="s">
        <v>138</v>
      </c>
      <c r="AC921" s="240" t="s">
        <v>205</v>
      </c>
    </row>
    <row r="922" spans="2:29" ht="56" x14ac:dyDescent="0.35">
      <c r="B922" s="132">
        <v>20250974</v>
      </c>
      <c r="C922" s="50" t="s">
        <v>208</v>
      </c>
      <c r="D922" s="184" t="s">
        <v>166</v>
      </c>
      <c r="E922" s="51" t="s">
        <v>558</v>
      </c>
      <c r="F922" s="237" t="s">
        <v>1166</v>
      </c>
      <c r="G922" s="237" t="s">
        <v>155</v>
      </c>
      <c r="H922" s="162" t="s">
        <v>609</v>
      </c>
      <c r="I922" s="238">
        <v>10</v>
      </c>
      <c r="J922" s="238">
        <v>0</v>
      </c>
      <c r="K922" s="163">
        <v>18</v>
      </c>
      <c r="L922" s="165">
        <v>3096652</v>
      </c>
      <c r="M922" s="164" t="s">
        <v>464</v>
      </c>
      <c r="N922" s="165" t="s">
        <v>610</v>
      </c>
      <c r="O922" s="51" t="s">
        <v>219</v>
      </c>
      <c r="P922" s="239" t="str">
        <f>IFERROR(VLOOKUP(C922,TD!$B$33:$F$37,2,0)," ")</f>
        <v>O230117</v>
      </c>
      <c r="Q922" s="239" t="str">
        <f>IFERROR(VLOOKUP(C922,TD!$B$33:$F$37,3,0)," ")</f>
        <v>4599</v>
      </c>
      <c r="R922" s="239">
        <f>IFERROR(VLOOKUP(C922,TD!$B$33:$F$37,4,0)," ")</f>
        <v>20240207</v>
      </c>
      <c r="S922" s="51" t="s">
        <v>185</v>
      </c>
      <c r="T922" s="186" t="str">
        <f>IFERROR(VLOOKUP(S922,TD!$J$34:$K$44,2,0)," ")</f>
        <v>Infraestructura física, mantenimiento y dotación (Sedes construidas, mantenidas reforzadas)</v>
      </c>
      <c r="U922" s="187" t="str">
        <f>CONCATENATE(S922,"-",T922)</f>
        <v>08-Infraestructura física, mantenimiento y dotación (Sedes construidas, mantenidas reforzadas)</v>
      </c>
      <c r="V922" s="51" t="s">
        <v>238</v>
      </c>
      <c r="W922" s="186" t="str">
        <f>IFERROR(VLOOKUP(V922,TD!$N$34:$O$46,2,0)," ")</f>
        <v>Sedes mantenidas</v>
      </c>
      <c r="X922" s="187" t="str">
        <f>CONCATENATE(V922,"_",W922)</f>
        <v>016_Sedes mantenidas</v>
      </c>
      <c r="Y922" s="187" t="str">
        <f>CONCATENATE(U922," ",X922)</f>
        <v>08-Infraestructura física, mantenimiento y dotación (Sedes construidas, mantenidas reforzadas) 016_Sedes mantenidas</v>
      </c>
      <c r="Z922" s="239" t="str">
        <f>CONCATENATE(P922,Q922,R922,S922,V922)</f>
        <v>O23011745992024020708016</v>
      </c>
      <c r="AA922" s="239" t="str">
        <f>IFERROR(VLOOKUP(Y922,TD!$K$47:$L$65,2,0)," ")</f>
        <v>PM/0131/0108/45990160207</v>
      </c>
      <c r="AB922" s="165" t="s">
        <v>138</v>
      </c>
      <c r="AC922" s="240" t="s">
        <v>205</v>
      </c>
    </row>
    <row r="923" spans="2:29" ht="70" x14ac:dyDescent="0.35">
      <c r="B923" s="167">
        <v>20250975</v>
      </c>
      <c r="C923" s="50" t="s">
        <v>208</v>
      </c>
      <c r="D923" s="184" t="s">
        <v>166</v>
      </c>
      <c r="E923" s="51" t="s">
        <v>558</v>
      </c>
      <c r="F923" s="237" t="s">
        <v>1167</v>
      </c>
      <c r="G923" s="237" t="s">
        <v>155</v>
      </c>
      <c r="H923" s="162" t="s">
        <v>609</v>
      </c>
      <c r="I923" s="238">
        <v>10</v>
      </c>
      <c r="J923" s="238">
        <v>0</v>
      </c>
      <c r="K923" s="163">
        <v>10</v>
      </c>
      <c r="L923" s="165">
        <v>1720362</v>
      </c>
      <c r="M923" s="164" t="s">
        <v>464</v>
      </c>
      <c r="N923" s="165" t="s">
        <v>610</v>
      </c>
      <c r="O923" s="51" t="s">
        <v>219</v>
      </c>
      <c r="P923" s="239" t="str">
        <f>IFERROR(VLOOKUP(C923,TD!$B$33:$F$37,2,0)," ")</f>
        <v>O230117</v>
      </c>
      <c r="Q923" s="239" t="str">
        <f>IFERROR(VLOOKUP(C923,TD!$B$33:$F$37,3,0)," ")</f>
        <v>4599</v>
      </c>
      <c r="R923" s="239">
        <f>IFERROR(VLOOKUP(C923,TD!$B$33:$F$37,4,0)," ")</f>
        <v>20240207</v>
      </c>
      <c r="S923" s="51" t="s">
        <v>185</v>
      </c>
      <c r="T923" s="186" t="str">
        <f>IFERROR(VLOOKUP(S923,TD!$J$34:$K$44,2,0)," ")</f>
        <v>Infraestructura física, mantenimiento y dotación (Sedes construidas, mantenidas reforzadas)</v>
      </c>
      <c r="U923" s="187" t="str">
        <f>CONCATENATE(S923,"-",T923)</f>
        <v>08-Infraestructura física, mantenimiento y dotación (Sedes construidas, mantenidas reforzadas)</v>
      </c>
      <c r="V923" s="51" t="s">
        <v>238</v>
      </c>
      <c r="W923" s="186" t="str">
        <f>IFERROR(VLOOKUP(V923,TD!$N$34:$O$46,2,0)," ")</f>
        <v>Sedes mantenidas</v>
      </c>
      <c r="X923" s="187" t="str">
        <f>CONCATENATE(V923,"_",W923)</f>
        <v>016_Sedes mantenidas</v>
      </c>
      <c r="Y923" s="187" t="str">
        <f>CONCATENATE(U923," ",X923)</f>
        <v>08-Infraestructura física, mantenimiento y dotación (Sedes construidas, mantenidas reforzadas) 016_Sedes mantenidas</v>
      </c>
      <c r="Z923" s="239" t="str">
        <f>CONCATENATE(P923,Q923,R923,S923,V923)</f>
        <v>O23011745992024020708016</v>
      </c>
      <c r="AA923" s="239" t="str">
        <f>IFERROR(VLOOKUP(Y923,TD!$K$47:$L$65,2,0)," ")</f>
        <v>PM/0131/0108/45990160207</v>
      </c>
      <c r="AB923" s="165" t="s">
        <v>138</v>
      </c>
      <c r="AC923" s="240" t="s">
        <v>205</v>
      </c>
    </row>
    <row r="924" spans="2:29" ht="70" x14ac:dyDescent="0.35">
      <c r="B924" s="161">
        <v>20250976</v>
      </c>
      <c r="C924" s="50" t="s">
        <v>208</v>
      </c>
      <c r="D924" s="184" t="s">
        <v>166</v>
      </c>
      <c r="E924" s="51" t="s">
        <v>558</v>
      </c>
      <c r="F924" s="237" t="s">
        <v>1168</v>
      </c>
      <c r="G924" s="237" t="s">
        <v>155</v>
      </c>
      <c r="H924" s="162" t="s">
        <v>609</v>
      </c>
      <c r="I924" s="238">
        <v>10</v>
      </c>
      <c r="J924" s="238">
        <v>1</v>
      </c>
      <c r="K924" s="163">
        <v>16</v>
      </c>
      <c r="L924" s="165">
        <v>7913667</v>
      </c>
      <c r="M924" s="164" t="s">
        <v>464</v>
      </c>
      <c r="N924" s="165" t="s">
        <v>610</v>
      </c>
      <c r="O924" s="51" t="s">
        <v>219</v>
      </c>
      <c r="P924" s="239" t="str">
        <f>IFERROR(VLOOKUP(C924,TD!$B$33:$F$37,2,0)," ")</f>
        <v>O230117</v>
      </c>
      <c r="Q924" s="239" t="str">
        <f>IFERROR(VLOOKUP(C924,TD!$B$33:$F$37,3,0)," ")</f>
        <v>4599</v>
      </c>
      <c r="R924" s="239">
        <f>IFERROR(VLOOKUP(C924,TD!$B$33:$F$37,4,0)," ")</f>
        <v>20240207</v>
      </c>
      <c r="S924" s="51" t="s">
        <v>185</v>
      </c>
      <c r="T924" s="186" t="str">
        <f>IFERROR(VLOOKUP(S924,TD!$J$34:$K$44,2,0)," ")</f>
        <v>Infraestructura física, mantenimiento y dotación (Sedes construidas, mantenidas reforzadas)</v>
      </c>
      <c r="U924" s="187" t="str">
        <f>CONCATENATE(S924,"-",T924)</f>
        <v>08-Infraestructura física, mantenimiento y dotación (Sedes construidas, mantenidas reforzadas)</v>
      </c>
      <c r="V924" s="51" t="s">
        <v>238</v>
      </c>
      <c r="W924" s="186" t="str">
        <f>IFERROR(VLOOKUP(V924,TD!$N$34:$O$46,2,0)," ")</f>
        <v>Sedes mantenidas</v>
      </c>
      <c r="X924" s="187" t="str">
        <f>CONCATENATE(V924,"_",W924)</f>
        <v>016_Sedes mantenidas</v>
      </c>
      <c r="Y924" s="187" t="str">
        <f>CONCATENATE(U924," ",X924)</f>
        <v>08-Infraestructura física, mantenimiento y dotación (Sedes construidas, mantenidas reforzadas) 016_Sedes mantenidas</v>
      </c>
      <c r="Z924" s="239" t="str">
        <f>CONCATENATE(P924,Q924,R924,S924,V924)</f>
        <v>O23011745992024020708016</v>
      </c>
      <c r="AA924" s="239" t="str">
        <f>IFERROR(VLOOKUP(Y924,TD!$K$47:$L$65,2,0)," ")</f>
        <v>PM/0131/0108/45990160207</v>
      </c>
      <c r="AB924" s="165" t="s">
        <v>138</v>
      </c>
      <c r="AC924" s="240" t="s">
        <v>205</v>
      </c>
    </row>
    <row r="925" spans="2:29" ht="56" x14ac:dyDescent="0.35">
      <c r="B925" s="167">
        <v>20250977</v>
      </c>
      <c r="C925" s="50" t="s">
        <v>208</v>
      </c>
      <c r="D925" s="184" t="s">
        <v>166</v>
      </c>
      <c r="E925" s="51" t="s">
        <v>558</v>
      </c>
      <c r="F925" s="237" t="s">
        <v>1169</v>
      </c>
      <c r="G925" s="237" t="s">
        <v>155</v>
      </c>
      <c r="H925" s="162" t="s">
        <v>609</v>
      </c>
      <c r="I925" s="238">
        <v>10</v>
      </c>
      <c r="J925" s="238">
        <v>0</v>
      </c>
      <c r="K925" s="163">
        <v>12</v>
      </c>
      <c r="L925" s="165">
        <v>2734706</v>
      </c>
      <c r="M925" s="164" t="s">
        <v>464</v>
      </c>
      <c r="N925" s="165" t="s">
        <v>610</v>
      </c>
      <c r="O925" s="51" t="s">
        <v>219</v>
      </c>
      <c r="P925" s="239" t="str">
        <f>IFERROR(VLOOKUP(C925,TD!$B$33:$F$37,2,0)," ")</f>
        <v>O230117</v>
      </c>
      <c r="Q925" s="239" t="str">
        <f>IFERROR(VLOOKUP(C925,TD!$B$33:$F$37,3,0)," ")</f>
        <v>4599</v>
      </c>
      <c r="R925" s="239">
        <f>IFERROR(VLOOKUP(C925,TD!$B$33:$F$37,4,0)," ")</f>
        <v>20240207</v>
      </c>
      <c r="S925" s="51" t="s">
        <v>185</v>
      </c>
      <c r="T925" s="186" t="str">
        <f>IFERROR(VLOOKUP(S925,TD!$J$34:$K$44,2,0)," ")</f>
        <v>Infraestructura física, mantenimiento y dotación (Sedes construidas, mantenidas reforzadas)</v>
      </c>
      <c r="U925" s="187" t="str">
        <f>CONCATENATE(S925,"-",T925)</f>
        <v>08-Infraestructura física, mantenimiento y dotación (Sedes construidas, mantenidas reforzadas)</v>
      </c>
      <c r="V925" s="51" t="s">
        <v>238</v>
      </c>
      <c r="W925" s="186" t="str">
        <f>IFERROR(VLOOKUP(V925,TD!$N$34:$O$46,2,0)," ")</f>
        <v>Sedes mantenidas</v>
      </c>
      <c r="X925" s="187" t="str">
        <f>CONCATENATE(V925,"_",W925)</f>
        <v>016_Sedes mantenidas</v>
      </c>
      <c r="Y925" s="187" t="str">
        <f>CONCATENATE(U925," ",X925)</f>
        <v>08-Infraestructura física, mantenimiento y dotación (Sedes construidas, mantenidas reforzadas) 016_Sedes mantenidas</v>
      </c>
      <c r="Z925" s="239" t="str">
        <f>CONCATENATE(P925,Q925,R925,S925,V925)</f>
        <v>O23011745992024020708016</v>
      </c>
      <c r="AA925" s="239" t="str">
        <f>IFERROR(VLOOKUP(Y925,TD!$K$47:$L$65,2,0)," ")</f>
        <v>PM/0131/0108/45990160207</v>
      </c>
      <c r="AB925" s="165" t="s">
        <v>138</v>
      </c>
      <c r="AC925" s="240" t="s">
        <v>205</v>
      </c>
    </row>
    <row r="926" spans="2:29" ht="56" x14ac:dyDescent="0.35">
      <c r="B926" s="167">
        <v>20250978</v>
      </c>
      <c r="C926" s="50" t="s">
        <v>208</v>
      </c>
      <c r="D926" s="184" t="s">
        <v>166</v>
      </c>
      <c r="E926" s="51" t="s">
        <v>558</v>
      </c>
      <c r="F926" s="237" t="s">
        <v>1170</v>
      </c>
      <c r="G926" s="237" t="s">
        <v>156</v>
      </c>
      <c r="H926" s="162" t="s">
        <v>609</v>
      </c>
      <c r="I926" s="238">
        <v>10</v>
      </c>
      <c r="J926" s="238">
        <v>1</v>
      </c>
      <c r="K926" s="163">
        <v>0</v>
      </c>
      <c r="L926" s="165">
        <v>3686491</v>
      </c>
      <c r="M926" s="164" t="s">
        <v>464</v>
      </c>
      <c r="N926" s="165" t="s">
        <v>610</v>
      </c>
      <c r="O926" s="51" t="s">
        <v>219</v>
      </c>
      <c r="P926" s="239" t="str">
        <f>IFERROR(VLOOKUP(C926,TD!$B$33:$F$37,2,0)," ")</f>
        <v>O230117</v>
      </c>
      <c r="Q926" s="239" t="str">
        <f>IFERROR(VLOOKUP(C926,TD!$B$33:$F$37,3,0)," ")</f>
        <v>4599</v>
      </c>
      <c r="R926" s="239">
        <f>IFERROR(VLOOKUP(C926,TD!$B$33:$F$37,4,0)," ")</f>
        <v>20240207</v>
      </c>
      <c r="S926" s="51" t="s">
        <v>185</v>
      </c>
      <c r="T926" s="186" t="str">
        <f>IFERROR(VLOOKUP(S926,TD!$J$34:$K$44,2,0)," ")</f>
        <v>Infraestructura física, mantenimiento y dotación (Sedes construidas, mantenidas reforzadas)</v>
      </c>
      <c r="U926" s="187" t="str">
        <f>CONCATENATE(S926,"-",T926)</f>
        <v>08-Infraestructura física, mantenimiento y dotación (Sedes construidas, mantenidas reforzadas)</v>
      </c>
      <c r="V926" s="51" t="s">
        <v>238</v>
      </c>
      <c r="W926" s="186" t="str">
        <f>IFERROR(VLOOKUP(V926,TD!$N$34:$O$46,2,0)," ")</f>
        <v>Sedes mantenidas</v>
      </c>
      <c r="X926" s="187" t="str">
        <f>CONCATENATE(V926,"_",W926)</f>
        <v>016_Sedes mantenidas</v>
      </c>
      <c r="Y926" s="187" t="str">
        <f>CONCATENATE(U926," ",X926)</f>
        <v>08-Infraestructura física, mantenimiento y dotación (Sedes construidas, mantenidas reforzadas) 016_Sedes mantenidas</v>
      </c>
      <c r="Z926" s="239" t="str">
        <f>CONCATENATE(P926,Q926,R926,S926,V926)</f>
        <v>O23011745992024020708016</v>
      </c>
      <c r="AA926" s="239" t="str">
        <f>IFERROR(VLOOKUP(Y926,TD!$K$47:$L$65,2,0)," ")</f>
        <v>PM/0131/0108/45990160207</v>
      </c>
      <c r="AB926" s="165" t="s">
        <v>138</v>
      </c>
      <c r="AC926" s="240" t="s">
        <v>205</v>
      </c>
    </row>
    <row r="927" spans="2:29" ht="56" x14ac:dyDescent="0.35">
      <c r="B927" s="167">
        <v>20250979</v>
      </c>
      <c r="C927" s="50" t="s">
        <v>208</v>
      </c>
      <c r="D927" s="184" t="s">
        <v>166</v>
      </c>
      <c r="E927" s="51" t="s">
        <v>558</v>
      </c>
      <c r="F927" s="237" t="s">
        <v>1171</v>
      </c>
      <c r="G927" s="237" t="s">
        <v>155</v>
      </c>
      <c r="H927" s="162" t="s">
        <v>609</v>
      </c>
      <c r="I927" s="238">
        <v>10</v>
      </c>
      <c r="J927" s="238">
        <v>1</v>
      </c>
      <c r="K927" s="163">
        <v>9</v>
      </c>
      <c r="L927" s="165">
        <v>8887793</v>
      </c>
      <c r="M927" s="164" t="s">
        <v>464</v>
      </c>
      <c r="N927" s="165" t="s">
        <v>610</v>
      </c>
      <c r="O927" s="51" t="s">
        <v>219</v>
      </c>
      <c r="P927" s="239" t="str">
        <f>IFERROR(VLOOKUP(C927,TD!$B$33:$F$37,2,0)," ")</f>
        <v>O230117</v>
      </c>
      <c r="Q927" s="239" t="str">
        <f>IFERROR(VLOOKUP(C927,TD!$B$33:$F$37,3,0)," ")</f>
        <v>4599</v>
      </c>
      <c r="R927" s="239">
        <f>IFERROR(VLOOKUP(C927,TD!$B$33:$F$37,4,0)," ")</f>
        <v>20240207</v>
      </c>
      <c r="S927" s="51" t="s">
        <v>185</v>
      </c>
      <c r="T927" s="186" t="str">
        <f>IFERROR(VLOOKUP(S927,TD!$J$34:$K$44,2,0)," ")</f>
        <v>Infraestructura física, mantenimiento y dotación (Sedes construidas, mantenidas reforzadas)</v>
      </c>
      <c r="U927" s="187" t="str">
        <f>CONCATENATE(S927,"-",T927)</f>
        <v>08-Infraestructura física, mantenimiento y dotación (Sedes construidas, mantenidas reforzadas)</v>
      </c>
      <c r="V927" s="51" t="s">
        <v>238</v>
      </c>
      <c r="W927" s="186" t="str">
        <f>IFERROR(VLOOKUP(V927,TD!$N$34:$O$46,2,0)," ")</f>
        <v>Sedes mantenidas</v>
      </c>
      <c r="X927" s="187" t="str">
        <f>CONCATENATE(V927,"_",W927)</f>
        <v>016_Sedes mantenidas</v>
      </c>
      <c r="Y927" s="187" t="str">
        <f>CONCATENATE(U927," ",X927)</f>
        <v>08-Infraestructura física, mantenimiento y dotación (Sedes construidas, mantenidas reforzadas) 016_Sedes mantenidas</v>
      </c>
      <c r="Z927" s="239" t="str">
        <f>CONCATENATE(P927,Q927,R927,S927,V927)</f>
        <v>O23011745992024020708016</v>
      </c>
      <c r="AA927" s="239" t="str">
        <f>IFERROR(VLOOKUP(Y927,TD!$K$47:$L$65,2,0)," ")</f>
        <v>PM/0131/0108/45990160207</v>
      </c>
      <c r="AB927" s="165" t="s">
        <v>138</v>
      </c>
      <c r="AC927" s="240" t="s">
        <v>205</v>
      </c>
    </row>
    <row r="928" spans="2:29" ht="70" x14ac:dyDescent="0.35">
      <c r="B928" s="132">
        <v>20250980</v>
      </c>
      <c r="C928" s="50" t="s">
        <v>208</v>
      </c>
      <c r="D928" s="184" t="s">
        <v>166</v>
      </c>
      <c r="E928" s="51" t="s">
        <v>558</v>
      </c>
      <c r="F928" s="237" t="s">
        <v>1172</v>
      </c>
      <c r="G928" s="237" t="s">
        <v>155</v>
      </c>
      <c r="H928" s="162" t="s">
        <v>609</v>
      </c>
      <c r="I928" s="238">
        <v>10</v>
      </c>
      <c r="J928" s="238">
        <v>0</v>
      </c>
      <c r="K928" s="163">
        <v>22</v>
      </c>
      <c r="L928" s="165">
        <v>3784797</v>
      </c>
      <c r="M928" s="164" t="s">
        <v>464</v>
      </c>
      <c r="N928" s="165" t="s">
        <v>610</v>
      </c>
      <c r="O928" s="51" t="s">
        <v>219</v>
      </c>
      <c r="P928" s="239" t="str">
        <f>IFERROR(VLOOKUP(C928,TD!$B$33:$F$37,2,0)," ")</f>
        <v>O230117</v>
      </c>
      <c r="Q928" s="239" t="str">
        <f>IFERROR(VLOOKUP(C928,TD!$B$33:$F$37,3,0)," ")</f>
        <v>4599</v>
      </c>
      <c r="R928" s="239">
        <f>IFERROR(VLOOKUP(C928,TD!$B$33:$F$37,4,0)," ")</f>
        <v>20240207</v>
      </c>
      <c r="S928" s="51" t="s">
        <v>185</v>
      </c>
      <c r="T928" s="186" t="str">
        <f>IFERROR(VLOOKUP(S928,TD!$J$34:$K$44,2,0)," ")</f>
        <v>Infraestructura física, mantenimiento y dotación (Sedes construidas, mantenidas reforzadas)</v>
      </c>
      <c r="U928" s="187" t="str">
        <f>CONCATENATE(S928,"-",T928)</f>
        <v>08-Infraestructura física, mantenimiento y dotación (Sedes construidas, mantenidas reforzadas)</v>
      </c>
      <c r="V928" s="51" t="s">
        <v>238</v>
      </c>
      <c r="W928" s="186" t="str">
        <f>IFERROR(VLOOKUP(V928,TD!$N$34:$O$46,2,0)," ")</f>
        <v>Sedes mantenidas</v>
      </c>
      <c r="X928" s="187" t="str">
        <f>CONCATENATE(V928,"_",W928)</f>
        <v>016_Sedes mantenidas</v>
      </c>
      <c r="Y928" s="187" t="str">
        <f>CONCATENATE(U928," ",X928)</f>
        <v>08-Infraestructura física, mantenimiento y dotación (Sedes construidas, mantenidas reforzadas) 016_Sedes mantenidas</v>
      </c>
      <c r="Z928" s="239" t="str">
        <f>CONCATENATE(P928,Q928,R928,S928,V928)</f>
        <v>O23011745992024020708016</v>
      </c>
      <c r="AA928" s="239" t="str">
        <f>IFERROR(VLOOKUP(Y928,TD!$K$47:$L$65,2,0)," ")</f>
        <v>PM/0131/0108/45990160207</v>
      </c>
      <c r="AB928" s="165" t="s">
        <v>120</v>
      </c>
      <c r="AC928" s="240" t="s">
        <v>205</v>
      </c>
    </row>
    <row r="929" spans="2:29" ht="70" x14ac:dyDescent="0.35">
      <c r="B929" s="167">
        <v>20250981</v>
      </c>
      <c r="C929" s="50" t="s">
        <v>208</v>
      </c>
      <c r="D929" s="184" t="s">
        <v>166</v>
      </c>
      <c r="E929" s="51" t="s">
        <v>558</v>
      </c>
      <c r="F929" s="237" t="s">
        <v>1173</v>
      </c>
      <c r="G929" s="237" t="s">
        <v>155</v>
      </c>
      <c r="H929" s="162" t="s">
        <v>609</v>
      </c>
      <c r="I929" s="238">
        <v>10</v>
      </c>
      <c r="J929" s="238">
        <v>1</v>
      </c>
      <c r="K929" s="163">
        <v>25</v>
      </c>
      <c r="L929" s="165">
        <v>13517132</v>
      </c>
      <c r="M929" s="164" t="s">
        <v>464</v>
      </c>
      <c r="N929" s="165" t="s">
        <v>610</v>
      </c>
      <c r="O929" s="51" t="s">
        <v>218</v>
      </c>
      <c r="P929" s="239" t="str">
        <f>IFERROR(VLOOKUP(C929,TD!$B$33:$F$37,2,0)," ")</f>
        <v>O230117</v>
      </c>
      <c r="Q929" s="239" t="str">
        <f>IFERROR(VLOOKUP(C929,TD!$B$33:$F$37,3,0)," ")</f>
        <v>4599</v>
      </c>
      <c r="R929" s="239">
        <f>IFERROR(VLOOKUP(C929,TD!$B$33:$F$37,4,0)," ")</f>
        <v>20240207</v>
      </c>
      <c r="S929" s="51" t="s">
        <v>185</v>
      </c>
      <c r="T929" s="186" t="str">
        <f>IFERROR(VLOOKUP(S929,TD!$J$34:$K$44,2,0)," ")</f>
        <v>Infraestructura física, mantenimiento y dotación (Sedes construidas, mantenidas reforzadas)</v>
      </c>
      <c r="U929" s="187" t="str">
        <f>CONCATENATE(S929,"-",T929)</f>
        <v>08-Infraestructura física, mantenimiento y dotación (Sedes construidas, mantenidas reforzadas)</v>
      </c>
      <c r="V929" s="51" t="s">
        <v>238</v>
      </c>
      <c r="W929" s="186" t="str">
        <f>IFERROR(VLOOKUP(V929,TD!$N$34:$O$46,2,0)," ")</f>
        <v>Sedes mantenidas</v>
      </c>
      <c r="X929" s="187" t="str">
        <f>CONCATENATE(V929,"_",W929)</f>
        <v>016_Sedes mantenidas</v>
      </c>
      <c r="Y929" s="187" t="str">
        <f>CONCATENATE(U929," ",X929)</f>
        <v>08-Infraestructura física, mantenimiento y dotación (Sedes construidas, mantenidas reforzadas) 016_Sedes mantenidas</v>
      </c>
      <c r="Z929" s="239" t="str">
        <f>CONCATENATE(P929,Q929,R929,S929,V929)</f>
        <v>O23011745992024020708016</v>
      </c>
      <c r="AA929" s="239" t="str">
        <f>IFERROR(VLOOKUP(Y929,TD!$K$47:$L$65,2,0)," ")</f>
        <v>PM/0131/0108/45990160207</v>
      </c>
      <c r="AB929" s="165" t="s">
        <v>138</v>
      </c>
      <c r="AC929" s="240" t="s">
        <v>205</v>
      </c>
    </row>
    <row r="930" spans="2:29" ht="70" x14ac:dyDescent="0.35">
      <c r="B930" s="161">
        <v>20250982</v>
      </c>
      <c r="C930" s="50" t="s">
        <v>208</v>
      </c>
      <c r="D930" s="184" t="s">
        <v>166</v>
      </c>
      <c r="E930" s="51" t="s">
        <v>558</v>
      </c>
      <c r="F930" s="237" t="s">
        <v>1174</v>
      </c>
      <c r="G930" s="237" t="s">
        <v>155</v>
      </c>
      <c r="H930" s="162" t="s">
        <v>609</v>
      </c>
      <c r="I930" s="238">
        <v>10</v>
      </c>
      <c r="J930" s="238">
        <v>2</v>
      </c>
      <c r="K930" s="163">
        <v>1</v>
      </c>
      <c r="L930" s="165">
        <v>18300000</v>
      </c>
      <c r="M930" s="164" t="s">
        <v>464</v>
      </c>
      <c r="N930" s="165" t="s">
        <v>610</v>
      </c>
      <c r="O930" s="51" t="s">
        <v>218</v>
      </c>
      <c r="P930" s="239" t="str">
        <f>IFERROR(VLOOKUP(C930,TD!$B$33:$F$37,2,0)," ")</f>
        <v>O230117</v>
      </c>
      <c r="Q930" s="239" t="str">
        <f>IFERROR(VLOOKUP(C930,TD!$B$33:$F$37,3,0)," ")</f>
        <v>4599</v>
      </c>
      <c r="R930" s="239">
        <f>IFERROR(VLOOKUP(C930,TD!$B$33:$F$37,4,0)," ")</f>
        <v>20240207</v>
      </c>
      <c r="S930" s="51" t="s">
        <v>185</v>
      </c>
      <c r="T930" s="186" t="str">
        <f>IFERROR(VLOOKUP(S930,TD!$J$34:$K$44,2,0)," ")</f>
        <v>Infraestructura física, mantenimiento y dotación (Sedes construidas, mantenidas reforzadas)</v>
      </c>
      <c r="U930" s="187" t="str">
        <f>CONCATENATE(S930,"-",T930)</f>
        <v>08-Infraestructura física, mantenimiento y dotación (Sedes construidas, mantenidas reforzadas)</v>
      </c>
      <c r="V930" s="51" t="s">
        <v>238</v>
      </c>
      <c r="W930" s="186" t="str">
        <f>IFERROR(VLOOKUP(V930,TD!$N$34:$O$46,2,0)," ")</f>
        <v>Sedes mantenidas</v>
      </c>
      <c r="X930" s="187" t="str">
        <f>CONCATENATE(V930,"_",W930)</f>
        <v>016_Sedes mantenidas</v>
      </c>
      <c r="Y930" s="187" t="str">
        <f>CONCATENATE(U930," ",X930)</f>
        <v>08-Infraestructura física, mantenimiento y dotación (Sedes construidas, mantenidas reforzadas) 016_Sedes mantenidas</v>
      </c>
      <c r="Z930" s="239" t="str">
        <f>CONCATENATE(P930,Q930,R930,S930,V930)</f>
        <v>O23011745992024020708016</v>
      </c>
      <c r="AA930" s="239" t="str">
        <f>IFERROR(VLOOKUP(Y930,TD!$K$47:$L$65,2,0)," ")</f>
        <v>PM/0131/0108/45990160207</v>
      </c>
      <c r="AB930" s="165" t="s">
        <v>138</v>
      </c>
      <c r="AC930" s="240" t="s">
        <v>205</v>
      </c>
    </row>
    <row r="931" spans="2:29" ht="70" x14ac:dyDescent="0.35">
      <c r="B931" s="167">
        <v>20250983</v>
      </c>
      <c r="C931" s="50" t="s">
        <v>208</v>
      </c>
      <c r="D931" s="184" t="s">
        <v>166</v>
      </c>
      <c r="E931" s="51" t="s">
        <v>558</v>
      </c>
      <c r="F931" s="237" t="s">
        <v>1175</v>
      </c>
      <c r="G931" s="237" t="s">
        <v>155</v>
      </c>
      <c r="H931" s="162" t="s">
        <v>609</v>
      </c>
      <c r="I931" s="238">
        <v>10</v>
      </c>
      <c r="J931" s="238">
        <v>2</v>
      </c>
      <c r="K931" s="163">
        <v>12</v>
      </c>
      <c r="L931" s="165">
        <v>22262016</v>
      </c>
      <c r="M931" s="164" t="s">
        <v>464</v>
      </c>
      <c r="N931" s="165" t="s">
        <v>610</v>
      </c>
      <c r="O931" s="51" t="s">
        <v>218</v>
      </c>
      <c r="P931" s="239" t="str">
        <f>IFERROR(VLOOKUP(C931,TD!$B$33:$F$37,2,0)," ")</f>
        <v>O230117</v>
      </c>
      <c r="Q931" s="239" t="str">
        <f>IFERROR(VLOOKUP(C931,TD!$B$33:$F$37,3,0)," ")</f>
        <v>4599</v>
      </c>
      <c r="R931" s="239">
        <f>IFERROR(VLOOKUP(C931,TD!$B$33:$F$37,4,0)," ")</f>
        <v>20240207</v>
      </c>
      <c r="S931" s="51" t="s">
        <v>185</v>
      </c>
      <c r="T931" s="186" t="str">
        <f>IFERROR(VLOOKUP(S931,TD!$J$34:$K$44,2,0)," ")</f>
        <v>Infraestructura física, mantenimiento y dotación (Sedes construidas, mantenidas reforzadas)</v>
      </c>
      <c r="U931" s="187" t="str">
        <f>CONCATENATE(S931,"-",T931)</f>
        <v>08-Infraestructura física, mantenimiento y dotación (Sedes construidas, mantenidas reforzadas)</v>
      </c>
      <c r="V931" s="51" t="s">
        <v>238</v>
      </c>
      <c r="W931" s="186" t="str">
        <f>IFERROR(VLOOKUP(V931,TD!$N$34:$O$46,2,0)," ")</f>
        <v>Sedes mantenidas</v>
      </c>
      <c r="X931" s="187" t="str">
        <f>CONCATENATE(V931,"_",W931)</f>
        <v>016_Sedes mantenidas</v>
      </c>
      <c r="Y931" s="187" t="str">
        <f>CONCATENATE(U931," ",X931)</f>
        <v>08-Infraestructura física, mantenimiento y dotación (Sedes construidas, mantenidas reforzadas) 016_Sedes mantenidas</v>
      </c>
      <c r="Z931" s="239" t="str">
        <f>CONCATENATE(P931,Q931,R931,S931,V931)</f>
        <v>O23011745992024020708016</v>
      </c>
      <c r="AA931" s="239" t="str">
        <f>IFERROR(VLOOKUP(Y931,TD!$K$47:$L$65,2,0)," ")</f>
        <v>PM/0131/0108/45990160207</v>
      </c>
      <c r="AB931" s="165" t="s">
        <v>138</v>
      </c>
      <c r="AC931" s="240" t="s">
        <v>205</v>
      </c>
    </row>
    <row r="932" spans="2:29" ht="98" x14ac:dyDescent="0.35">
      <c r="B932" s="167">
        <v>20250984</v>
      </c>
      <c r="C932" s="50" t="s">
        <v>208</v>
      </c>
      <c r="D932" s="184" t="s">
        <v>166</v>
      </c>
      <c r="E932" s="51" t="s">
        <v>558</v>
      </c>
      <c r="F932" s="237" t="s">
        <v>1176</v>
      </c>
      <c r="G932" s="237" t="s">
        <v>155</v>
      </c>
      <c r="H932" s="162" t="s">
        <v>609</v>
      </c>
      <c r="I932" s="238">
        <v>10</v>
      </c>
      <c r="J932" s="238">
        <v>1</v>
      </c>
      <c r="K932" s="163">
        <v>24</v>
      </c>
      <c r="L932" s="165">
        <v>16696512.000000002</v>
      </c>
      <c r="M932" s="164" t="s">
        <v>464</v>
      </c>
      <c r="N932" s="165" t="s">
        <v>610</v>
      </c>
      <c r="O932" s="51" t="s">
        <v>218</v>
      </c>
      <c r="P932" s="239" t="str">
        <f>IFERROR(VLOOKUP(C932,TD!$B$33:$F$37,2,0)," ")</f>
        <v>O230117</v>
      </c>
      <c r="Q932" s="239" t="str">
        <f>IFERROR(VLOOKUP(C932,TD!$B$33:$F$37,3,0)," ")</f>
        <v>4599</v>
      </c>
      <c r="R932" s="239">
        <f>IFERROR(VLOOKUP(C932,TD!$B$33:$F$37,4,0)," ")</f>
        <v>20240207</v>
      </c>
      <c r="S932" s="51" t="s">
        <v>185</v>
      </c>
      <c r="T932" s="186" t="str">
        <f>IFERROR(VLOOKUP(S932,TD!$J$34:$K$44,2,0)," ")</f>
        <v>Infraestructura física, mantenimiento y dotación (Sedes construidas, mantenidas reforzadas)</v>
      </c>
      <c r="U932" s="187" t="str">
        <f>CONCATENATE(S932,"-",T932)</f>
        <v>08-Infraestructura física, mantenimiento y dotación (Sedes construidas, mantenidas reforzadas)</v>
      </c>
      <c r="V932" s="51" t="s">
        <v>238</v>
      </c>
      <c r="W932" s="186" t="str">
        <f>IFERROR(VLOOKUP(V932,TD!$N$34:$O$46,2,0)," ")</f>
        <v>Sedes mantenidas</v>
      </c>
      <c r="X932" s="187" t="str">
        <f>CONCATENATE(V932,"_",W932)</f>
        <v>016_Sedes mantenidas</v>
      </c>
      <c r="Y932" s="187" t="str">
        <f>CONCATENATE(U932," ",X932)</f>
        <v>08-Infraestructura física, mantenimiento y dotación (Sedes construidas, mantenidas reforzadas) 016_Sedes mantenidas</v>
      </c>
      <c r="Z932" s="239" t="str">
        <f>CONCATENATE(P932,Q932,R932,S932,V932)</f>
        <v>O23011745992024020708016</v>
      </c>
      <c r="AA932" s="239" t="str">
        <f>IFERROR(VLOOKUP(Y932,TD!$K$47:$L$65,2,0)," ")</f>
        <v>PM/0131/0108/45990160207</v>
      </c>
      <c r="AB932" s="165" t="s">
        <v>120</v>
      </c>
      <c r="AC932" s="240" t="s">
        <v>205</v>
      </c>
    </row>
    <row r="933" spans="2:29" ht="98" x14ac:dyDescent="0.35">
      <c r="B933" s="167">
        <v>20250985</v>
      </c>
      <c r="C933" s="50" t="s">
        <v>208</v>
      </c>
      <c r="D933" s="184" t="s">
        <v>166</v>
      </c>
      <c r="E933" s="51" t="s">
        <v>558</v>
      </c>
      <c r="F933" s="237" t="s">
        <v>1177</v>
      </c>
      <c r="G933" s="237" t="s">
        <v>155</v>
      </c>
      <c r="H933" s="162" t="s">
        <v>609</v>
      </c>
      <c r="I933" s="238">
        <v>10</v>
      </c>
      <c r="J933" s="238">
        <v>0</v>
      </c>
      <c r="K933" s="163">
        <v>12</v>
      </c>
      <c r="L933" s="165">
        <v>2949192</v>
      </c>
      <c r="M933" s="164" t="s">
        <v>464</v>
      </c>
      <c r="N933" s="165" t="s">
        <v>610</v>
      </c>
      <c r="O933" s="51" t="s">
        <v>218</v>
      </c>
      <c r="P933" s="239" t="str">
        <f>IFERROR(VLOOKUP(C933,TD!$B$33:$F$37,2,0)," ")</f>
        <v>O230117</v>
      </c>
      <c r="Q933" s="239" t="str">
        <f>IFERROR(VLOOKUP(C933,TD!$B$33:$F$37,3,0)," ")</f>
        <v>4599</v>
      </c>
      <c r="R933" s="239">
        <f>IFERROR(VLOOKUP(C933,TD!$B$33:$F$37,4,0)," ")</f>
        <v>20240207</v>
      </c>
      <c r="S933" s="51" t="s">
        <v>185</v>
      </c>
      <c r="T933" s="186" t="str">
        <f>IFERROR(VLOOKUP(S933,TD!$J$34:$K$44,2,0)," ")</f>
        <v>Infraestructura física, mantenimiento y dotación (Sedes construidas, mantenidas reforzadas)</v>
      </c>
      <c r="U933" s="187" t="str">
        <f>CONCATENATE(S933,"-",T933)</f>
        <v>08-Infraestructura física, mantenimiento y dotación (Sedes construidas, mantenidas reforzadas)</v>
      </c>
      <c r="V933" s="51" t="s">
        <v>238</v>
      </c>
      <c r="W933" s="186" t="str">
        <f>IFERROR(VLOOKUP(V933,TD!$N$34:$O$46,2,0)," ")</f>
        <v>Sedes mantenidas</v>
      </c>
      <c r="X933" s="187" t="str">
        <f>CONCATENATE(V933,"_",W933)</f>
        <v>016_Sedes mantenidas</v>
      </c>
      <c r="Y933" s="187" t="str">
        <f>CONCATENATE(U933," ",X933)</f>
        <v>08-Infraestructura física, mantenimiento y dotación (Sedes construidas, mantenidas reforzadas) 016_Sedes mantenidas</v>
      </c>
      <c r="Z933" s="239" t="str">
        <f>CONCATENATE(P933,Q933,R933,S933,V933)</f>
        <v>O23011745992024020708016</v>
      </c>
      <c r="AA933" s="239" t="str">
        <f>IFERROR(VLOOKUP(Y933,TD!$K$47:$L$65,2,0)," ")</f>
        <v>PM/0131/0108/45990160207</v>
      </c>
      <c r="AB933" s="165" t="s">
        <v>138</v>
      </c>
      <c r="AC933" s="240" t="s">
        <v>205</v>
      </c>
    </row>
    <row r="934" spans="2:29" ht="98" x14ac:dyDescent="0.35">
      <c r="B934" s="77">
        <v>20250986</v>
      </c>
      <c r="C934" s="50" t="s">
        <v>208</v>
      </c>
      <c r="D934" s="184" t="s">
        <v>166</v>
      </c>
      <c r="E934" s="51" t="s">
        <v>558</v>
      </c>
      <c r="F934" s="237" t="s">
        <v>1178</v>
      </c>
      <c r="G934" s="237" t="s">
        <v>156</v>
      </c>
      <c r="H934" s="162" t="s">
        <v>609</v>
      </c>
      <c r="I934" s="238">
        <v>10</v>
      </c>
      <c r="J934" s="238">
        <v>0</v>
      </c>
      <c r="K934" s="163">
        <v>4</v>
      </c>
      <c r="L934" s="165">
        <v>461333</v>
      </c>
      <c r="M934" s="164" t="s">
        <v>464</v>
      </c>
      <c r="N934" s="165" t="s">
        <v>610</v>
      </c>
      <c r="O934" s="51" t="s">
        <v>218</v>
      </c>
      <c r="P934" s="239" t="str">
        <f>IFERROR(VLOOKUP(C934,TD!$B$33:$F$37,2,0)," ")</f>
        <v>O230117</v>
      </c>
      <c r="Q934" s="239" t="str">
        <f>IFERROR(VLOOKUP(C934,TD!$B$33:$F$37,3,0)," ")</f>
        <v>4599</v>
      </c>
      <c r="R934" s="239">
        <f>IFERROR(VLOOKUP(C934,TD!$B$33:$F$37,4,0)," ")</f>
        <v>20240207</v>
      </c>
      <c r="S934" s="51" t="s">
        <v>185</v>
      </c>
      <c r="T934" s="186" t="str">
        <f>IFERROR(VLOOKUP(S934,TD!$J$34:$K$44,2,0)," ")</f>
        <v>Infraestructura física, mantenimiento y dotación (Sedes construidas, mantenidas reforzadas)</v>
      </c>
      <c r="U934" s="187" t="str">
        <f>CONCATENATE(S934,"-",T934)</f>
        <v>08-Infraestructura física, mantenimiento y dotación (Sedes construidas, mantenidas reforzadas)</v>
      </c>
      <c r="V934" s="51" t="s">
        <v>238</v>
      </c>
      <c r="W934" s="186" t="str">
        <f>IFERROR(VLOOKUP(V934,TD!$N$34:$O$46,2,0)," ")</f>
        <v>Sedes mantenidas</v>
      </c>
      <c r="X934" s="187" t="str">
        <f>CONCATENATE(V934,"_",W934)</f>
        <v>016_Sedes mantenidas</v>
      </c>
      <c r="Y934" s="187" t="str">
        <f>CONCATENATE(U934," ",X934)</f>
        <v>08-Infraestructura física, mantenimiento y dotación (Sedes construidas, mantenidas reforzadas) 016_Sedes mantenidas</v>
      </c>
      <c r="Z934" s="239" t="str">
        <f>CONCATENATE(P934,Q934,R934,S934,V934)</f>
        <v>O23011745992024020708016</v>
      </c>
      <c r="AA934" s="239" t="str">
        <f>IFERROR(VLOOKUP(Y934,TD!$K$47:$L$65,2,0)," ")</f>
        <v>PM/0131/0108/45990160207</v>
      </c>
      <c r="AB934" s="165" t="s">
        <v>138</v>
      </c>
      <c r="AC934" s="240" t="s">
        <v>205</v>
      </c>
    </row>
    <row r="935" spans="2:29" ht="70" x14ac:dyDescent="0.35">
      <c r="B935" s="167">
        <v>20250987</v>
      </c>
      <c r="C935" s="50" t="s">
        <v>208</v>
      </c>
      <c r="D935" s="184" t="s">
        <v>166</v>
      </c>
      <c r="E935" s="51" t="s">
        <v>558</v>
      </c>
      <c r="F935" s="237" t="s">
        <v>1179</v>
      </c>
      <c r="G935" s="237" t="s">
        <v>156</v>
      </c>
      <c r="H935" s="162" t="s">
        <v>609</v>
      </c>
      <c r="I935" s="238">
        <v>10</v>
      </c>
      <c r="J935" s="238">
        <v>1</v>
      </c>
      <c r="K935" s="163">
        <v>7</v>
      </c>
      <c r="L935" s="165">
        <v>4050671</v>
      </c>
      <c r="M935" s="164" t="s">
        <v>464</v>
      </c>
      <c r="N935" s="165" t="s">
        <v>610</v>
      </c>
      <c r="O935" s="51" t="s">
        <v>218</v>
      </c>
      <c r="P935" s="239" t="str">
        <f>IFERROR(VLOOKUP(C935,TD!$B$33:$F$37,2,0)," ")</f>
        <v>O230117</v>
      </c>
      <c r="Q935" s="239" t="str">
        <f>IFERROR(VLOOKUP(C935,TD!$B$33:$F$37,3,0)," ")</f>
        <v>4599</v>
      </c>
      <c r="R935" s="239">
        <f>IFERROR(VLOOKUP(C935,TD!$B$33:$F$37,4,0)," ")</f>
        <v>20240207</v>
      </c>
      <c r="S935" s="51" t="s">
        <v>185</v>
      </c>
      <c r="T935" s="186" t="str">
        <f>IFERROR(VLOOKUP(S935,TD!$J$34:$K$44,2,0)," ")</f>
        <v>Infraestructura física, mantenimiento y dotación (Sedes construidas, mantenidas reforzadas)</v>
      </c>
      <c r="U935" s="187" t="str">
        <f>CONCATENATE(S935,"-",T935)</f>
        <v>08-Infraestructura física, mantenimiento y dotación (Sedes construidas, mantenidas reforzadas)</v>
      </c>
      <c r="V935" s="51" t="s">
        <v>238</v>
      </c>
      <c r="W935" s="186" t="str">
        <f>IFERROR(VLOOKUP(V935,TD!$N$34:$O$46,2,0)," ")</f>
        <v>Sedes mantenidas</v>
      </c>
      <c r="X935" s="187" t="str">
        <f>CONCATENATE(V935,"_",W935)</f>
        <v>016_Sedes mantenidas</v>
      </c>
      <c r="Y935" s="187" t="str">
        <f>CONCATENATE(U935," ",X935)</f>
        <v>08-Infraestructura física, mantenimiento y dotación (Sedes construidas, mantenidas reforzadas) 016_Sedes mantenidas</v>
      </c>
      <c r="Z935" s="239" t="str">
        <f>CONCATENATE(P935,Q935,R935,S935,V935)</f>
        <v>O23011745992024020708016</v>
      </c>
      <c r="AA935" s="239" t="str">
        <f>IFERROR(VLOOKUP(Y935,TD!$K$47:$L$65,2,0)," ")</f>
        <v>PM/0131/0108/45990160207</v>
      </c>
      <c r="AB935" s="165" t="s">
        <v>138</v>
      </c>
      <c r="AC935" s="240" t="s">
        <v>205</v>
      </c>
    </row>
    <row r="936" spans="2:29" ht="56" x14ac:dyDescent="0.35">
      <c r="B936" s="167">
        <v>20250988</v>
      </c>
      <c r="C936" s="50" t="s">
        <v>208</v>
      </c>
      <c r="D936" s="184" t="s">
        <v>166</v>
      </c>
      <c r="E936" s="51" t="s">
        <v>558</v>
      </c>
      <c r="F936" s="237" t="s">
        <v>1180</v>
      </c>
      <c r="G936" s="237" t="s">
        <v>155</v>
      </c>
      <c r="H936" s="162" t="s">
        <v>609</v>
      </c>
      <c r="I936" s="238">
        <v>10</v>
      </c>
      <c r="J936" s="238">
        <v>2</v>
      </c>
      <c r="K936" s="163">
        <v>11</v>
      </c>
      <c r="L936" s="165">
        <v>14276772</v>
      </c>
      <c r="M936" s="164" t="s">
        <v>464</v>
      </c>
      <c r="N936" s="165" t="s">
        <v>610</v>
      </c>
      <c r="O936" s="51" t="s">
        <v>219</v>
      </c>
      <c r="P936" s="239" t="str">
        <f>IFERROR(VLOOKUP(C936,TD!$B$33:$F$37,2,0)," ")</f>
        <v>O230117</v>
      </c>
      <c r="Q936" s="239" t="str">
        <f>IFERROR(VLOOKUP(C936,TD!$B$33:$F$37,3,0)," ")</f>
        <v>4599</v>
      </c>
      <c r="R936" s="239">
        <f>IFERROR(VLOOKUP(C936,TD!$B$33:$F$37,4,0)," ")</f>
        <v>20240207</v>
      </c>
      <c r="S936" s="51" t="s">
        <v>185</v>
      </c>
      <c r="T936" s="186" t="str">
        <f>IFERROR(VLOOKUP(S936,TD!$J$34:$K$44,2,0)," ")</f>
        <v>Infraestructura física, mantenimiento y dotación (Sedes construidas, mantenidas reforzadas)</v>
      </c>
      <c r="U936" s="187" t="str">
        <f>CONCATENATE(S936,"-",T936)</f>
        <v>08-Infraestructura física, mantenimiento y dotación (Sedes construidas, mantenidas reforzadas)</v>
      </c>
      <c r="V936" s="51" t="s">
        <v>238</v>
      </c>
      <c r="W936" s="186" t="str">
        <f>IFERROR(VLOOKUP(V936,TD!$N$34:$O$46,2,0)," ")</f>
        <v>Sedes mantenidas</v>
      </c>
      <c r="X936" s="187" t="str">
        <f>CONCATENATE(V936,"_",W936)</f>
        <v>016_Sedes mantenidas</v>
      </c>
      <c r="Y936" s="187" t="str">
        <f>CONCATENATE(U936," ",X936)</f>
        <v>08-Infraestructura física, mantenimiento y dotación (Sedes construidas, mantenidas reforzadas) 016_Sedes mantenidas</v>
      </c>
      <c r="Z936" s="239" t="str">
        <f>CONCATENATE(P936,Q936,R936,S936,V936)</f>
        <v>O23011745992024020708016</v>
      </c>
      <c r="AA936" s="239" t="str">
        <f>IFERROR(VLOOKUP(Y936,TD!$K$47:$L$65,2,0)," ")</f>
        <v>PM/0131/0108/45990160207</v>
      </c>
      <c r="AB936" s="165" t="s">
        <v>138</v>
      </c>
      <c r="AC936" s="240" t="s">
        <v>205</v>
      </c>
    </row>
    <row r="937" spans="2:29" ht="84" x14ac:dyDescent="0.35">
      <c r="B937" s="167">
        <v>20250989</v>
      </c>
      <c r="C937" s="50" t="s">
        <v>208</v>
      </c>
      <c r="D937" s="184" t="s">
        <v>166</v>
      </c>
      <c r="E937" s="51" t="s">
        <v>558</v>
      </c>
      <c r="F937" s="237" t="s">
        <v>1181</v>
      </c>
      <c r="G937" s="237" t="s">
        <v>155</v>
      </c>
      <c r="H937" s="162" t="s">
        <v>609</v>
      </c>
      <c r="I937" s="238">
        <v>10</v>
      </c>
      <c r="J937" s="238">
        <v>2</v>
      </c>
      <c r="K937" s="163">
        <v>10</v>
      </c>
      <c r="L937" s="165">
        <v>14075691</v>
      </c>
      <c r="M937" s="164" t="s">
        <v>464</v>
      </c>
      <c r="N937" s="165" t="s">
        <v>610</v>
      </c>
      <c r="O937" s="51" t="s">
        <v>219</v>
      </c>
      <c r="P937" s="239" t="str">
        <f>IFERROR(VLOOKUP(C937,TD!$B$33:$F$37,2,0)," ")</f>
        <v>O230117</v>
      </c>
      <c r="Q937" s="239" t="str">
        <f>IFERROR(VLOOKUP(C937,TD!$B$33:$F$37,3,0)," ")</f>
        <v>4599</v>
      </c>
      <c r="R937" s="239">
        <f>IFERROR(VLOOKUP(C937,TD!$B$33:$F$37,4,0)," ")</f>
        <v>20240207</v>
      </c>
      <c r="S937" s="51" t="s">
        <v>185</v>
      </c>
      <c r="T937" s="186" t="str">
        <f>IFERROR(VLOOKUP(S937,TD!$J$34:$K$44,2,0)," ")</f>
        <v>Infraestructura física, mantenimiento y dotación (Sedes construidas, mantenidas reforzadas)</v>
      </c>
      <c r="U937" s="187" t="str">
        <f>CONCATENATE(S937,"-",T937)</f>
        <v>08-Infraestructura física, mantenimiento y dotación (Sedes construidas, mantenidas reforzadas)</v>
      </c>
      <c r="V937" s="51" t="s">
        <v>238</v>
      </c>
      <c r="W937" s="186" t="str">
        <f>IFERROR(VLOOKUP(V937,TD!$N$34:$O$46,2,0)," ")</f>
        <v>Sedes mantenidas</v>
      </c>
      <c r="X937" s="187" t="str">
        <f>CONCATENATE(V937,"_",W937)</f>
        <v>016_Sedes mantenidas</v>
      </c>
      <c r="Y937" s="187" t="str">
        <f>CONCATENATE(U937," ",X937)</f>
        <v>08-Infraestructura física, mantenimiento y dotación (Sedes construidas, mantenidas reforzadas) 016_Sedes mantenidas</v>
      </c>
      <c r="Z937" s="239" t="str">
        <f>CONCATENATE(P937,Q937,R937,S937,V937)</f>
        <v>O23011745992024020708016</v>
      </c>
      <c r="AA937" s="239" t="str">
        <f>IFERROR(VLOOKUP(Y937,TD!$K$47:$L$65,2,0)," ")</f>
        <v>PM/0131/0108/45990160207</v>
      </c>
      <c r="AB937" s="165" t="s">
        <v>138</v>
      </c>
      <c r="AC937" s="240" t="s">
        <v>205</v>
      </c>
    </row>
    <row r="938" spans="2:29" ht="84" x14ac:dyDescent="0.35">
      <c r="B938" s="167">
        <v>20250990</v>
      </c>
      <c r="C938" s="50" t="s">
        <v>208</v>
      </c>
      <c r="D938" s="184" t="s">
        <v>166</v>
      </c>
      <c r="E938" s="51" t="s">
        <v>558</v>
      </c>
      <c r="F938" s="237" t="s">
        <v>1182</v>
      </c>
      <c r="G938" s="237" t="s">
        <v>156</v>
      </c>
      <c r="H938" s="162" t="s">
        <v>609</v>
      </c>
      <c r="I938" s="238">
        <v>10</v>
      </c>
      <c r="J938" s="238">
        <v>2</v>
      </c>
      <c r="K938" s="163">
        <v>20</v>
      </c>
      <c r="L938" s="165">
        <v>11975509</v>
      </c>
      <c r="M938" s="164" t="s">
        <v>464</v>
      </c>
      <c r="N938" s="165" t="s">
        <v>610</v>
      </c>
      <c r="O938" s="51" t="s">
        <v>219</v>
      </c>
      <c r="P938" s="239" t="str">
        <f>IFERROR(VLOOKUP(C938,TD!$B$33:$F$37,2,0)," ")</f>
        <v>O230117</v>
      </c>
      <c r="Q938" s="239" t="str">
        <f>IFERROR(VLOOKUP(C938,TD!$B$33:$F$37,3,0)," ")</f>
        <v>4599</v>
      </c>
      <c r="R938" s="239">
        <f>IFERROR(VLOOKUP(C938,TD!$B$33:$F$37,4,0)," ")</f>
        <v>20240207</v>
      </c>
      <c r="S938" s="51" t="s">
        <v>185</v>
      </c>
      <c r="T938" s="186" t="str">
        <f>IFERROR(VLOOKUP(S938,TD!$J$34:$K$44,2,0)," ")</f>
        <v>Infraestructura física, mantenimiento y dotación (Sedes construidas, mantenidas reforzadas)</v>
      </c>
      <c r="U938" s="187" t="str">
        <f>CONCATENATE(S938,"-",T938)</f>
        <v>08-Infraestructura física, mantenimiento y dotación (Sedes construidas, mantenidas reforzadas)</v>
      </c>
      <c r="V938" s="51" t="s">
        <v>238</v>
      </c>
      <c r="W938" s="186" t="str">
        <f>IFERROR(VLOOKUP(V938,TD!$N$34:$O$46,2,0)," ")</f>
        <v>Sedes mantenidas</v>
      </c>
      <c r="X938" s="187" t="str">
        <f>CONCATENATE(V938,"_",W938)</f>
        <v>016_Sedes mantenidas</v>
      </c>
      <c r="Y938" s="187" t="str">
        <f>CONCATENATE(U938," ",X938)</f>
        <v>08-Infraestructura física, mantenimiento y dotación (Sedes construidas, mantenidas reforzadas) 016_Sedes mantenidas</v>
      </c>
      <c r="Z938" s="239" t="str">
        <f>CONCATENATE(P938,Q938,R938,S938,V938)</f>
        <v>O23011745992024020708016</v>
      </c>
      <c r="AA938" s="239" t="str">
        <f>IFERROR(VLOOKUP(Y938,TD!$K$47:$L$65,2,0)," ")</f>
        <v>PM/0131/0108/45990160207</v>
      </c>
      <c r="AB938" s="165" t="s">
        <v>138</v>
      </c>
      <c r="AC938" s="240" t="s">
        <v>205</v>
      </c>
    </row>
    <row r="939" spans="2:29" ht="126" x14ac:dyDescent="0.35">
      <c r="B939" s="167">
        <v>20250991</v>
      </c>
      <c r="C939" s="50" t="s">
        <v>208</v>
      </c>
      <c r="D939" s="184" t="s">
        <v>166</v>
      </c>
      <c r="E939" s="51" t="s">
        <v>558</v>
      </c>
      <c r="F939" s="237" t="s">
        <v>1183</v>
      </c>
      <c r="G939" s="237" t="s">
        <v>155</v>
      </c>
      <c r="H939" s="162" t="s">
        <v>609</v>
      </c>
      <c r="I939" s="238">
        <v>10</v>
      </c>
      <c r="J939" s="238">
        <v>1</v>
      </c>
      <c r="K939" s="163">
        <v>4</v>
      </c>
      <c r="L939" s="165">
        <v>6836764</v>
      </c>
      <c r="M939" s="164" t="s">
        <v>464</v>
      </c>
      <c r="N939" s="165" t="s">
        <v>610</v>
      </c>
      <c r="O939" s="51" t="s">
        <v>219</v>
      </c>
      <c r="P939" s="239" t="str">
        <f>IFERROR(VLOOKUP(C939,TD!$B$33:$F$37,2,0)," ")</f>
        <v>O230117</v>
      </c>
      <c r="Q939" s="239" t="str">
        <f>IFERROR(VLOOKUP(C939,TD!$B$33:$F$37,3,0)," ")</f>
        <v>4599</v>
      </c>
      <c r="R939" s="239">
        <f>IFERROR(VLOOKUP(C939,TD!$B$33:$F$37,4,0)," ")</f>
        <v>20240207</v>
      </c>
      <c r="S939" s="51" t="s">
        <v>185</v>
      </c>
      <c r="T939" s="186" t="str">
        <f>IFERROR(VLOOKUP(S939,TD!$J$34:$K$44,2,0)," ")</f>
        <v>Infraestructura física, mantenimiento y dotación (Sedes construidas, mantenidas reforzadas)</v>
      </c>
      <c r="U939" s="187" t="str">
        <f>CONCATENATE(S939,"-",T939)</f>
        <v>08-Infraestructura física, mantenimiento y dotación (Sedes construidas, mantenidas reforzadas)</v>
      </c>
      <c r="V939" s="51" t="s">
        <v>238</v>
      </c>
      <c r="W939" s="186" t="str">
        <f>IFERROR(VLOOKUP(V939,TD!$N$34:$O$46,2,0)," ")</f>
        <v>Sedes mantenidas</v>
      </c>
      <c r="X939" s="187" t="str">
        <f>CONCATENATE(V939,"_",W939)</f>
        <v>016_Sedes mantenidas</v>
      </c>
      <c r="Y939" s="187" t="str">
        <f>CONCATENATE(U939," ",X939)</f>
        <v>08-Infraestructura física, mantenimiento y dotación (Sedes construidas, mantenidas reforzadas) 016_Sedes mantenidas</v>
      </c>
      <c r="Z939" s="239" t="str">
        <f>CONCATENATE(P939,Q939,R939,S939,V939)</f>
        <v>O23011745992024020708016</v>
      </c>
      <c r="AA939" s="239" t="str">
        <f>IFERROR(VLOOKUP(Y939,TD!$K$47:$L$65,2,0)," ")</f>
        <v>PM/0131/0108/45990160207</v>
      </c>
      <c r="AB939" s="165" t="s">
        <v>138</v>
      </c>
      <c r="AC939" s="240" t="s">
        <v>205</v>
      </c>
    </row>
    <row r="940" spans="2:29" ht="112" x14ac:dyDescent="0.35">
      <c r="B940" s="77">
        <v>20250992</v>
      </c>
      <c r="C940" s="50" t="s">
        <v>208</v>
      </c>
      <c r="D940" s="184" t="s">
        <v>166</v>
      </c>
      <c r="E940" s="51" t="s">
        <v>558</v>
      </c>
      <c r="F940" s="237" t="s">
        <v>1184</v>
      </c>
      <c r="G940" s="237" t="s">
        <v>155</v>
      </c>
      <c r="H940" s="162" t="s">
        <v>609</v>
      </c>
      <c r="I940" s="238">
        <v>10</v>
      </c>
      <c r="J940" s="238">
        <v>0</v>
      </c>
      <c r="K940" s="163">
        <v>4</v>
      </c>
      <c r="L940" s="165">
        <v>1236779</v>
      </c>
      <c r="M940" s="164" t="s">
        <v>464</v>
      </c>
      <c r="N940" s="165" t="s">
        <v>610</v>
      </c>
      <c r="O940" s="51" t="s">
        <v>218</v>
      </c>
      <c r="P940" s="239" t="str">
        <f>IFERROR(VLOOKUP(C940,TD!$B$33:$F$37,2,0)," ")</f>
        <v>O230117</v>
      </c>
      <c r="Q940" s="239" t="str">
        <f>IFERROR(VLOOKUP(C940,TD!$B$33:$F$37,3,0)," ")</f>
        <v>4599</v>
      </c>
      <c r="R940" s="239">
        <f>IFERROR(VLOOKUP(C940,TD!$B$33:$F$37,4,0)," ")</f>
        <v>20240207</v>
      </c>
      <c r="S940" s="51" t="s">
        <v>185</v>
      </c>
      <c r="T940" s="186" t="str">
        <f>IFERROR(VLOOKUP(S940,TD!$J$34:$K$44,2,0)," ")</f>
        <v>Infraestructura física, mantenimiento y dotación (Sedes construidas, mantenidas reforzadas)</v>
      </c>
      <c r="U940" s="187" t="str">
        <f>CONCATENATE(S940,"-",T940)</f>
        <v>08-Infraestructura física, mantenimiento y dotación (Sedes construidas, mantenidas reforzadas)</v>
      </c>
      <c r="V940" s="51" t="s">
        <v>238</v>
      </c>
      <c r="W940" s="186" t="str">
        <f>IFERROR(VLOOKUP(V940,TD!$N$34:$O$46,2,0)," ")</f>
        <v>Sedes mantenidas</v>
      </c>
      <c r="X940" s="187" t="str">
        <f>CONCATENATE(V940,"_",W940)</f>
        <v>016_Sedes mantenidas</v>
      </c>
      <c r="Y940" s="187" t="str">
        <f>CONCATENATE(U940," ",X940)</f>
        <v>08-Infraestructura física, mantenimiento y dotación (Sedes construidas, mantenidas reforzadas) 016_Sedes mantenidas</v>
      </c>
      <c r="Z940" s="239" t="str">
        <f>CONCATENATE(P940,Q940,R940,S940,V940)</f>
        <v>O23011745992024020708016</v>
      </c>
      <c r="AA940" s="239" t="str">
        <f>IFERROR(VLOOKUP(Y940,TD!$K$47:$L$65,2,0)," ")</f>
        <v>PM/0131/0108/45990160207</v>
      </c>
      <c r="AB940" s="165" t="s">
        <v>138</v>
      </c>
      <c r="AC940" s="240" t="s">
        <v>205</v>
      </c>
    </row>
    <row r="941" spans="2:29" ht="70" x14ac:dyDescent="0.35">
      <c r="B941" s="167">
        <v>20250993</v>
      </c>
      <c r="C941" s="50" t="s">
        <v>208</v>
      </c>
      <c r="D941" s="184" t="s">
        <v>166</v>
      </c>
      <c r="E941" s="51" t="s">
        <v>558</v>
      </c>
      <c r="F941" s="237" t="s">
        <v>1185</v>
      </c>
      <c r="G941" s="237" t="s">
        <v>155</v>
      </c>
      <c r="H941" s="162" t="s">
        <v>609</v>
      </c>
      <c r="I941" s="238">
        <v>10</v>
      </c>
      <c r="J941" s="238">
        <v>3</v>
      </c>
      <c r="K941" s="163">
        <v>12</v>
      </c>
      <c r="L941" s="165">
        <v>25068135</v>
      </c>
      <c r="M941" s="164" t="s">
        <v>464</v>
      </c>
      <c r="N941" s="165" t="s">
        <v>610</v>
      </c>
      <c r="O941" s="51" t="s">
        <v>219</v>
      </c>
      <c r="P941" s="239" t="str">
        <f>IFERROR(VLOOKUP(C941,TD!$B$33:$F$37,2,0)," ")</f>
        <v>O230117</v>
      </c>
      <c r="Q941" s="239" t="str">
        <f>IFERROR(VLOOKUP(C941,TD!$B$33:$F$37,3,0)," ")</f>
        <v>4599</v>
      </c>
      <c r="R941" s="239">
        <f>IFERROR(VLOOKUP(C941,TD!$B$33:$F$37,4,0)," ")</f>
        <v>20240207</v>
      </c>
      <c r="S941" s="51" t="s">
        <v>185</v>
      </c>
      <c r="T941" s="186" t="str">
        <f>IFERROR(VLOOKUP(S941,TD!$J$34:$K$44,2,0)," ")</f>
        <v>Infraestructura física, mantenimiento y dotación (Sedes construidas, mantenidas reforzadas)</v>
      </c>
      <c r="U941" s="187" t="str">
        <f>CONCATENATE(S941,"-",T941)</f>
        <v>08-Infraestructura física, mantenimiento y dotación (Sedes construidas, mantenidas reforzadas)</v>
      </c>
      <c r="V941" s="51" t="s">
        <v>238</v>
      </c>
      <c r="W941" s="186" t="str">
        <f>IFERROR(VLOOKUP(V941,TD!$N$34:$O$46,2,0)," ")</f>
        <v>Sedes mantenidas</v>
      </c>
      <c r="X941" s="187" t="str">
        <f>CONCATENATE(V941,"_",W941)</f>
        <v>016_Sedes mantenidas</v>
      </c>
      <c r="Y941" s="187" t="str">
        <f>CONCATENATE(U941," ",X941)</f>
        <v>08-Infraestructura física, mantenimiento y dotación (Sedes construidas, mantenidas reforzadas) 016_Sedes mantenidas</v>
      </c>
      <c r="Z941" s="239" t="str">
        <f>CONCATENATE(P941,Q941,R941,S941,V941)</f>
        <v>O23011745992024020708016</v>
      </c>
      <c r="AA941" s="239" t="str">
        <f>IFERROR(VLOOKUP(Y941,TD!$K$47:$L$65,2,0)," ")</f>
        <v>PM/0131/0108/45990160207</v>
      </c>
      <c r="AB941" s="165" t="s">
        <v>120</v>
      </c>
      <c r="AC941" s="240" t="s">
        <v>205</v>
      </c>
    </row>
    <row r="942" spans="2:29" ht="112" x14ac:dyDescent="0.35">
      <c r="B942" s="167">
        <v>20250994</v>
      </c>
      <c r="C942" s="50" t="s">
        <v>208</v>
      </c>
      <c r="D942" s="184" t="s">
        <v>166</v>
      </c>
      <c r="E942" s="51" t="s">
        <v>558</v>
      </c>
      <c r="F942" s="237" t="s">
        <v>1186</v>
      </c>
      <c r="G942" s="237" t="s">
        <v>155</v>
      </c>
      <c r="H942" s="162" t="s">
        <v>609</v>
      </c>
      <c r="I942" s="238">
        <v>10</v>
      </c>
      <c r="J942" s="238">
        <v>1</v>
      </c>
      <c r="K942" s="163">
        <v>20</v>
      </c>
      <c r="L942" s="165">
        <v>15459733</v>
      </c>
      <c r="M942" s="164" t="s">
        <v>464</v>
      </c>
      <c r="N942" s="165" t="s">
        <v>610</v>
      </c>
      <c r="O942" s="51" t="s">
        <v>219</v>
      </c>
      <c r="P942" s="239" t="str">
        <f>IFERROR(VLOOKUP(C942,TD!$B$33:$F$37,2,0)," ")</f>
        <v>O230117</v>
      </c>
      <c r="Q942" s="239" t="str">
        <f>IFERROR(VLOOKUP(C942,TD!$B$33:$F$37,3,0)," ")</f>
        <v>4599</v>
      </c>
      <c r="R942" s="239">
        <f>IFERROR(VLOOKUP(C942,TD!$B$33:$F$37,4,0)," ")</f>
        <v>20240207</v>
      </c>
      <c r="S942" s="51" t="s">
        <v>185</v>
      </c>
      <c r="T942" s="186" t="str">
        <f>IFERROR(VLOOKUP(S942,TD!$J$34:$K$44,2,0)," ")</f>
        <v>Infraestructura física, mantenimiento y dotación (Sedes construidas, mantenidas reforzadas)</v>
      </c>
      <c r="U942" s="187" t="str">
        <f>CONCATENATE(S942,"-",T942)</f>
        <v>08-Infraestructura física, mantenimiento y dotación (Sedes construidas, mantenidas reforzadas)</v>
      </c>
      <c r="V942" s="51" t="s">
        <v>238</v>
      </c>
      <c r="W942" s="186" t="str">
        <f>IFERROR(VLOOKUP(V942,TD!$N$34:$O$46,2,0)," ")</f>
        <v>Sedes mantenidas</v>
      </c>
      <c r="X942" s="187" t="str">
        <f>CONCATENATE(V942,"_",W942)</f>
        <v>016_Sedes mantenidas</v>
      </c>
      <c r="Y942" s="187" t="str">
        <f>CONCATENATE(U942," ",X942)</f>
        <v>08-Infraestructura física, mantenimiento y dotación (Sedes construidas, mantenidas reforzadas) 016_Sedes mantenidas</v>
      </c>
      <c r="Z942" s="239" t="str">
        <f>CONCATENATE(P942,Q942,R942,S942,V942)</f>
        <v>O23011745992024020708016</v>
      </c>
      <c r="AA942" s="239" t="str">
        <f>IFERROR(VLOOKUP(Y942,TD!$K$47:$L$65,2,0)," ")</f>
        <v>PM/0131/0108/45990160207</v>
      </c>
      <c r="AB942" s="165" t="s">
        <v>138</v>
      </c>
      <c r="AC942" s="240" t="s">
        <v>205</v>
      </c>
    </row>
    <row r="943" spans="2:29" ht="70" x14ac:dyDescent="0.35">
      <c r="B943" s="167">
        <v>20250995</v>
      </c>
      <c r="C943" s="50" t="s">
        <v>208</v>
      </c>
      <c r="D943" s="184" t="s">
        <v>166</v>
      </c>
      <c r="E943" s="51" t="s">
        <v>558</v>
      </c>
      <c r="F943" s="237" t="s">
        <v>1187</v>
      </c>
      <c r="G943" s="237" t="s">
        <v>155</v>
      </c>
      <c r="H943" s="162" t="s">
        <v>609</v>
      </c>
      <c r="I943" s="238">
        <v>10</v>
      </c>
      <c r="J943" s="238">
        <v>1</v>
      </c>
      <c r="K943" s="163">
        <v>0</v>
      </c>
      <c r="L943" s="165">
        <v>9275840</v>
      </c>
      <c r="M943" s="164" t="s">
        <v>464</v>
      </c>
      <c r="N943" s="165" t="s">
        <v>610</v>
      </c>
      <c r="O943" s="51" t="s">
        <v>219</v>
      </c>
      <c r="P943" s="239" t="str">
        <f>IFERROR(VLOOKUP(C943,TD!$B$33:$F$37,2,0)," ")</f>
        <v>O230117</v>
      </c>
      <c r="Q943" s="239" t="str">
        <f>IFERROR(VLOOKUP(C943,TD!$B$33:$F$37,3,0)," ")</f>
        <v>4599</v>
      </c>
      <c r="R943" s="239">
        <f>IFERROR(VLOOKUP(C943,TD!$B$33:$F$37,4,0)," ")</f>
        <v>20240207</v>
      </c>
      <c r="S943" s="51" t="s">
        <v>185</v>
      </c>
      <c r="T943" s="186" t="str">
        <f>IFERROR(VLOOKUP(S943,TD!$J$34:$K$44,2,0)," ")</f>
        <v>Infraestructura física, mantenimiento y dotación (Sedes construidas, mantenidas reforzadas)</v>
      </c>
      <c r="U943" s="187" t="str">
        <f>CONCATENATE(S943,"-",T943)</f>
        <v>08-Infraestructura física, mantenimiento y dotación (Sedes construidas, mantenidas reforzadas)</v>
      </c>
      <c r="V943" s="51" t="s">
        <v>238</v>
      </c>
      <c r="W943" s="186" t="str">
        <f>IFERROR(VLOOKUP(V943,TD!$N$34:$O$46,2,0)," ")</f>
        <v>Sedes mantenidas</v>
      </c>
      <c r="X943" s="187" t="str">
        <f>CONCATENATE(V943,"_",W943)</f>
        <v>016_Sedes mantenidas</v>
      </c>
      <c r="Y943" s="187" t="str">
        <f>CONCATENATE(U943," ",X943)</f>
        <v>08-Infraestructura física, mantenimiento y dotación (Sedes construidas, mantenidas reforzadas) 016_Sedes mantenidas</v>
      </c>
      <c r="Z943" s="239" t="str">
        <f>CONCATENATE(P943,Q943,R943,S943,V943)</f>
        <v>O23011745992024020708016</v>
      </c>
      <c r="AA943" s="239" t="str">
        <f>IFERROR(VLOOKUP(Y943,TD!$K$47:$L$65,2,0)," ")</f>
        <v>PM/0131/0108/45990160207</v>
      </c>
      <c r="AB943" s="165" t="s">
        <v>120</v>
      </c>
      <c r="AC943" s="240" t="s">
        <v>205</v>
      </c>
    </row>
    <row r="944" spans="2:29" ht="70" x14ac:dyDescent="0.35">
      <c r="B944" s="167">
        <v>20250996</v>
      </c>
      <c r="C944" s="50" t="s">
        <v>208</v>
      </c>
      <c r="D944" s="184" t="s">
        <v>166</v>
      </c>
      <c r="E944" s="51" t="s">
        <v>558</v>
      </c>
      <c r="F944" s="237" t="s">
        <v>1188</v>
      </c>
      <c r="G944" s="237" t="s">
        <v>156</v>
      </c>
      <c r="H944" s="162" t="s">
        <v>609</v>
      </c>
      <c r="I944" s="238">
        <v>10</v>
      </c>
      <c r="J944" s="238">
        <v>1</v>
      </c>
      <c r="K944" s="163">
        <v>3</v>
      </c>
      <c r="L944" s="165">
        <v>3612761</v>
      </c>
      <c r="M944" s="164" t="s">
        <v>464</v>
      </c>
      <c r="N944" s="165" t="s">
        <v>610</v>
      </c>
      <c r="O944" s="51" t="s">
        <v>219</v>
      </c>
      <c r="P944" s="239" t="str">
        <f>IFERROR(VLOOKUP(C944,TD!$B$33:$F$37,2,0)," ")</f>
        <v>O230117</v>
      </c>
      <c r="Q944" s="239" t="str">
        <f>IFERROR(VLOOKUP(C944,TD!$B$33:$F$37,3,0)," ")</f>
        <v>4599</v>
      </c>
      <c r="R944" s="239">
        <f>IFERROR(VLOOKUP(C944,TD!$B$33:$F$37,4,0)," ")</f>
        <v>20240207</v>
      </c>
      <c r="S944" s="51" t="s">
        <v>185</v>
      </c>
      <c r="T944" s="186" t="str">
        <f>IFERROR(VLOOKUP(S944,TD!$J$34:$K$44,2,0)," ")</f>
        <v>Infraestructura física, mantenimiento y dotación (Sedes construidas, mantenidas reforzadas)</v>
      </c>
      <c r="U944" s="187" t="str">
        <f>CONCATENATE(S944,"-",T944)</f>
        <v>08-Infraestructura física, mantenimiento y dotación (Sedes construidas, mantenidas reforzadas)</v>
      </c>
      <c r="V944" s="51" t="s">
        <v>238</v>
      </c>
      <c r="W944" s="186" t="str">
        <f>IFERROR(VLOOKUP(V944,TD!$N$34:$O$46,2,0)," ")</f>
        <v>Sedes mantenidas</v>
      </c>
      <c r="X944" s="187" t="str">
        <f>CONCATENATE(V944,"_",W944)</f>
        <v>016_Sedes mantenidas</v>
      </c>
      <c r="Y944" s="187" t="str">
        <f>CONCATENATE(U944," ",X944)</f>
        <v>08-Infraestructura física, mantenimiento y dotación (Sedes construidas, mantenidas reforzadas) 016_Sedes mantenidas</v>
      </c>
      <c r="Z944" s="239" t="str">
        <f>CONCATENATE(P944,Q944,R944,S944,V944)</f>
        <v>O23011745992024020708016</v>
      </c>
      <c r="AA944" s="239" t="str">
        <f>IFERROR(VLOOKUP(Y944,TD!$K$47:$L$65,2,0)," ")</f>
        <v>PM/0131/0108/45990160207</v>
      </c>
      <c r="AB944" s="165" t="s">
        <v>138</v>
      </c>
      <c r="AC944" s="240" t="s">
        <v>205</v>
      </c>
    </row>
    <row r="945" spans="2:29" ht="70" x14ac:dyDescent="0.35">
      <c r="B945" s="167">
        <v>20250997</v>
      </c>
      <c r="C945" s="50" t="s">
        <v>208</v>
      </c>
      <c r="D945" s="184" t="s">
        <v>166</v>
      </c>
      <c r="E945" s="51" t="s">
        <v>558</v>
      </c>
      <c r="F945" s="237" t="s">
        <v>1189</v>
      </c>
      <c r="G945" s="237" t="s">
        <v>156</v>
      </c>
      <c r="H945" s="162" t="s">
        <v>609</v>
      </c>
      <c r="I945" s="238">
        <v>10</v>
      </c>
      <c r="J945" s="238">
        <v>0</v>
      </c>
      <c r="K945" s="163">
        <v>8</v>
      </c>
      <c r="L945" s="165">
        <v>1143929</v>
      </c>
      <c r="M945" s="164" t="s">
        <v>464</v>
      </c>
      <c r="N945" s="165" t="s">
        <v>610</v>
      </c>
      <c r="O945" s="51" t="s">
        <v>219</v>
      </c>
      <c r="P945" s="239" t="str">
        <f>IFERROR(VLOOKUP(C945,TD!$B$33:$F$37,2,0)," ")</f>
        <v>O230117</v>
      </c>
      <c r="Q945" s="239" t="str">
        <f>IFERROR(VLOOKUP(C945,TD!$B$33:$F$37,3,0)," ")</f>
        <v>4599</v>
      </c>
      <c r="R945" s="239">
        <f>IFERROR(VLOOKUP(C945,TD!$B$33:$F$37,4,0)," ")</f>
        <v>20240207</v>
      </c>
      <c r="S945" s="51" t="s">
        <v>185</v>
      </c>
      <c r="T945" s="186" t="str">
        <f>IFERROR(VLOOKUP(S945,TD!$J$34:$K$44,2,0)," ")</f>
        <v>Infraestructura física, mantenimiento y dotación (Sedes construidas, mantenidas reforzadas)</v>
      </c>
      <c r="U945" s="187" t="str">
        <f>CONCATENATE(S945,"-",T945)</f>
        <v>08-Infraestructura física, mantenimiento y dotación (Sedes construidas, mantenidas reforzadas)</v>
      </c>
      <c r="V945" s="51" t="s">
        <v>238</v>
      </c>
      <c r="W945" s="186" t="str">
        <f>IFERROR(VLOOKUP(V945,TD!$N$34:$O$46,2,0)," ")</f>
        <v>Sedes mantenidas</v>
      </c>
      <c r="X945" s="187" t="str">
        <f>CONCATENATE(V945,"_",W945)</f>
        <v>016_Sedes mantenidas</v>
      </c>
      <c r="Y945" s="187" t="str">
        <f>CONCATENATE(U945," ",X945)</f>
        <v>08-Infraestructura física, mantenimiento y dotación (Sedes construidas, mantenidas reforzadas) 016_Sedes mantenidas</v>
      </c>
      <c r="Z945" s="239" t="str">
        <f>CONCATENATE(P945,Q945,R945,S945,V945)</f>
        <v>O23011745992024020708016</v>
      </c>
      <c r="AA945" s="239" t="str">
        <f>IFERROR(VLOOKUP(Y945,TD!$K$47:$L$65,2,0)," ")</f>
        <v>PM/0131/0108/45990160207</v>
      </c>
      <c r="AB945" s="165" t="s">
        <v>138</v>
      </c>
      <c r="AC945" s="240" t="s">
        <v>205</v>
      </c>
    </row>
    <row r="946" spans="2:29" ht="70" x14ac:dyDescent="0.35">
      <c r="B946" s="77">
        <v>20250998</v>
      </c>
      <c r="C946" s="50" t="s">
        <v>208</v>
      </c>
      <c r="D946" s="184" t="s">
        <v>166</v>
      </c>
      <c r="E946" s="51" t="s">
        <v>558</v>
      </c>
      <c r="F946" s="237" t="s">
        <v>1190</v>
      </c>
      <c r="G946" s="237" t="s">
        <v>155</v>
      </c>
      <c r="H946" s="162" t="s">
        <v>609</v>
      </c>
      <c r="I946" s="238">
        <v>10</v>
      </c>
      <c r="J946" s="238">
        <v>0</v>
      </c>
      <c r="K946" s="163">
        <v>8</v>
      </c>
      <c r="L946" s="165">
        <v>1376290</v>
      </c>
      <c r="M946" s="164" t="s">
        <v>464</v>
      </c>
      <c r="N946" s="165" t="s">
        <v>610</v>
      </c>
      <c r="O946" s="51" t="s">
        <v>219</v>
      </c>
      <c r="P946" s="239" t="str">
        <f>IFERROR(VLOOKUP(C946,TD!$B$33:$F$37,2,0)," ")</f>
        <v>O230117</v>
      </c>
      <c r="Q946" s="239" t="str">
        <f>IFERROR(VLOOKUP(C946,TD!$B$33:$F$37,3,0)," ")</f>
        <v>4599</v>
      </c>
      <c r="R946" s="239">
        <f>IFERROR(VLOOKUP(C946,TD!$B$33:$F$37,4,0)," ")</f>
        <v>20240207</v>
      </c>
      <c r="S946" s="51" t="s">
        <v>185</v>
      </c>
      <c r="T946" s="186" t="str">
        <f>IFERROR(VLOOKUP(S946,TD!$J$34:$K$44,2,0)," ")</f>
        <v>Infraestructura física, mantenimiento y dotación (Sedes construidas, mantenidas reforzadas)</v>
      </c>
      <c r="U946" s="187" t="str">
        <f>CONCATENATE(S946,"-",T946)</f>
        <v>08-Infraestructura física, mantenimiento y dotación (Sedes construidas, mantenidas reforzadas)</v>
      </c>
      <c r="V946" s="51" t="s">
        <v>238</v>
      </c>
      <c r="W946" s="186" t="str">
        <f>IFERROR(VLOOKUP(V946,TD!$N$34:$O$46,2,0)," ")</f>
        <v>Sedes mantenidas</v>
      </c>
      <c r="X946" s="187" t="str">
        <f>CONCATENATE(V946,"_",W946)</f>
        <v>016_Sedes mantenidas</v>
      </c>
      <c r="Y946" s="187" t="str">
        <f>CONCATENATE(U946," ",X946)</f>
        <v>08-Infraestructura física, mantenimiento y dotación (Sedes construidas, mantenidas reforzadas) 016_Sedes mantenidas</v>
      </c>
      <c r="Z946" s="239" t="str">
        <f>CONCATENATE(P946,Q946,R946,S946,V946)</f>
        <v>O23011745992024020708016</v>
      </c>
      <c r="AA946" s="239" t="str">
        <f>IFERROR(VLOOKUP(Y946,TD!$K$47:$L$65,2,0)," ")</f>
        <v>PM/0131/0108/45990160207</v>
      </c>
      <c r="AB946" s="165" t="s">
        <v>138</v>
      </c>
      <c r="AC946" s="240" t="s">
        <v>205</v>
      </c>
    </row>
    <row r="947" spans="2:29" ht="84" x14ac:dyDescent="0.35">
      <c r="B947" s="167">
        <v>20250999</v>
      </c>
      <c r="C947" s="50" t="s">
        <v>208</v>
      </c>
      <c r="D947" s="184" t="s">
        <v>166</v>
      </c>
      <c r="E947" s="51" t="s">
        <v>558</v>
      </c>
      <c r="F947" s="237" t="s">
        <v>1191</v>
      </c>
      <c r="G947" s="237" t="s">
        <v>156</v>
      </c>
      <c r="H947" s="162" t="s">
        <v>609</v>
      </c>
      <c r="I947" s="238">
        <v>10</v>
      </c>
      <c r="J947" s="238">
        <v>1</v>
      </c>
      <c r="K947" s="163">
        <v>3</v>
      </c>
      <c r="L947" s="165">
        <v>3096653</v>
      </c>
      <c r="M947" s="164" t="s">
        <v>464</v>
      </c>
      <c r="N947" s="165" t="s">
        <v>610</v>
      </c>
      <c r="O947" s="51" t="s">
        <v>219</v>
      </c>
      <c r="P947" s="239" t="str">
        <f>IFERROR(VLOOKUP(C947,TD!$B$33:$F$37,2,0)," ")</f>
        <v>O230117</v>
      </c>
      <c r="Q947" s="239" t="str">
        <f>IFERROR(VLOOKUP(C947,TD!$B$33:$F$37,3,0)," ")</f>
        <v>4599</v>
      </c>
      <c r="R947" s="239">
        <f>IFERROR(VLOOKUP(C947,TD!$B$33:$F$37,4,0)," ")</f>
        <v>20240207</v>
      </c>
      <c r="S947" s="51" t="s">
        <v>185</v>
      </c>
      <c r="T947" s="186" t="str">
        <f>IFERROR(VLOOKUP(S947,TD!$J$34:$K$44,2,0)," ")</f>
        <v>Infraestructura física, mantenimiento y dotación (Sedes construidas, mantenidas reforzadas)</v>
      </c>
      <c r="U947" s="187" t="str">
        <f>CONCATENATE(S947,"-",T947)</f>
        <v>08-Infraestructura física, mantenimiento y dotación (Sedes construidas, mantenidas reforzadas)</v>
      </c>
      <c r="V947" s="51" t="s">
        <v>238</v>
      </c>
      <c r="W947" s="186" t="str">
        <f>IFERROR(VLOOKUP(V947,TD!$N$34:$O$46,2,0)," ")</f>
        <v>Sedes mantenidas</v>
      </c>
      <c r="X947" s="187" t="str">
        <f>CONCATENATE(V947,"_",W947)</f>
        <v>016_Sedes mantenidas</v>
      </c>
      <c r="Y947" s="187" t="str">
        <f>CONCATENATE(U947," ",X947)</f>
        <v>08-Infraestructura física, mantenimiento y dotación (Sedes construidas, mantenidas reforzadas) 016_Sedes mantenidas</v>
      </c>
      <c r="Z947" s="239" t="str">
        <f>CONCATENATE(P947,Q947,R947,S947,V947)</f>
        <v>O23011745992024020708016</v>
      </c>
      <c r="AA947" s="239" t="str">
        <f>IFERROR(VLOOKUP(Y947,TD!$K$47:$L$65,2,0)," ")</f>
        <v>PM/0131/0108/45990160207</v>
      </c>
      <c r="AB947" s="165" t="s">
        <v>138</v>
      </c>
      <c r="AC947" s="240" t="s">
        <v>205</v>
      </c>
    </row>
    <row r="948" spans="2:29" ht="84" x14ac:dyDescent="0.35">
      <c r="B948" s="167">
        <v>20251000</v>
      </c>
      <c r="C948" s="50" t="s">
        <v>208</v>
      </c>
      <c r="D948" s="184" t="s">
        <v>166</v>
      </c>
      <c r="E948" s="51" t="s">
        <v>558</v>
      </c>
      <c r="F948" s="237" t="s">
        <v>1192</v>
      </c>
      <c r="G948" s="237" t="s">
        <v>156</v>
      </c>
      <c r="H948" s="162" t="s">
        <v>609</v>
      </c>
      <c r="I948" s="238">
        <v>10</v>
      </c>
      <c r="J948" s="238">
        <v>1</v>
      </c>
      <c r="K948" s="163">
        <v>6</v>
      </c>
      <c r="L948" s="165">
        <v>4584654</v>
      </c>
      <c r="M948" s="164" t="s">
        <v>464</v>
      </c>
      <c r="N948" s="165" t="s">
        <v>610</v>
      </c>
      <c r="O948" s="51" t="s">
        <v>219</v>
      </c>
      <c r="P948" s="239" t="str">
        <f>IFERROR(VLOOKUP(C948,TD!$B$33:$F$37,2,0)," ")</f>
        <v>O230117</v>
      </c>
      <c r="Q948" s="239" t="str">
        <f>IFERROR(VLOOKUP(C948,TD!$B$33:$F$37,3,0)," ")</f>
        <v>4599</v>
      </c>
      <c r="R948" s="239">
        <f>IFERROR(VLOOKUP(C948,TD!$B$33:$F$37,4,0)," ")</f>
        <v>20240207</v>
      </c>
      <c r="S948" s="51" t="s">
        <v>185</v>
      </c>
      <c r="T948" s="186" t="str">
        <f>IFERROR(VLOOKUP(S948,TD!$J$34:$K$44,2,0)," ")</f>
        <v>Infraestructura física, mantenimiento y dotación (Sedes construidas, mantenidas reforzadas)</v>
      </c>
      <c r="U948" s="187" t="str">
        <f>CONCATENATE(S948,"-",T948)</f>
        <v>08-Infraestructura física, mantenimiento y dotación (Sedes construidas, mantenidas reforzadas)</v>
      </c>
      <c r="V948" s="51" t="s">
        <v>238</v>
      </c>
      <c r="W948" s="186" t="str">
        <f>IFERROR(VLOOKUP(V948,TD!$N$34:$O$46,2,0)," ")</f>
        <v>Sedes mantenidas</v>
      </c>
      <c r="X948" s="187" t="str">
        <f>CONCATENATE(V948,"_",W948)</f>
        <v>016_Sedes mantenidas</v>
      </c>
      <c r="Y948" s="187" t="str">
        <f>CONCATENATE(U948," ",X948)</f>
        <v>08-Infraestructura física, mantenimiento y dotación (Sedes construidas, mantenidas reforzadas) 016_Sedes mantenidas</v>
      </c>
      <c r="Z948" s="239" t="str">
        <f>CONCATENATE(P948,Q948,R948,S948,V948)</f>
        <v>O23011745992024020708016</v>
      </c>
      <c r="AA948" s="239" t="str">
        <f>IFERROR(VLOOKUP(Y948,TD!$K$47:$L$65,2,0)," ")</f>
        <v>PM/0131/0108/45990160207</v>
      </c>
      <c r="AB948" s="165" t="s">
        <v>138</v>
      </c>
      <c r="AC948" s="240" t="s">
        <v>205</v>
      </c>
    </row>
    <row r="949" spans="2:29" ht="84" x14ac:dyDescent="0.35">
      <c r="B949" s="167">
        <v>20251001</v>
      </c>
      <c r="C949" s="50" t="s">
        <v>208</v>
      </c>
      <c r="D949" s="184" t="s">
        <v>166</v>
      </c>
      <c r="E949" s="51" t="s">
        <v>558</v>
      </c>
      <c r="F949" s="237" t="s">
        <v>1193</v>
      </c>
      <c r="G949" s="237" t="s">
        <v>156</v>
      </c>
      <c r="H949" s="162" t="s">
        <v>609</v>
      </c>
      <c r="I949" s="238">
        <v>10</v>
      </c>
      <c r="J949" s="238">
        <v>0</v>
      </c>
      <c r="K949" s="163">
        <v>12</v>
      </c>
      <c r="L949" s="165">
        <v>1715894</v>
      </c>
      <c r="M949" s="164" t="s">
        <v>464</v>
      </c>
      <c r="N949" s="165" t="s">
        <v>610</v>
      </c>
      <c r="O949" s="51" t="s">
        <v>219</v>
      </c>
      <c r="P949" s="239" t="str">
        <f>IFERROR(VLOOKUP(C949,TD!$B$33:$F$37,2,0)," ")</f>
        <v>O230117</v>
      </c>
      <c r="Q949" s="239" t="str">
        <f>IFERROR(VLOOKUP(C949,TD!$B$33:$F$37,3,0)," ")</f>
        <v>4599</v>
      </c>
      <c r="R949" s="239">
        <f>IFERROR(VLOOKUP(C949,TD!$B$33:$F$37,4,0)," ")</f>
        <v>20240207</v>
      </c>
      <c r="S949" s="51" t="s">
        <v>185</v>
      </c>
      <c r="T949" s="186" t="str">
        <f>IFERROR(VLOOKUP(S949,TD!$J$34:$K$44,2,0)," ")</f>
        <v>Infraestructura física, mantenimiento y dotación (Sedes construidas, mantenidas reforzadas)</v>
      </c>
      <c r="U949" s="187" t="str">
        <f>CONCATENATE(S949,"-",T949)</f>
        <v>08-Infraestructura física, mantenimiento y dotación (Sedes construidas, mantenidas reforzadas)</v>
      </c>
      <c r="V949" s="51" t="s">
        <v>238</v>
      </c>
      <c r="W949" s="186" t="str">
        <f>IFERROR(VLOOKUP(V949,TD!$N$34:$O$46,2,0)," ")</f>
        <v>Sedes mantenidas</v>
      </c>
      <c r="X949" s="187" t="str">
        <f>CONCATENATE(V949,"_",W949)</f>
        <v>016_Sedes mantenidas</v>
      </c>
      <c r="Y949" s="187" t="str">
        <f>CONCATENATE(U949," ",X949)</f>
        <v>08-Infraestructura física, mantenimiento y dotación (Sedes construidas, mantenidas reforzadas) 016_Sedes mantenidas</v>
      </c>
      <c r="Z949" s="239" t="str">
        <f>CONCATENATE(P949,Q949,R949,S949,V949)</f>
        <v>O23011745992024020708016</v>
      </c>
      <c r="AA949" s="239" t="str">
        <f>IFERROR(VLOOKUP(Y949,TD!$K$47:$L$65,2,0)," ")</f>
        <v>PM/0131/0108/45990160207</v>
      </c>
      <c r="AB949" s="165" t="s">
        <v>138</v>
      </c>
      <c r="AC949" s="240" t="s">
        <v>205</v>
      </c>
    </row>
    <row r="950" spans="2:29" ht="56" x14ac:dyDescent="0.35">
      <c r="B950" s="167">
        <v>20251002</v>
      </c>
      <c r="C950" s="50" t="s">
        <v>208</v>
      </c>
      <c r="D950" s="184" t="s">
        <v>166</v>
      </c>
      <c r="E950" s="51" t="s">
        <v>558</v>
      </c>
      <c r="F950" s="237" t="s">
        <v>1194</v>
      </c>
      <c r="G950" s="237" t="s">
        <v>156</v>
      </c>
      <c r="H950" s="162" t="s">
        <v>609</v>
      </c>
      <c r="I950" s="238">
        <v>10</v>
      </c>
      <c r="J950" s="238">
        <v>1</v>
      </c>
      <c r="K950" s="163">
        <v>26</v>
      </c>
      <c r="L950" s="165">
        <v>6130746</v>
      </c>
      <c r="M950" s="164" t="s">
        <v>464</v>
      </c>
      <c r="N950" s="165" t="s">
        <v>113</v>
      </c>
      <c r="O950" s="51" t="s">
        <v>219</v>
      </c>
      <c r="P950" s="239" t="str">
        <f>IFERROR(VLOOKUP(C950,TD!$B$33:$F$37,2,0)," ")</f>
        <v>O230117</v>
      </c>
      <c r="Q950" s="239" t="str">
        <f>IFERROR(VLOOKUP(C950,TD!$B$33:$F$37,3,0)," ")</f>
        <v>4599</v>
      </c>
      <c r="R950" s="239">
        <f>IFERROR(VLOOKUP(C950,TD!$B$33:$F$37,4,0)," ")</f>
        <v>20240207</v>
      </c>
      <c r="S950" s="51" t="s">
        <v>185</v>
      </c>
      <c r="T950" s="186" t="str">
        <f>IFERROR(VLOOKUP(S950,TD!$J$34:$K$44,2,0)," ")</f>
        <v>Infraestructura física, mantenimiento y dotación (Sedes construidas, mantenidas reforzadas)</v>
      </c>
      <c r="U950" s="187" t="str">
        <f>CONCATENATE(S950,"-",T950)</f>
        <v>08-Infraestructura física, mantenimiento y dotación (Sedes construidas, mantenidas reforzadas)</v>
      </c>
      <c r="V950" s="51" t="s">
        <v>238</v>
      </c>
      <c r="W950" s="186" t="str">
        <f>IFERROR(VLOOKUP(V950,TD!$N$34:$O$46,2,0)," ")</f>
        <v>Sedes mantenidas</v>
      </c>
      <c r="X950" s="187" t="str">
        <f>CONCATENATE(V950,"_",W950)</f>
        <v>016_Sedes mantenidas</v>
      </c>
      <c r="Y950" s="187" t="str">
        <f>CONCATENATE(U950," ",X950)</f>
        <v>08-Infraestructura física, mantenimiento y dotación (Sedes construidas, mantenidas reforzadas) 016_Sedes mantenidas</v>
      </c>
      <c r="Z950" s="239" t="str">
        <f>CONCATENATE(P950,Q950,R950,S950,V950)</f>
        <v>O23011745992024020708016</v>
      </c>
      <c r="AA950" s="239" t="str">
        <f>IFERROR(VLOOKUP(Y950,TD!$K$47:$L$65,2,0)," ")</f>
        <v>PM/0131/0108/45990160207</v>
      </c>
      <c r="AB950" s="165" t="s">
        <v>138</v>
      </c>
      <c r="AC950" s="240" t="s">
        <v>205</v>
      </c>
    </row>
    <row r="951" spans="2:29" ht="56" x14ac:dyDescent="0.35">
      <c r="B951" s="167">
        <v>20251003</v>
      </c>
      <c r="C951" s="50" t="s">
        <v>208</v>
      </c>
      <c r="D951" s="184" t="s">
        <v>166</v>
      </c>
      <c r="E951" s="51" t="s">
        <v>558</v>
      </c>
      <c r="F951" s="237" t="s">
        <v>1195</v>
      </c>
      <c r="G951" s="237" t="s">
        <v>156</v>
      </c>
      <c r="H951" s="162" t="s">
        <v>609</v>
      </c>
      <c r="I951" s="238">
        <v>10</v>
      </c>
      <c r="J951" s="238">
        <v>0</v>
      </c>
      <c r="K951" s="163">
        <v>5</v>
      </c>
      <c r="L951" s="165">
        <v>547388</v>
      </c>
      <c r="M951" s="164" t="s">
        <v>464</v>
      </c>
      <c r="N951" s="165" t="s">
        <v>113</v>
      </c>
      <c r="O951" s="51" t="s">
        <v>219</v>
      </c>
      <c r="P951" s="239" t="str">
        <f>IFERROR(VLOOKUP(C951,TD!$B$33:$F$37,2,0)," ")</f>
        <v>O230117</v>
      </c>
      <c r="Q951" s="239" t="str">
        <f>IFERROR(VLOOKUP(C951,TD!$B$33:$F$37,3,0)," ")</f>
        <v>4599</v>
      </c>
      <c r="R951" s="239">
        <f>IFERROR(VLOOKUP(C951,TD!$B$33:$F$37,4,0)," ")</f>
        <v>20240207</v>
      </c>
      <c r="S951" s="51" t="s">
        <v>185</v>
      </c>
      <c r="T951" s="186" t="str">
        <f>IFERROR(VLOOKUP(S951,TD!$J$34:$K$44,2,0)," ")</f>
        <v>Infraestructura física, mantenimiento y dotación (Sedes construidas, mantenidas reforzadas)</v>
      </c>
      <c r="U951" s="187" t="str">
        <f>CONCATENATE(S951,"-",T951)</f>
        <v>08-Infraestructura física, mantenimiento y dotación (Sedes construidas, mantenidas reforzadas)</v>
      </c>
      <c r="V951" s="51" t="s">
        <v>238</v>
      </c>
      <c r="W951" s="186" t="str">
        <f>IFERROR(VLOOKUP(V951,TD!$N$34:$O$46,2,0)," ")</f>
        <v>Sedes mantenidas</v>
      </c>
      <c r="X951" s="187" t="str">
        <f>CONCATENATE(V951,"_",W951)</f>
        <v>016_Sedes mantenidas</v>
      </c>
      <c r="Y951" s="187" t="str">
        <f>CONCATENATE(U951," ",X951)</f>
        <v>08-Infraestructura física, mantenimiento y dotación (Sedes construidas, mantenidas reforzadas) 016_Sedes mantenidas</v>
      </c>
      <c r="Z951" s="239" t="str">
        <f>CONCATENATE(P951,Q951,R951,S951,V951)</f>
        <v>O23011745992024020708016</v>
      </c>
      <c r="AA951" s="239" t="str">
        <f>IFERROR(VLOOKUP(Y951,TD!$K$47:$L$65,2,0)," ")</f>
        <v>PM/0131/0108/45990160207</v>
      </c>
      <c r="AB951" s="165" t="s">
        <v>138</v>
      </c>
      <c r="AC951" s="240" t="s">
        <v>205</v>
      </c>
    </row>
    <row r="952" spans="2:29" ht="56" x14ac:dyDescent="0.35">
      <c r="B952" s="77">
        <v>20251004</v>
      </c>
      <c r="C952" s="50" t="s">
        <v>208</v>
      </c>
      <c r="D952" s="184" t="s">
        <v>166</v>
      </c>
      <c r="E952" s="51" t="s">
        <v>558</v>
      </c>
      <c r="F952" s="237" t="s">
        <v>1196</v>
      </c>
      <c r="G952" s="237" t="s">
        <v>156</v>
      </c>
      <c r="H952" s="162" t="s">
        <v>609</v>
      </c>
      <c r="I952" s="238">
        <v>10</v>
      </c>
      <c r="J952" s="238">
        <v>0</v>
      </c>
      <c r="K952" s="163">
        <v>5</v>
      </c>
      <c r="L952" s="165">
        <v>547388</v>
      </c>
      <c r="M952" s="164" t="s">
        <v>464</v>
      </c>
      <c r="N952" s="165" t="s">
        <v>113</v>
      </c>
      <c r="O952" s="51" t="s">
        <v>219</v>
      </c>
      <c r="P952" s="239" t="str">
        <f>IFERROR(VLOOKUP(C952,TD!$B$33:$F$37,2,0)," ")</f>
        <v>O230117</v>
      </c>
      <c r="Q952" s="239" t="str">
        <f>IFERROR(VLOOKUP(C952,TD!$B$33:$F$37,3,0)," ")</f>
        <v>4599</v>
      </c>
      <c r="R952" s="239">
        <f>IFERROR(VLOOKUP(C952,TD!$B$33:$F$37,4,0)," ")</f>
        <v>20240207</v>
      </c>
      <c r="S952" s="51" t="s">
        <v>185</v>
      </c>
      <c r="T952" s="186" t="str">
        <f>IFERROR(VLOOKUP(S952,TD!$J$34:$K$44,2,0)," ")</f>
        <v>Infraestructura física, mantenimiento y dotación (Sedes construidas, mantenidas reforzadas)</v>
      </c>
      <c r="U952" s="187" t="str">
        <f>CONCATENATE(S952,"-",T952)</f>
        <v>08-Infraestructura física, mantenimiento y dotación (Sedes construidas, mantenidas reforzadas)</v>
      </c>
      <c r="V952" s="51" t="s">
        <v>238</v>
      </c>
      <c r="W952" s="186" t="str">
        <f>IFERROR(VLOOKUP(V952,TD!$N$34:$O$46,2,0)," ")</f>
        <v>Sedes mantenidas</v>
      </c>
      <c r="X952" s="187" t="str">
        <f>CONCATENATE(V952,"_",W952)</f>
        <v>016_Sedes mantenidas</v>
      </c>
      <c r="Y952" s="187" t="str">
        <f>CONCATENATE(U952," ",X952)</f>
        <v>08-Infraestructura física, mantenimiento y dotación (Sedes construidas, mantenidas reforzadas) 016_Sedes mantenidas</v>
      </c>
      <c r="Z952" s="239" t="str">
        <f>CONCATENATE(P952,Q952,R952,S952,V952)</f>
        <v>O23011745992024020708016</v>
      </c>
      <c r="AA952" s="239" t="str">
        <f>IFERROR(VLOOKUP(Y952,TD!$K$47:$L$65,2,0)," ")</f>
        <v>PM/0131/0108/45990160207</v>
      </c>
      <c r="AB952" s="165" t="s">
        <v>138</v>
      </c>
      <c r="AC952" s="240" t="s">
        <v>205</v>
      </c>
    </row>
    <row r="953" spans="2:29" ht="56" x14ac:dyDescent="0.35">
      <c r="B953" s="167">
        <v>20251005</v>
      </c>
      <c r="C953" s="50" t="s">
        <v>208</v>
      </c>
      <c r="D953" s="184" t="s">
        <v>166</v>
      </c>
      <c r="E953" s="51" t="s">
        <v>558</v>
      </c>
      <c r="F953" s="237" t="s">
        <v>1197</v>
      </c>
      <c r="G953" s="237" t="s">
        <v>156</v>
      </c>
      <c r="H953" s="162" t="s">
        <v>609</v>
      </c>
      <c r="I953" s="238">
        <v>10</v>
      </c>
      <c r="J953" s="238">
        <v>1</v>
      </c>
      <c r="K953" s="163">
        <v>3</v>
      </c>
      <c r="L953" s="165">
        <v>3612761</v>
      </c>
      <c r="M953" s="164" t="s">
        <v>464</v>
      </c>
      <c r="N953" s="165" t="s">
        <v>113</v>
      </c>
      <c r="O953" s="51" t="s">
        <v>219</v>
      </c>
      <c r="P953" s="239" t="str">
        <f>IFERROR(VLOOKUP(C953,TD!$B$33:$F$37,2,0)," ")</f>
        <v>O230117</v>
      </c>
      <c r="Q953" s="239" t="str">
        <f>IFERROR(VLOOKUP(C953,TD!$B$33:$F$37,3,0)," ")</f>
        <v>4599</v>
      </c>
      <c r="R953" s="239">
        <f>IFERROR(VLOOKUP(C953,TD!$B$33:$F$37,4,0)," ")</f>
        <v>20240207</v>
      </c>
      <c r="S953" s="51" t="s">
        <v>185</v>
      </c>
      <c r="T953" s="186" t="str">
        <f>IFERROR(VLOOKUP(S953,TD!$J$34:$K$44,2,0)," ")</f>
        <v>Infraestructura física, mantenimiento y dotación (Sedes construidas, mantenidas reforzadas)</v>
      </c>
      <c r="U953" s="187" t="str">
        <f>CONCATENATE(S953,"-",T953)</f>
        <v>08-Infraestructura física, mantenimiento y dotación (Sedes construidas, mantenidas reforzadas)</v>
      </c>
      <c r="V953" s="51" t="s">
        <v>238</v>
      </c>
      <c r="W953" s="186" t="str">
        <f>IFERROR(VLOOKUP(V953,TD!$N$34:$O$46,2,0)," ")</f>
        <v>Sedes mantenidas</v>
      </c>
      <c r="X953" s="187" t="str">
        <f>CONCATENATE(V953,"_",W953)</f>
        <v>016_Sedes mantenidas</v>
      </c>
      <c r="Y953" s="187" t="str">
        <f>CONCATENATE(U953," ",X953)</f>
        <v>08-Infraestructura física, mantenimiento y dotación (Sedes construidas, mantenidas reforzadas) 016_Sedes mantenidas</v>
      </c>
      <c r="Z953" s="239" t="str">
        <f>CONCATENATE(P953,Q953,R953,S953,V953)</f>
        <v>O23011745992024020708016</v>
      </c>
      <c r="AA953" s="239" t="str">
        <f>IFERROR(VLOOKUP(Y953,TD!$K$47:$L$65,2,0)," ")</f>
        <v>PM/0131/0108/45990160207</v>
      </c>
      <c r="AB953" s="165" t="s">
        <v>138</v>
      </c>
      <c r="AC953" s="240" t="s">
        <v>205</v>
      </c>
    </row>
    <row r="954" spans="2:29" ht="56" x14ac:dyDescent="0.35">
      <c r="B954" s="167">
        <v>20251006</v>
      </c>
      <c r="C954" s="50" t="s">
        <v>208</v>
      </c>
      <c r="D954" s="184" t="s">
        <v>166</v>
      </c>
      <c r="E954" s="51" t="s">
        <v>558</v>
      </c>
      <c r="F954" s="237" t="s">
        <v>1198</v>
      </c>
      <c r="G954" s="237" t="s">
        <v>156</v>
      </c>
      <c r="H954" s="162" t="s">
        <v>609</v>
      </c>
      <c r="I954" s="238">
        <v>10</v>
      </c>
      <c r="J954" s="238">
        <v>0</v>
      </c>
      <c r="K954" s="163">
        <v>18</v>
      </c>
      <c r="L954" s="165">
        <v>1970597</v>
      </c>
      <c r="M954" s="164" t="s">
        <v>464</v>
      </c>
      <c r="N954" s="165" t="s">
        <v>113</v>
      </c>
      <c r="O954" s="51" t="s">
        <v>218</v>
      </c>
      <c r="P954" s="239" t="str">
        <f>IFERROR(VLOOKUP(C954,TD!$B$33:$F$37,2,0)," ")</f>
        <v>O230117</v>
      </c>
      <c r="Q954" s="239" t="str">
        <f>IFERROR(VLOOKUP(C954,TD!$B$33:$F$37,3,0)," ")</f>
        <v>4599</v>
      </c>
      <c r="R954" s="239">
        <f>IFERROR(VLOOKUP(C954,TD!$B$33:$F$37,4,0)," ")</f>
        <v>20240207</v>
      </c>
      <c r="S954" s="51" t="s">
        <v>185</v>
      </c>
      <c r="T954" s="186" t="str">
        <f>IFERROR(VLOOKUP(S954,TD!$J$34:$K$44,2,0)," ")</f>
        <v>Infraestructura física, mantenimiento y dotación (Sedes construidas, mantenidas reforzadas)</v>
      </c>
      <c r="U954" s="187" t="str">
        <f>CONCATENATE(S954,"-",T954)</f>
        <v>08-Infraestructura física, mantenimiento y dotación (Sedes construidas, mantenidas reforzadas)</v>
      </c>
      <c r="V954" s="51" t="s">
        <v>238</v>
      </c>
      <c r="W954" s="186" t="str">
        <f>IFERROR(VLOOKUP(V954,TD!$N$34:$O$46,2,0)," ")</f>
        <v>Sedes mantenidas</v>
      </c>
      <c r="X954" s="187" t="str">
        <f>CONCATENATE(V954,"_",W954)</f>
        <v>016_Sedes mantenidas</v>
      </c>
      <c r="Y954" s="187" t="str">
        <f>CONCATENATE(U954," ",X954)</f>
        <v>08-Infraestructura física, mantenimiento y dotación (Sedes construidas, mantenidas reforzadas) 016_Sedes mantenidas</v>
      </c>
      <c r="Z954" s="239" t="str">
        <f>CONCATENATE(P954,Q954,R954,S954,V954)</f>
        <v>O23011745992024020708016</v>
      </c>
      <c r="AA954" s="239" t="str">
        <f>IFERROR(VLOOKUP(Y954,TD!$K$47:$L$65,2,0)," ")</f>
        <v>PM/0131/0108/45990160207</v>
      </c>
      <c r="AB954" s="165" t="s">
        <v>138</v>
      </c>
      <c r="AC954" s="240" t="s">
        <v>205</v>
      </c>
    </row>
    <row r="955" spans="2:29" ht="56" x14ac:dyDescent="0.35">
      <c r="B955" s="167">
        <v>20251007</v>
      </c>
      <c r="C955" s="50" t="s">
        <v>208</v>
      </c>
      <c r="D955" s="184" t="s">
        <v>166</v>
      </c>
      <c r="E955" s="51" t="s">
        <v>558</v>
      </c>
      <c r="F955" s="237" t="s">
        <v>1199</v>
      </c>
      <c r="G955" s="237" t="s">
        <v>156</v>
      </c>
      <c r="H955" s="162" t="s">
        <v>609</v>
      </c>
      <c r="I955" s="238">
        <v>10</v>
      </c>
      <c r="J955" s="238">
        <v>1</v>
      </c>
      <c r="K955" s="163">
        <v>7</v>
      </c>
      <c r="L955" s="165">
        <v>4050671</v>
      </c>
      <c r="M955" s="164" t="s">
        <v>464</v>
      </c>
      <c r="N955" s="165" t="s">
        <v>113</v>
      </c>
      <c r="O955" s="51" t="s">
        <v>218</v>
      </c>
      <c r="P955" s="239" t="str">
        <f>IFERROR(VLOOKUP(C955,TD!$B$33:$F$37,2,0)," ")</f>
        <v>O230117</v>
      </c>
      <c r="Q955" s="239" t="str">
        <f>IFERROR(VLOOKUP(C955,TD!$B$33:$F$37,3,0)," ")</f>
        <v>4599</v>
      </c>
      <c r="R955" s="239">
        <f>IFERROR(VLOOKUP(C955,TD!$B$33:$F$37,4,0)," ")</f>
        <v>20240207</v>
      </c>
      <c r="S955" s="51" t="s">
        <v>185</v>
      </c>
      <c r="T955" s="186" t="str">
        <f>IFERROR(VLOOKUP(S955,TD!$J$34:$K$44,2,0)," ")</f>
        <v>Infraestructura física, mantenimiento y dotación (Sedes construidas, mantenidas reforzadas)</v>
      </c>
      <c r="U955" s="187" t="str">
        <f>CONCATENATE(S955,"-",T955)</f>
        <v>08-Infraestructura física, mantenimiento y dotación (Sedes construidas, mantenidas reforzadas)</v>
      </c>
      <c r="V955" s="51" t="s">
        <v>238</v>
      </c>
      <c r="W955" s="186" t="str">
        <f>IFERROR(VLOOKUP(V955,TD!$N$34:$O$46,2,0)," ")</f>
        <v>Sedes mantenidas</v>
      </c>
      <c r="X955" s="187" t="str">
        <f>CONCATENATE(V955,"_",W955)</f>
        <v>016_Sedes mantenidas</v>
      </c>
      <c r="Y955" s="187" t="str">
        <f>CONCATENATE(U955," ",X955)</f>
        <v>08-Infraestructura física, mantenimiento y dotación (Sedes construidas, mantenidas reforzadas) 016_Sedes mantenidas</v>
      </c>
      <c r="Z955" s="239" t="str">
        <f>CONCATENATE(P955,Q955,R955,S955,V955)</f>
        <v>O23011745992024020708016</v>
      </c>
      <c r="AA955" s="239" t="str">
        <f>IFERROR(VLOOKUP(Y955,TD!$K$47:$L$65,2,0)," ")</f>
        <v>PM/0131/0108/45990160207</v>
      </c>
      <c r="AB955" s="165" t="s">
        <v>138</v>
      </c>
      <c r="AC955" s="240" t="s">
        <v>205</v>
      </c>
    </row>
    <row r="956" spans="2:29" ht="56" x14ac:dyDescent="0.35">
      <c r="B956" s="132">
        <v>20251008</v>
      </c>
      <c r="C956" s="50" t="s">
        <v>208</v>
      </c>
      <c r="D956" s="184" t="s">
        <v>166</v>
      </c>
      <c r="E956" s="51" t="s">
        <v>558</v>
      </c>
      <c r="F956" s="237" t="s">
        <v>1200</v>
      </c>
      <c r="G956" s="237" t="s">
        <v>156</v>
      </c>
      <c r="H956" s="162" t="s">
        <v>609</v>
      </c>
      <c r="I956" s="238">
        <v>10</v>
      </c>
      <c r="J956" s="238">
        <v>0</v>
      </c>
      <c r="K956" s="163">
        <v>16</v>
      </c>
      <c r="L956" s="165">
        <v>1751642</v>
      </c>
      <c r="M956" s="164" t="s">
        <v>464</v>
      </c>
      <c r="N956" s="165" t="s">
        <v>113</v>
      </c>
      <c r="O956" s="51" t="s">
        <v>218</v>
      </c>
      <c r="P956" s="239" t="str">
        <f>IFERROR(VLOOKUP(C956,TD!$B$33:$F$37,2,0)," ")</f>
        <v>O230117</v>
      </c>
      <c r="Q956" s="239" t="str">
        <f>IFERROR(VLOOKUP(C956,TD!$B$33:$F$37,3,0)," ")</f>
        <v>4599</v>
      </c>
      <c r="R956" s="239">
        <f>IFERROR(VLOOKUP(C956,TD!$B$33:$F$37,4,0)," ")</f>
        <v>20240207</v>
      </c>
      <c r="S956" s="51" t="s">
        <v>185</v>
      </c>
      <c r="T956" s="186" t="str">
        <f>IFERROR(VLOOKUP(S956,TD!$J$34:$K$44,2,0)," ")</f>
        <v>Infraestructura física, mantenimiento y dotación (Sedes construidas, mantenidas reforzadas)</v>
      </c>
      <c r="U956" s="187" t="str">
        <f>CONCATENATE(S956,"-",T956)</f>
        <v>08-Infraestructura física, mantenimiento y dotación (Sedes construidas, mantenidas reforzadas)</v>
      </c>
      <c r="V956" s="51" t="s">
        <v>238</v>
      </c>
      <c r="W956" s="186" t="str">
        <f>IFERROR(VLOOKUP(V956,TD!$N$34:$O$46,2,0)," ")</f>
        <v>Sedes mantenidas</v>
      </c>
      <c r="X956" s="187" t="str">
        <f>CONCATENATE(V956,"_",W956)</f>
        <v>016_Sedes mantenidas</v>
      </c>
      <c r="Y956" s="187" t="str">
        <f>CONCATENATE(U956," ",X956)</f>
        <v>08-Infraestructura física, mantenimiento y dotación (Sedes construidas, mantenidas reforzadas) 016_Sedes mantenidas</v>
      </c>
      <c r="Z956" s="239" t="str">
        <f>CONCATENATE(P956,Q956,R956,S956,V956)</f>
        <v>O23011745992024020708016</v>
      </c>
      <c r="AA956" s="239" t="str">
        <f>IFERROR(VLOOKUP(Y956,TD!$K$47:$L$65,2,0)," ")</f>
        <v>PM/0131/0108/45990160207</v>
      </c>
      <c r="AB956" s="165" t="s">
        <v>138</v>
      </c>
      <c r="AC956" s="240" t="s">
        <v>205</v>
      </c>
    </row>
    <row r="957" spans="2:29" ht="56" x14ac:dyDescent="0.35">
      <c r="B957" s="167">
        <v>20251009</v>
      </c>
      <c r="C957" s="50" t="s">
        <v>208</v>
      </c>
      <c r="D957" s="184" t="s">
        <v>166</v>
      </c>
      <c r="E957" s="51" t="s">
        <v>558</v>
      </c>
      <c r="F957" s="237" t="s">
        <v>1201</v>
      </c>
      <c r="G957" s="237" t="s">
        <v>155</v>
      </c>
      <c r="H957" s="162" t="s">
        <v>609</v>
      </c>
      <c r="I957" s="238">
        <v>10</v>
      </c>
      <c r="J957" s="238">
        <v>1</v>
      </c>
      <c r="K957" s="163">
        <v>7</v>
      </c>
      <c r="L957" s="165">
        <v>11242679</v>
      </c>
      <c r="M957" s="164" t="s">
        <v>464</v>
      </c>
      <c r="N957" s="165" t="s">
        <v>113</v>
      </c>
      <c r="O957" s="51" t="s">
        <v>219</v>
      </c>
      <c r="P957" s="239" t="str">
        <f>IFERROR(VLOOKUP(C957,TD!$B$33:$F$37,2,0)," ")</f>
        <v>O230117</v>
      </c>
      <c r="Q957" s="239" t="str">
        <f>IFERROR(VLOOKUP(C957,TD!$B$33:$F$37,3,0)," ")</f>
        <v>4599</v>
      </c>
      <c r="R957" s="239">
        <f>IFERROR(VLOOKUP(C957,TD!$B$33:$F$37,4,0)," ")</f>
        <v>20240207</v>
      </c>
      <c r="S957" s="51" t="s">
        <v>185</v>
      </c>
      <c r="T957" s="186" t="str">
        <f>IFERROR(VLOOKUP(S957,TD!$J$34:$K$44,2,0)," ")</f>
        <v>Infraestructura física, mantenimiento y dotación (Sedes construidas, mantenidas reforzadas)</v>
      </c>
      <c r="U957" s="187" t="str">
        <f>CONCATENATE(S957,"-",T957)</f>
        <v>08-Infraestructura física, mantenimiento y dotación (Sedes construidas, mantenidas reforzadas)</v>
      </c>
      <c r="V957" s="51" t="s">
        <v>238</v>
      </c>
      <c r="W957" s="186" t="str">
        <f>IFERROR(VLOOKUP(V957,TD!$N$34:$O$46,2,0)," ")</f>
        <v>Sedes mantenidas</v>
      </c>
      <c r="X957" s="187" t="str">
        <f>CONCATENATE(V957,"_",W957)</f>
        <v>016_Sedes mantenidas</v>
      </c>
      <c r="Y957" s="187" t="str">
        <f>CONCATENATE(U957," ",X957)</f>
        <v>08-Infraestructura física, mantenimiento y dotación (Sedes construidas, mantenidas reforzadas) 016_Sedes mantenidas</v>
      </c>
      <c r="Z957" s="239" t="str">
        <f>CONCATENATE(P957,Q957,R957,S957,V957)</f>
        <v>O23011745992024020708016</v>
      </c>
      <c r="AA957" s="239" t="str">
        <f>IFERROR(VLOOKUP(Y957,TD!$K$47:$L$65,2,0)," ")</f>
        <v>PM/0131/0108/45990160207</v>
      </c>
      <c r="AB957" s="165" t="s">
        <v>138</v>
      </c>
      <c r="AC957" s="240" t="s">
        <v>205</v>
      </c>
    </row>
    <row r="958" spans="2:29" ht="56" x14ac:dyDescent="0.35">
      <c r="B958" s="167">
        <v>20251010</v>
      </c>
      <c r="C958" s="50" t="s">
        <v>208</v>
      </c>
      <c r="D958" s="184" t="s">
        <v>166</v>
      </c>
      <c r="E958" s="51" t="s">
        <v>558</v>
      </c>
      <c r="F958" s="237" t="s">
        <v>1202</v>
      </c>
      <c r="G958" s="237" t="s">
        <v>155</v>
      </c>
      <c r="H958" s="162" t="s">
        <v>609</v>
      </c>
      <c r="I958" s="238">
        <v>10</v>
      </c>
      <c r="J958" s="238">
        <v>1</v>
      </c>
      <c r="K958" s="163">
        <v>0</v>
      </c>
      <c r="L958" s="165">
        <v>5161087</v>
      </c>
      <c r="M958" s="164" t="s">
        <v>464</v>
      </c>
      <c r="N958" s="165" t="s">
        <v>113</v>
      </c>
      <c r="O958" s="51" t="s">
        <v>219</v>
      </c>
      <c r="P958" s="239" t="str">
        <f>IFERROR(VLOOKUP(C958,TD!$B$33:$F$37,2,0)," ")</f>
        <v>O230117</v>
      </c>
      <c r="Q958" s="239" t="str">
        <f>IFERROR(VLOOKUP(C958,TD!$B$33:$F$37,3,0)," ")</f>
        <v>4599</v>
      </c>
      <c r="R958" s="239">
        <f>IFERROR(VLOOKUP(C958,TD!$B$33:$F$37,4,0)," ")</f>
        <v>20240207</v>
      </c>
      <c r="S958" s="51" t="s">
        <v>185</v>
      </c>
      <c r="T958" s="186" t="str">
        <f>IFERROR(VLOOKUP(S958,TD!$J$34:$K$44,2,0)," ")</f>
        <v>Infraestructura física, mantenimiento y dotación (Sedes construidas, mantenidas reforzadas)</v>
      </c>
      <c r="U958" s="187" t="str">
        <f>CONCATENATE(S958,"-",T958)</f>
        <v>08-Infraestructura física, mantenimiento y dotación (Sedes construidas, mantenidas reforzadas)</v>
      </c>
      <c r="V958" s="51" t="s">
        <v>238</v>
      </c>
      <c r="W958" s="186" t="str">
        <f>IFERROR(VLOOKUP(V958,TD!$N$34:$O$46,2,0)," ")</f>
        <v>Sedes mantenidas</v>
      </c>
      <c r="X958" s="187" t="str">
        <f>CONCATENATE(V958,"_",W958)</f>
        <v>016_Sedes mantenidas</v>
      </c>
      <c r="Y958" s="187" t="str">
        <f>CONCATENATE(U958," ",X958)</f>
        <v>08-Infraestructura física, mantenimiento y dotación (Sedes construidas, mantenidas reforzadas) 016_Sedes mantenidas</v>
      </c>
      <c r="Z958" s="239" t="str">
        <f>CONCATENATE(P958,Q958,R958,S958,V958)</f>
        <v>O23011745992024020708016</v>
      </c>
      <c r="AA958" s="239" t="str">
        <f>IFERROR(VLOOKUP(Y958,TD!$K$47:$L$65,2,0)," ")</f>
        <v>PM/0131/0108/45990160207</v>
      </c>
      <c r="AB958" s="165" t="s">
        <v>138</v>
      </c>
      <c r="AC958" s="240" t="s">
        <v>205</v>
      </c>
    </row>
    <row r="959" spans="2:29" ht="56" x14ac:dyDescent="0.35">
      <c r="B959" s="167">
        <v>20251011</v>
      </c>
      <c r="C959" s="50" t="s">
        <v>208</v>
      </c>
      <c r="D959" s="184" t="s">
        <v>166</v>
      </c>
      <c r="E959" s="51" t="s">
        <v>558</v>
      </c>
      <c r="F959" s="237" t="s">
        <v>1203</v>
      </c>
      <c r="G959" s="237" t="s">
        <v>155</v>
      </c>
      <c r="H959" s="162" t="s">
        <v>609</v>
      </c>
      <c r="I959" s="238">
        <v>10</v>
      </c>
      <c r="J959" s="238">
        <v>0</v>
      </c>
      <c r="K959" s="163">
        <v>7</v>
      </c>
      <c r="L959" s="165">
        <v>1204254</v>
      </c>
      <c r="M959" s="164" t="s">
        <v>464</v>
      </c>
      <c r="N959" s="165" t="s">
        <v>113</v>
      </c>
      <c r="O959" s="51" t="s">
        <v>218</v>
      </c>
      <c r="P959" s="239" t="str">
        <f>IFERROR(VLOOKUP(C959,TD!$B$33:$F$37,2,0)," ")</f>
        <v>O230117</v>
      </c>
      <c r="Q959" s="239" t="str">
        <f>IFERROR(VLOOKUP(C959,TD!$B$33:$F$37,3,0)," ")</f>
        <v>4599</v>
      </c>
      <c r="R959" s="239">
        <f>IFERROR(VLOOKUP(C959,TD!$B$33:$F$37,4,0)," ")</f>
        <v>20240207</v>
      </c>
      <c r="S959" s="51" t="s">
        <v>185</v>
      </c>
      <c r="T959" s="186" t="str">
        <f>IFERROR(VLOOKUP(S959,TD!$J$34:$K$44,2,0)," ")</f>
        <v>Infraestructura física, mantenimiento y dotación (Sedes construidas, mantenidas reforzadas)</v>
      </c>
      <c r="U959" s="187" t="str">
        <f>CONCATENATE(S959,"-",T959)</f>
        <v>08-Infraestructura física, mantenimiento y dotación (Sedes construidas, mantenidas reforzadas)</v>
      </c>
      <c r="V959" s="51" t="s">
        <v>238</v>
      </c>
      <c r="W959" s="186" t="str">
        <f>IFERROR(VLOOKUP(V959,TD!$N$34:$O$46,2,0)," ")</f>
        <v>Sedes mantenidas</v>
      </c>
      <c r="X959" s="187" t="str">
        <f>CONCATENATE(V959,"_",W959)</f>
        <v>016_Sedes mantenidas</v>
      </c>
      <c r="Y959" s="187" t="str">
        <f>CONCATENATE(U959," ",X959)</f>
        <v>08-Infraestructura física, mantenimiento y dotación (Sedes construidas, mantenidas reforzadas) 016_Sedes mantenidas</v>
      </c>
      <c r="Z959" s="239" t="str">
        <f>CONCATENATE(P959,Q959,R959,S959,V959)</f>
        <v>O23011745992024020708016</v>
      </c>
      <c r="AA959" s="239" t="str">
        <f>IFERROR(VLOOKUP(Y959,TD!$K$47:$L$65,2,0)," ")</f>
        <v>PM/0131/0108/45990160207</v>
      </c>
      <c r="AB959" s="165" t="s">
        <v>138</v>
      </c>
      <c r="AC959" s="240" t="s">
        <v>205</v>
      </c>
    </row>
    <row r="960" spans="2:29" ht="56" x14ac:dyDescent="0.35">
      <c r="B960" s="167">
        <v>20251012</v>
      </c>
      <c r="C960" s="50" t="s">
        <v>208</v>
      </c>
      <c r="D960" s="184" t="s">
        <v>166</v>
      </c>
      <c r="E960" s="51" t="s">
        <v>558</v>
      </c>
      <c r="F960" s="237" t="s">
        <v>1204</v>
      </c>
      <c r="G960" s="237" t="s">
        <v>155</v>
      </c>
      <c r="H960" s="162" t="s">
        <v>609</v>
      </c>
      <c r="I960" s="238">
        <v>10</v>
      </c>
      <c r="J960" s="238">
        <v>0</v>
      </c>
      <c r="K960" s="163">
        <v>22</v>
      </c>
      <c r="L960" s="165">
        <v>5133333</v>
      </c>
      <c r="M960" s="164" t="s">
        <v>464</v>
      </c>
      <c r="N960" s="165" t="s">
        <v>113</v>
      </c>
      <c r="O960" s="51" t="s">
        <v>219</v>
      </c>
      <c r="P960" s="239" t="str">
        <f>IFERROR(VLOOKUP(C960,TD!$B$33:$F$37,2,0)," ")</f>
        <v>O230117</v>
      </c>
      <c r="Q960" s="239" t="str">
        <f>IFERROR(VLOOKUP(C960,TD!$B$33:$F$37,3,0)," ")</f>
        <v>4599</v>
      </c>
      <c r="R960" s="239">
        <f>IFERROR(VLOOKUP(C960,TD!$B$33:$F$37,4,0)," ")</f>
        <v>20240207</v>
      </c>
      <c r="S960" s="51" t="s">
        <v>185</v>
      </c>
      <c r="T960" s="186" t="str">
        <f>IFERROR(VLOOKUP(S960,TD!$J$34:$K$44,2,0)," ")</f>
        <v>Infraestructura física, mantenimiento y dotación (Sedes construidas, mantenidas reforzadas)</v>
      </c>
      <c r="U960" s="187" t="str">
        <f>CONCATENATE(S960,"-",T960)</f>
        <v>08-Infraestructura física, mantenimiento y dotación (Sedes construidas, mantenidas reforzadas)</v>
      </c>
      <c r="V960" s="51" t="s">
        <v>238</v>
      </c>
      <c r="W960" s="186" t="str">
        <f>IFERROR(VLOOKUP(V960,TD!$N$34:$O$46,2,0)," ")</f>
        <v>Sedes mantenidas</v>
      </c>
      <c r="X960" s="187" t="str">
        <f>CONCATENATE(V960,"_",W960)</f>
        <v>016_Sedes mantenidas</v>
      </c>
      <c r="Y960" s="187" t="str">
        <f>CONCATENATE(U960," ",X960)</f>
        <v>08-Infraestructura física, mantenimiento y dotación (Sedes construidas, mantenidas reforzadas) 016_Sedes mantenidas</v>
      </c>
      <c r="Z960" s="239" t="str">
        <f>CONCATENATE(P960,Q960,R960,S960,V960)</f>
        <v>O23011745992024020708016</v>
      </c>
      <c r="AA960" s="239" t="str">
        <f>IFERROR(VLOOKUP(Y960,TD!$K$47:$L$65,2,0)," ")</f>
        <v>PM/0131/0108/45990160207</v>
      </c>
      <c r="AB960" s="165" t="s">
        <v>138</v>
      </c>
      <c r="AC960" s="240" t="s">
        <v>205</v>
      </c>
    </row>
    <row r="961" spans="2:29" ht="56" x14ac:dyDescent="0.35">
      <c r="B961" s="167">
        <v>20251013</v>
      </c>
      <c r="C961" s="50" t="s">
        <v>208</v>
      </c>
      <c r="D961" s="184" t="s">
        <v>166</v>
      </c>
      <c r="E961" s="51" t="s">
        <v>558</v>
      </c>
      <c r="F961" s="237" t="s">
        <v>1205</v>
      </c>
      <c r="G961" s="237" t="s">
        <v>137</v>
      </c>
      <c r="H961" s="162" t="s">
        <v>406</v>
      </c>
      <c r="I961" s="238" t="s">
        <v>406</v>
      </c>
      <c r="J961" s="238" t="s">
        <v>406</v>
      </c>
      <c r="K961" s="163" t="s">
        <v>406</v>
      </c>
      <c r="L961" s="165">
        <v>833333</v>
      </c>
      <c r="M961" s="164" t="s">
        <v>173</v>
      </c>
      <c r="N961" s="165" t="s">
        <v>128</v>
      </c>
      <c r="O961" s="51" t="s">
        <v>218</v>
      </c>
      <c r="P961" s="239" t="str">
        <f>IFERROR(VLOOKUP(C961,TD!$B$33:$F$37,2,0)," ")</f>
        <v>O230117</v>
      </c>
      <c r="Q961" s="239" t="str">
        <f>IFERROR(VLOOKUP(C961,TD!$B$33:$F$37,3,0)," ")</f>
        <v>4599</v>
      </c>
      <c r="R961" s="239">
        <f>IFERROR(VLOOKUP(C961,TD!$B$33:$F$37,4,0)," ")</f>
        <v>20240207</v>
      </c>
      <c r="S961" s="51" t="s">
        <v>185</v>
      </c>
      <c r="T961" s="186" t="str">
        <f>IFERROR(VLOOKUP(S961,TD!$J$34:$K$44,2,0)," ")</f>
        <v>Infraestructura física, mantenimiento y dotación (Sedes construidas, mantenidas reforzadas)</v>
      </c>
      <c r="U961" s="187" t="str">
        <f>CONCATENATE(S961,"-",T961)</f>
        <v>08-Infraestructura física, mantenimiento y dotación (Sedes construidas, mantenidas reforzadas)</v>
      </c>
      <c r="V961" s="51" t="s">
        <v>238</v>
      </c>
      <c r="W961" s="186" t="str">
        <f>IFERROR(VLOOKUP(V961,TD!$N$34:$O$46,2,0)," ")</f>
        <v>Sedes mantenidas</v>
      </c>
      <c r="X961" s="187" t="str">
        <f>CONCATENATE(V961,"_",W961)</f>
        <v>016_Sedes mantenidas</v>
      </c>
      <c r="Y961" s="187" t="str">
        <f>CONCATENATE(U961," ",X961)</f>
        <v>08-Infraestructura física, mantenimiento y dotación (Sedes construidas, mantenidas reforzadas) 016_Sedes mantenidas</v>
      </c>
      <c r="Z961" s="239" t="str">
        <f>CONCATENATE(P961,Q961,R961,S961,V961)</f>
        <v>O23011745992024020708016</v>
      </c>
      <c r="AA961" s="239" t="str">
        <f>IFERROR(VLOOKUP(Y961,TD!$K$47:$L$65,2,0)," ")</f>
        <v>PM/0131/0108/45990160207</v>
      </c>
      <c r="AB961" s="165" t="s">
        <v>138</v>
      </c>
      <c r="AC961" s="240" t="s">
        <v>205</v>
      </c>
    </row>
    <row r="962" spans="2:29" ht="56" x14ac:dyDescent="0.35">
      <c r="B962" s="132">
        <v>20251014</v>
      </c>
      <c r="C962" s="50" t="s">
        <v>208</v>
      </c>
      <c r="D962" s="184" t="s">
        <v>166</v>
      </c>
      <c r="E962" s="51" t="s">
        <v>558</v>
      </c>
      <c r="F962" s="237" t="s">
        <v>1206</v>
      </c>
      <c r="G962" s="237" t="s">
        <v>137</v>
      </c>
      <c r="H962" s="162" t="s">
        <v>406</v>
      </c>
      <c r="I962" s="238" t="s">
        <v>406</v>
      </c>
      <c r="J962" s="238" t="s">
        <v>406</v>
      </c>
      <c r="K962" s="163" t="s">
        <v>406</v>
      </c>
      <c r="L962" s="165">
        <v>1833333</v>
      </c>
      <c r="M962" s="164" t="s">
        <v>173</v>
      </c>
      <c r="N962" s="165" t="s">
        <v>128</v>
      </c>
      <c r="O962" s="51" t="s">
        <v>218</v>
      </c>
      <c r="P962" s="239" t="str">
        <f>IFERROR(VLOOKUP(C962,TD!$B$33:$F$37,2,0)," ")</f>
        <v>O230117</v>
      </c>
      <c r="Q962" s="239" t="str">
        <f>IFERROR(VLOOKUP(C962,TD!$B$33:$F$37,3,0)," ")</f>
        <v>4599</v>
      </c>
      <c r="R962" s="239">
        <f>IFERROR(VLOOKUP(C962,TD!$B$33:$F$37,4,0)," ")</f>
        <v>20240207</v>
      </c>
      <c r="S962" s="51" t="s">
        <v>185</v>
      </c>
      <c r="T962" s="186" t="str">
        <f>IFERROR(VLOOKUP(S962,TD!$J$34:$K$44,2,0)," ")</f>
        <v>Infraestructura física, mantenimiento y dotación (Sedes construidas, mantenidas reforzadas)</v>
      </c>
      <c r="U962" s="187" t="str">
        <f>CONCATENATE(S962,"-",T962)</f>
        <v>08-Infraestructura física, mantenimiento y dotación (Sedes construidas, mantenidas reforzadas)</v>
      </c>
      <c r="V962" s="51" t="s">
        <v>238</v>
      </c>
      <c r="W962" s="186" t="str">
        <f>IFERROR(VLOOKUP(V962,TD!$N$34:$O$46,2,0)," ")</f>
        <v>Sedes mantenidas</v>
      </c>
      <c r="X962" s="187" t="str">
        <f>CONCATENATE(V962,"_",W962)</f>
        <v>016_Sedes mantenidas</v>
      </c>
      <c r="Y962" s="187" t="str">
        <f>CONCATENATE(U962," ",X962)</f>
        <v>08-Infraestructura física, mantenimiento y dotación (Sedes construidas, mantenidas reforzadas) 016_Sedes mantenidas</v>
      </c>
      <c r="Z962" s="239" t="str">
        <f>CONCATENATE(P962,Q962,R962,S962,V962)</f>
        <v>O23011745992024020708016</v>
      </c>
      <c r="AA962" s="239" t="str">
        <f>IFERROR(VLOOKUP(Y962,TD!$K$47:$L$65,2,0)," ")</f>
        <v>PM/0131/0108/45990160207</v>
      </c>
      <c r="AB962" s="165" t="s">
        <v>138</v>
      </c>
      <c r="AC962" s="240" t="s">
        <v>205</v>
      </c>
    </row>
    <row r="963" spans="2:29" ht="56" x14ac:dyDescent="0.35">
      <c r="B963" s="167">
        <v>20251015</v>
      </c>
      <c r="C963" s="50" t="s">
        <v>208</v>
      </c>
      <c r="D963" s="184" t="s">
        <v>166</v>
      </c>
      <c r="E963" s="51" t="s">
        <v>558</v>
      </c>
      <c r="F963" s="237" t="s">
        <v>1207</v>
      </c>
      <c r="G963" s="237" t="s">
        <v>137</v>
      </c>
      <c r="H963" s="162" t="s">
        <v>406</v>
      </c>
      <c r="I963" s="238" t="s">
        <v>406</v>
      </c>
      <c r="J963" s="238" t="s">
        <v>406</v>
      </c>
      <c r="K963" s="163" t="s">
        <v>406</v>
      </c>
      <c r="L963" s="165">
        <v>1689258</v>
      </c>
      <c r="M963" s="164" t="s">
        <v>173</v>
      </c>
      <c r="N963" s="165" t="s">
        <v>128</v>
      </c>
      <c r="O963" s="51" t="s">
        <v>218</v>
      </c>
      <c r="P963" s="239" t="str">
        <f>IFERROR(VLOOKUP(C963,TD!$B$33:$F$37,2,0)," ")</f>
        <v>O230117</v>
      </c>
      <c r="Q963" s="239" t="str">
        <f>IFERROR(VLOOKUP(C963,TD!$B$33:$F$37,3,0)," ")</f>
        <v>4599</v>
      </c>
      <c r="R963" s="239">
        <f>IFERROR(VLOOKUP(C963,TD!$B$33:$F$37,4,0)," ")</f>
        <v>20240207</v>
      </c>
      <c r="S963" s="51" t="s">
        <v>185</v>
      </c>
      <c r="T963" s="186" t="str">
        <f>IFERROR(VLOOKUP(S963,TD!$J$34:$K$44,2,0)," ")</f>
        <v>Infraestructura física, mantenimiento y dotación (Sedes construidas, mantenidas reforzadas)</v>
      </c>
      <c r="U963" s="187" t="str">
        <f>CONCATENATE(S963,"-",T963)</f>
        <v>08-Infraestructura física, mantenimiento y dotación (Sedes construidas, mantenidas reforzadas)</v>
      </c>
      <c r="V963" s="51" t="s">
        <v>238</v>
      </c>
      <c r="W963" s="186" t="str">
        <f>IFERROR(VLOOKUP(V963,TD!$N$34:$O$46,2,0)," ")</f>
        <v>Sedes mantenidas</v>
      </c>
      <c r="X963" s="187" t="str">
        <f>CONCATENATE(V963,"_",W963)</f>
        <v>016_Sedes mantenidas</v>
      </c>
      <c r="Y963" s="187" t="str">
        <f>CONCATENATE(U963," ",X963)</f>
        <v>08-Infraestructura física, mantenimiento y dotación (Sedes construidas, mantenidas reforzadas) 016_Sedes mantenidas</v>
      </c>
      <c r="Z963" s="239" t="str">
        <f>CONCATENATE(P963,Q963,R963,S963,V963)</f>
        <v>O23011745992024020708016</v>
      </c>
      <c r="AA963" s="239" t="str">
        <f>IFERROR(VLOOKUP(Y963,TD!$K$47:$L$65,2,0)," ")</f>
        <v>PM/0131/0108/45990160207</v>
      </c>
      <c r="AB963" s="165" t="s">
        <v>138</v>
      </c>
      <c r="AC963" s="240" t="s">
        <v>205</v>
      </c>
    </row>
    <row r="964" spans="2:29" ht="56" x14ac:dyDescent="0.35">
      <c r="B964" s="167">
        <v>20251016</v>
      </c>
      <c r="C964" s="50" t="s">
        <v>208</v>
      </c>
      <c r="D964" s="184" t="s">
        <v>166</v>
      </c>
      <c r="E964" s="51" t="s">
        <v>558</v>
      </c>
      <c r="F964" s="237" t="s">
        <v>1208</v>
      </c>
      <c r="G964" s="237" t="s">
        <v>137</v>
      </c>
      <c r="H964" s="162" t="s">
        <v>406</v>
      </c>
      <c r="I964" s="238" t="s">
        <v>406</v>
      </c>
      <c r="J964" s="238" t="s">
        <v>406</v>
      </c>
      <c r="K964" s="163" t="s">
        <v>406</v>
      </c>
      <c r="L964" s="165">
        <v>533333</v>
      </c>
      <c r="M964" s="164" t="s">
        <v>173</v>
      </c>
      <c r="N964" s="165" t="s">
        <v>128</v>
      </c>
      <c r="O964" s="51" t="s">
        <v>219</v>
      </c>
      <c r="P964" s="239" t="str">
        <f>IFERROR(VLOOKUP(C964,TD!$B$33:$F$37,2,0)," ")</f>
        <v>O230117</v>
      </c>
      <c r="Q964" s="239" t="str">
        <f>IFERROR(VLOOKUP(C964,TD!$B$33:$F$37,3,0)," ")</f>
        <v>4599</v>
      </c>
      <c r="R964" s="239">
        <f>IFERROR(VLOOKUP(C964,TD!$B$33:$F$37,4,0)," ")</f>
        <v>20240207</v>
      </c>
      <c r="S964" s="51" t="s">
        <v>185</v>
      </c>
      <c r="T964" s="186" t="str">
        <f>IFERROR(VLOOKUP(S964,TD!$J$34:$K$44,2,0)," ")</f>
        <v>Infraestructura física, mantenimiento y dotación (Sedes construidas, mantenidas reforzadas)</v>
      </c>
      <c r="U964" s="187" t="str">
        <f>CONCATENATE(S964,"-",T964)</f>
        <v>08-Infraestructura física, mantenimiento y dotación (Sedes construidas, mantenidas reforzadas)</v>
      </c>
      <c r="V964" s="51" t="s">
        <v>238</v>
      </c>
      <c r="W964" s="186" t="str">
        <f>IFERROR(VLOOKUP(V964,TD!$N$34:$O$46,2,0)," ")</f>
        <v>Sedes mantenidas</v>
      </c>
      <c r="X964" s="187" t="str">
        <f>CONCATENATE(V964,"_",W964)</f>
        <v>016_Sedes mantenidas</v>
      </c>
      <c r="Y964" s="187" t="str">
        <f>CONCATENATE(U964," ",X964)</f>
        <v>08-Infraestructura física, mantenimiento y dotación (Sedes construidas, mantenidas reforzadas) 016_Sedes mantenidas</v>
      </c>
      <c r="Z964" s="239" t="str">
        <f>CONCATENATE(P964,Q964,R964,S964,V964)</f>
        <v>O23011745992024020708016</v>
      </c>
      <c r="AA964" s="239" t="str">
        <f>IFERROR(VLOOKUP(Y964,TD!$K$47:$L$65,2,0)," ")</f>
        <v>PM/0131/0108/45990160207</v>
      </c>
      <c r="AB964" s="165" t="s">
        <v>120</v>
      </c>
      <c r="AC964" s="240" t="s">
        <v>205</v>
      </c>
    </row>
    <row r="965" spans="2:29" ht="56" x14ac:dyDescent="0.35">
      <c r="B965" s="167">
        <v>20251017</v>
      </c>
      <c r="C965" s="166" t="s">
        <v>209</v>
      </c>
      <c r="D965" s="237" t="s">
        <v>166</v>
      </c>
      <c r="E965" s="51" t="s">
        <v>558</v>
      </c>
      <c r="F965" s="237" t="s">
        <v>1209</v>
      </c>
      <c r="G965" s="237" t="s">
        <v>155</v>
      </c>
      <c r="H965" s="162" t="s">
        <v>609</v>
      </c>
      <c r="I965" s="238">
        <v>10</v>
      </c>
      <c r="J965" s="238">
        <v>1</v>
      </c>
      <c r="K965" s="163">
        <v>22</v>
      </c>
      <c r="L965" s="165">
        <v>15600000</v>
      </c>
      <c r="M965" s="164" t="s">
        <v>464</v>
      </c>
      <c r="N965" s="165" t="s">
        <v>610</v>
      </c>
      <c r="O965" s="51" t="s">
        <v>227</v>
      </c>
      <c r="P965" s="239" t="str">
        <f>IFERROR(VLOOKUP(C965,TD!$B$33:$F$37,2,0)," ")</f>
        <v>O230117</v>
      </c>
      <c r="Q965" s="239" t="str">
        <f>IFERROR(VLOOKUP(C965,TD!$B$33:$F$37,3,0)," ")</f>
        <v>4503</v>
      </c>
      <c r="R965" s="239">
        <f>IFERROR(VLOOKUP(C965,TD!$B$33:$F$37,4,0)," ")</f>
        <v>20240255</v>
      </c>
      <c r="S965" s="51" t="s">
        <v>185</v>
      </c>
      <c r="T965" s="186" t="str">
        <f>IFERROR(VLOOKUP(S965,TD!$J$34:$K$44,2,0)," ")</f>
        <v>Infraestructura física, mantenimiento y dotación (Sedes construidas, mantenidas reforzadas)</v>
      </c>
      <c r="U965" s="187" t="str">
        <f>CONCATENATE(S965,"-",T965)</f>
        <v>08-Infraestructura física, mantenimiento y dotación (Sedes construidas, mantenidas reforzadas)</v>
      </c>
      <c r="V965" s="51" t="s">
        <v>236</v>
      </c>
      <c r="W965" s="186" t="str">
        <f>IFERROR(VLOOKUP(V965,TD!$N$34:$O$46,2,0)," ")</f>
        <v>Estaciones de bomberos adecuadas</v>
      </c>
      <c r="X965" s="187" t="str">
        <f>CONCATENATE(V965,"_",W965)</f>
        <v>014_Estaciones de bomberos adecuadas</v>
      </c>
      <c r="Y965" s="187" t="str">
        <f>CONCATENATE(U965," ",X965)</f>
        <v>08-Infraestructura física, mantenimiento y dotación (Sedes construidas, mantenidas reforzadas) 014_Estaciones de bomberos adecuadas</v>
      </c>
      <c r="Z965" s="239" t="str">
        <f>CONCATENATE(P965,Q965,R965,S965,V965)</f>
        <v>O23011745032024025508014</v>
      </c>
      <c r="AA965" s="239" t="str">
        <f>IFERROR(VLOOKUP(Y965,TD!$K$47:$L$65,2,0)," ")</f>
        <v>PM/0131/0108/45030140255</v>
      </c>
      <c r="AB965" s="165" t="s">
        <v>665</v>
      </c>
      <c r="AC965" s="240" t="s">
        <v>205</v>
      </c>
    </row>
    <row r="966" spans="2:29" ht="56" x14ac:dyDescent="0.35">
      <c r="B966" s="167">
        <v>20251018</v>
      </c>
      <c r="C966" s="166" t="s">
        <v>209</v>
      </c>
      <c r="D966" s="237" t="s">
        <v>166</v>
      </c>
      <c r="E966" s="51" t="s">
        <v>558</v>
      </c>
      <c r="F966" s="237" t="s">
        <v>1210</v>
      </c>
      <c r="G966" s="237" t="s">
        <v>155</v>
      </c>
      <c r="H966" s="162" t="s">
        <v>609</v>
      </c>
      <c r="I966" s="238">
        <v>10</v>
      </c>
      <c r="J966" s="238">
        <v>0</v>
      </c>
      <c r="K966" s="163">
        <v>23</v>
      </c>
      <c r="L966" s="165">
        <v>6900000</v>
      </c>
      <c r="M966" s="164" t="s">
        <v>464</v>
      </c>
      <c r="N966" s="165" t="s">
        <v>610</v>
      </c>
      <c r="O966" s="51" t="s">
        <v>227</v>
      </c>
      <c r="P966" s="239" t="str">
        <f>IFERROR(VLOOKUP(C966,TD!$B$33:$F$37,2,0)," ")</f>
        <v>O230117</v>
      </c>
      <c r="Q966" s="239" t="str">
        <f>IFERROR(VLOOKUP(C966,TD!$B$33:$F$37,3,0)," ")</f>
        <v>4503</v>
      </c>
      <c r="R966" s="239">
        <f>IFERROR(VLOOKUP(C966,TD!$B$33:$F$37,4,0)," ")</f>
        <v>20240255</v>
      </c>
      <c r="S966" s="51" t="s">
        <v>185</v>
      </c>
      <c r="T966" s="186" t="str">
        <f>IFERROR(VLOOKUP(S966,TD!$J$34:$K$44,2,0)," ")</f>
        <v>Infraestructura física, mantenimiento y dotación (Sedes construidas, mantenidas reforzadas)</v>
      </c>
      <c r="U966" s="187" t="str">
        <f>CONCATENATE(S966,"-",T966)</f>
        <v>08-Infraestructura física, mantenimiento y dotación (Sedes construidas, mantenidas reforzadas)</v>
      </c>
      <c r="V966" s="51" t="s">
        <v>236</v>
      </c>
      <c r="W966" s="186" t="str">
        <f>IFERROR(VLOOKUP(V966,TD!$N$34:$O$46,2,0)," ")</f>
        <v>Estaciones de bomberos adecuadas</v>
      </c>
      <c r="X966" s="187" t="str">
        <f>CONCATENATE(V966,"_",W966)</f>
        <v>014_Estaciones de bomberos adecuadas</v>
      </c>
      <c r="Y966" s="187" t="str">
        <f>CONCATENATE(U966," ",X966)</f>
        <v>08-Infraestructura física, mantenimiento y dotación (Sedes construidas, mantenidas reforzadas) 014_Estaciones de bomberos adecuadas</v>
      </c>
      <c r="Z966" s="239" t="str">
        <f>CONCATENATE(P966,Q966,R966,S966,V966)</f>
        <v>O23011745032024025508014</v>
      </c>
      <c r="AA966" s="239" t="str">
        <f>IFERROR(VLOOKUP(Y966,TD!$K$47:$L$65,2,0)," ")</f>
        <v>PM/0131/0108/45030140255</v>
      </c>
      <c r="AB966" s="165" t="s">
        <v>138</v>
      </c>
      <c r="AC966" s="240" t="s">
        <v>205</v>
      </c>
    </row>
    <row r="967" spans="2:29" ht="56" x14ac:dyDescent="0.35">
      <c r="B967" s="167">
        <v>20251019</v>
      </c>
      <c r="C967" s="166" t="s">
        <v>209</v>
      </c>
      <c r="D967" s="237" t="s">
        <v>166</v>
      </c>
      <c r="E967" s="51" t="s">
        <v>558</v>
      </c>
      <c r="F967" s="237" t="s">
        <v>1211</v>
      </c>
      <c r="G967" s="237" t="s">
        <v>155</v>
      </c>
      <c r="H967" s="162" t="s">
        <v>609</v>
      </c>
      <c r="I967" s="238">
        <v>10</v>
      </c>
      <c r="J967" s="238">
        <v>2</v>
      </c>
      <c r="K967" s="163">
        <v>7</v>
      </c>
      <c r="L967" s="165">
        <v>16466324</v>
      </c>
      <c r="M967" s="164" t="s">
        <v>464</v>
      </c>
      <c r="N967" s="165" t="s">
        <v>610</v>
      </c>
      <c r="O967" s="51" t="s">
        <v>227</v>
      </c>
      <c r="P967" s="239" t="str">
        <f>IFERROR(VLOOKUP(C967,TD!$B$33:$F$37,2,0)," ")</f>
        <v>O230117</v>
      </c>
      <c r="Q967" s="239" t="str">
        <f>IFERROR(VLOOKUP(C967,TD!$B$33:$F$37,3,0)," ")</f>
        <v>4503</v>
      </c>
      <c r="R967" s="239">
        <f>IFERROR(VLOOKUP(C967,TD!$B$33:$F$37,4,0)," ")</f>
        <v>20240255</v>
      </c>
      <c r="S967" s="51" t="s">
        <v>185</v>
      </c>
      <c r="T967" s="186" t="str">
        <f>IFERROR(VLOOKUP(S967,TD!$J$34:$K$44,2,0)," ")</f>
        <v>Infraestructura física, mantenimiento y dotación (Sedes construidas, mantenidas reforzadas)</v>
      </c>
      <c r="U967" s="187" t="str">
        <f>CONCATENATE(S967,"-",T967)</f>
        <v>08-Infraestructura física, mantenimiento y dotación (Sedes construidas, mantenidas reforzadas)</v>
      </c>
      <c r="V967" s="51" t="s">
        <v>236</v>
      </c>
      <c r="W967" s="186" t="str">
        <f>IFERROR(VLOOKUP(V967,TD!$N$34:$O$46,2,0)," ")</f>
        <v>Estaciones de bomberos adecuadas</v>
      </c>
      <c r="X967" s="187" t="str">
        <f>CONCATENATE(V967,"_",W967)</f>
        <v>014_Estaciones de bomberos adecuadas</v>
      </c>
      <c r="Y967" s="187" t="str">
        <f>CONCATENATE(U967," ",X967)</f>
        <v>08-Infraestructura física, mantenimiento y dotación (Sedes construidas, mantenidas reforzadas) 014_Estaciones de bomberos adecuadas</v>
      </c>
      <c r="Z967" s="239" t="str">
        <f>CONCATENATE(P967,Q967,R967,S967,V967)</f>
        <v>O23011745032024025508014</v>
      </c>
      <c r="AA967" s="239" t="str">
        <f>IFERROR(VLOOKUP(Y967,TD!$K$47:$L$65,2,0)," ")</f>
        <v>PM/0131/0108/45030140255</v>
      </c>
      <c r="AB967" s="165" t="s">
        <v>120</v>
      </c>
      <c r="AC967" s="240" t="s">
        <v>205</v>
      </c>
    </row>
    <row r="968" spans="2:29" ht="56" x14ac:dyDescent="0.35">
      <c r="B968" s="132">
        <v>20251020</v>
      </c>
      <c r="C968" s="166" t="s">
        <v>209</v>
      </c>
      <c r="D968" s="237" t="s">
        <v>166</v>
      </c>
      <c r="E968" s="51" t="s">
        <v>558</v>
      </c>
      <c r="F968" s="237" t="s">
        <v>1212</v>
      </c>
      <c r="G968" s="237" t="s">
        <v>155</v>
      </c>
      <c r="H968" s="162" t="s">
        <v>609</v>
      </c>
      <c r="I968" s="238">
        <v>10</v>
      </c>
      <c r="J968" s="238">
        <v>0</v>
      </c>
      <c r="K968" s="163">
        <v>28</v>
      </c>
      <c r="L968" s="165">
        <v>6380980</v>
      </c>
      <c r="M968" s="164" t="s">
        <v>464</v>
      </c>
      <c r="N968" s="165" t="s">
        <v>610</v>
      </c>
      <c r="O968" s="51" t="s">
        <v>227</v>
      </c>
      <c r="P968" s="239" t="str">
        <f>IFERROR(VLOOKUP(C968,TD!$B$33:$F$37,2,0)," ")</f>
        <v>O230117</v>
      </c>
      <c r="Q968" s="239" t="str">
        <f>IFERROR(VLOOKUP(C968,TD!$B$33:$F$37,3,0)," ")</f>
        <v>4503</v>
      </c>
      <c r="R968" s="239">
        <f>IFERROR(VLOOKUP(C968,TD!$B$33:$F$37,4,0)," ")</f>
        <v>20240255</v>
      </c>
      <c r="S968" s="51" t="s">
        <v>185</v>
      </c>
      <c r="T968" s="186" t="str">
        <f>IFERROR(VLOOKUP(S968,TD!$J$34:$K$44,2,0)," ")</f>
        <v>Infraestructura física, mantenimiento y dotación (Sedes construidas, mantenidas reforzadas)</v>
      </c>
      <c r="U968" s="187" t="str">
        <f>CONCATENATE(S968,"-",T968)</f>
        <v>08-Infraestructura física, mantenimiento y dotación (Sedes construidas, mantenidas reforzadas)</v>
      </c>
      <c r="V968" s="51" t="s">
        <v>236</v>
      </c>
      <c r="W968" s="186" t="str">
        <f>IFERROR(VLOOKUP(V968,TD!$N$34:$O$46,2,0)," ")</f>
        <v>Estaciones de bomberos adecuadas</v>
      </c>
      <c r="X968" s="187" t="str">
        <f>CONCATENATE(V968,"_",W968)</f>
        <v>014_Estaciones de bomberos adecuadas</v>
      </c>
      <c r="Y968" s="187" t="str">
        <f>CONCATENATE(U968," ",X968)</f>
        <v>08-Infraestructura física, mantenimiento y dotación (Sedes construidas, mantenidas reforzadas) 014_Estaciones de bomberos adecuadas</v>
      </c>
      <c r="Z968" s="239" t="str">
        <f>CONCATENATE(P968,Q968,R968,S968,V968)</f>
        <v>O23011745032024025508014</v>
      </c>
      <c r="AA968" s="239" t="str">
        <f>IFERROR(VLOOKUP(Y968,TD!$K$47:$L$65,2,0)," ")</f>
        <v>PM/0131/0108/45030140255</v>
      </c>
      <c r="AB968" s="165" t="s">
        <v>665</v>
      </c>
      <c r="AC968" s="240" t="s">
        <v>205</v>
      </c>
    </row>
    <row r="969" spans="2:29" ht="56" x14ac:dyDescent="0.35">
      <c r="B969" s="167">
        <v>20251021</v>
      </c>
      <c r="C969" s="166" t="s">
        <v>209</v>
      </c>
      <c r="D969" s="237" t="s">
        <v>166</v>
      </c>
      <c r="E969" s="51" t="s">
        <v>558</v>
      </c>
      <c r="F969" s="237" t="s">
        <v>1213</v>
      </c>
      <c r="G969" s="237" t="s">
        <v>155</v>
      </c>
      <c r="H969" s="162" t="s">
        <v>609</v>
      </c>
      <c r="I969" s="238">
        <v>10</v>
      </c>
      <c r="J969" s="238">
        <v>1</v>
      </c>
      <c r="K969" s="163">
        <v>3</v>
      </c>
      <c r="L969" s="165">
        <v>7700000</v>
      </c>
      <c r="M969" s="164" t="s">
        <v>464</v>
      </c>
      <c r="N969" s="165" t="s">
        <v>610</v>
      </c>
      <c r="O969" s="51" t="s">
        <v>228</v>
      </c>
      <c r="P969" s="239" t="str">
        <f>IFERROR(VLOOKUP(C969,TD!$B$33:$F$37,2,0)," ")</f>
        <v>O230117</v>
      </c>
      <c r="Q969" s="239" t="str">
        <f>IFERROR(VLOOKUP(C969,TD!$B$33:$F$37,3,0)," ")</f>
        <v>4503</v>
      </c>
      <c r="R969" s="239">
        <f>IFERROR(VLOOKUP(C969,TD!$B$33:$F$37,4,0)," ")</f>
        <v>20240255</v>
      </c>
      <c r="S969" s="51" t="s">
        <v>185</v>
      </c>
      <c r="T969" s="186" t="str">
        <f>IFERROR(VLOOKUP(S969,TD!$J$34:$K$44,2,0)," ")</f>
        <v>Infraestructura física, mantenimiento y dotación (Sedes construidas, mantenidas reforzadas)</v>
      </c>
      <c r="U969" s="187" t="str">
        <f>CONCATENATE(S969,"-",T969)</f>
        <v>08-Infraestructura física, mantenimiento y dotación (Sedes construidas, mantenidas reforzadas)</v>
      </c>
      <c r="V969" s="51" t="s">
        <v>237</v>
      </c>
      <c r="W969" s="186" t="str">
        <f>IFERROR(VLOOKUP(V969,TD!$N$34:$O$46,2,0)," ")</f>
        <v>Estaciones de bomberos construidas</v>
      </c>
      <c r="X969" s="187" t="str">
        <f>CONCATENATE(V969,"_",W969)</f>
        <v>015_Estaciones de bomberos construidas</v>
      </c>
      <c r="Y969" s="187" t="str">
        <f>CONCATENATE(U969," ",X969)</f>
        <v>08-Infraestructura física, mantenimiento y dotación (Sedes construidas, mantenidas reforzadas) 015_Estaciones de bomberos construidas</v>
      </c>
      <c r="Z969" s="239" t="str">
        <f>CONCATENATE(P969,Q969,R969,S969,V969)</f>
        <v>O23011745032024025508015</v>
      </c>
      <c r="AA969" s="239" t="str">
        <f>IFERROR(VLOOKUP(Y969,TD!$K$47:$L$65,2,0)," ")</f>
        <v>PM/0131/0108/45030150255</v>
      </c>
      <c r="AB969" s="165" t="s">
        <v>120</v>
      </c>
      <c r="AC969" s="240" t="s">
        <v>205</v>
      </c>
    </row>
    <row r="970" spans="2:29" ht="56" x14ac:dyDescent="0.35">
      <c r="B970" s="167">
        <v>20251022</v>
      </c>
      <c r="C970" s="166" t="s">
        <v>209</v>
      </c>
      <c r="D970" s="237" t="s">
        <v>166</v>
      </c>
      <c r="E970" s="51" t="s">
        <v>558</v>
      </c>
      <c r="F970" s="237" t="s">
        <v>1214</v>
      </c>
      <c r="G970" s="237" t="s">
        <v>155</v>
      </c>
      <c r="H970" s="162" t="s">
        <v>609</v>
      </c>
      <c r="I970" s="238">
        <v>10</v>
      </c>
      <c r="J970" s="238">
        <v>0</v>
      </c>
      <c r="K970" s="163">
        <v>22</v>
      </c>
      <c r="L970" s="165">
        <v>5133333</v>
      </c>
      <c r="M970" s="164" t="s">
        <v>464</v>
      </c>
      <c r="N970" s="165" t="s">
        <v>610</v>
      </c>
      <c r="O970" s="51" t="s">
        <v>230</v>
      </c>
      <c r="P970" s="239" t="str">
        <f>IFERROR(VLOOKUP(C970,TD!$B$33:$F$37,2,0)," ")</f>
        <v>O230117</v>
      </c>
      <c r="Q970" s="239" t="str">
        <f>IFERROR(VLOOKUP(C970,TD!$B$33:$F$37,3,0)," ")</f>
        <v>4503</v>
      </c>
      <c r="R970" s="239">
        <f>IFERROR(VLOOKUP(C970,TD!$B$33:$F$37,4,0)," ")</f>
        <v>20240255</v>
      </c>
      <c r="S970" s="51" t="s">
        <v>185</v>
      </c>
      <c r="T970" s="186" t="str">
        <f>IFERROR(VLOOKUP(S970,TD!$J$34:$K$44,2,0)," ")</f>
        <v>Infraestructura física, mantenimiento y dotación (Sedes construidas, mantenidas reforzadas)</v>
      </c>
      <c r="U970" s="187" t="str">
        <f>CONCATENATE(S970,"-",T970)</f>
        <v>08-Infraestructura física, mantenimiento y dotación (Sedes construidas, mantenidas reforzadas)</v>
      </c>
      <c r="V970" s="51" t="s">
        <v>294</v>
      </c>
      <c r="W970" s="186" t="str">
        <f>IFERROR(VLOOKUP(V970,TD!$N$34:$O$46,2,0)," ")</f>
        <v>Documentos de lineamientos técnicos</v>
      </c>
      <c r="X970" s="187" t="str">
        <f>CONCATENATE(V970,"_",W970)</f>
        <v>031__Documentos de lineamientos técnicos</v>
      </c>
      <c r="Y970" s="187" t="str">
        <f>CONCATENATE(U970," ",X970)</f>
        <v>08-Infraestructura física, mantenimiento y dotación (Sedes construidas, mantenidas reforzadas) 031__Documentos de lineamientos técnicos</v>
      </c>
      <c r="Z970" s="239" t="str">
        <f>CONCATENATE(P970,Q970,R970,S970,V970)</f>
        <v>O23011745032024025508031_</v>
      </c>
      <c r="AA970" s="239" t="str">
        <f>IFERROR(VLOOKUP(Y970,TD!$K$47:$L$65,2,0)," ")</f>
        <v>PM/0131/0108/45030310255</v>
      </c>
      <c r="AB970" s="165" t="s">
        <v>665</v>
      </c>
      <c r="AC970" s="240" t="s">
        <v>205</v>
      </c>
    </row>
    <row r="971" spans="2:29" ht="56" x14ac:dyDescent="0.35">
      <c r="B971" s="167">
        <v>20251023</v>
      </c>
      <c r="C971" s="166" t="s">
        <v>209</v>
      </c>
      <c r="D971" s="237" t="s">
        <v>166</v>
      </c>
      <c r="E971" s="51" t="s">
        <v>558</v>
      </c>
      <c r="F971" s="237" t="s">
        <v>1215</v>
      </c>
      <c r="G971" s="237" t="s">
        <v>155</v>
      </c>
      <c r="H971" s="162" t="s">
        <v>609</v>
      </c>
      <c r="I971" s="238">
        <v>10</v>
      </c>
      <c r="J971" s="238">
        <v>0</v>
      </c>
      <c r="K971" s="163">
        <v>22</v>
      </c>
      <c r="L971" s="165">
        <v>5500000</v>
      </c>
      <c r="M971" s="164" t="s">
        <v>464</v>
      </c>
      <c r="N971" s="165" t="s">
        <v>610</v>
      </c>
      <c r="O971" s="51" t="s">
        <v>227</v>
      </c>
      <c r="P971" s="239" t="str">
        <f>IFERROR(VLOOKUP(C971,TD!$B$33:$F$37,2,0)," ")</f>
        <v>O230117</v>
      </c>
      <c r="Q971" s="239" t="str">
        <f>IFERROR(VLOOKUP(C971,TD!$B$33:$F$37,3,0)," ")</f>
        <v>4503</v>
      </c>
      <c r="R971" s="239">
        <f>IFERROR(VLOOKUP(C971,TD!$B$33:$F$37,4,0)," ")</f>
        <v>20240255</v>
      </c>
      <c r="S971" s="51" t="s">
        <v>185</v>
      </c>
      <c r="T971" s="186" t="str">
        <f>IFERROR(VLOOKUP(S971,TD!$J$34:$K$44,2,0)," ")</f>
        <v>Infraestructura física, mantenimiento y dotación (Sedes construidas, mantenidas reforzadas)</v>
      </c>
      <c r="U971" s="187" t="str">
        <f>CONCATENATE(S971,"-",T971)</f>
        <v>08-Infraestructura física, mantenimiento y dotación (Sedes construidas, mantenidas reforzadas)</v>
      </c>
      <c r="V971" s="51" t="s">
        <v>236</v>
      </c>
      <c r="W971" s="186" t="str">
        <f>IFERROR(VLOOKUP(V971,TD!$N$34:$O$46,2,0)," ")</f>
        <v>Estaciones de bomberos adecuadas</v>
      </c>
      <c r="X971" s="187" t="str">
        <f>CONCATENATE(V971,"_",W971)</f>
        <v>014_Estaciones de bomberos adecuadas</v>
      </c>
      <c r="Y971" s="187" t="str">
        <f>CONCATENATE(U971," ",X971)</f>
        <v>08-Infraestructura física, mantenimiento y dotación (Sedes construidas, mantenidas reforzadas) 014_Estaciones de bomberos adecuadas</v>
      </c>
      <c r="Z971" s="239" t="str">
        <f>CONCATENATE(P971,Q971,R971,S971,V971)</f>
        <v>O23011745032024025508014</v>
      </c>
      <c r="AA971" s="239" t="str">
        <f>IFERROR(VLOOKUP(Y971,TD!$K$47:$L$65,2,0)," ")</f>
        <v>PM/0131/0108/45030140255</v>
      </c>
      <c r="AB971" s="165" t="s">
        <v>665</v>
      </c>
      <c r="AC971" s="240" t="s">
        <v>205</v>
      </c>
    </row>
    <row r="972" spans="2:29" ht="56" x14ac:dyDescent="0.35">
      <c r="B972" s="167">
        <v>20251024</v>
      </c>
      <c r="C972" s="166" t="s">
        <v>209</v>
      </c>
      <c r="D972" s="237" t="s">
        <v>166</v>
      </c>
      <c r="E972" s="51" t="s">
        <v>558</v>
      </c>
      <c r="F972" s="237" t="s">
        <v>1216</v>
      </c>
      <c r="G972" s="237" t="s">
        <v>155</v>
      </c>
      <c r="H972" s="162" t="s">
        <v>609</v>
      </c>
      <c r="I972" s="238">
        <v>10</v>
      </c>
      <c r="J972" s="238">
        <v>3</v>
      </c>
      <c r="K972" s="163">
        <v>0</v>
      </c>
      <c r="L972" s="165">
        <v>24000000</v>
      </c>
      <c r="M972" s="164" t="s">
        <v>464</v>
      </c>
      <c r="N972" s="165" t="s">
        <v>610</v>
      </c>
      <c r="O972" s="51" t="s">
        <v>227</v>
      </c>
      <c r="P972" s="239" t="str">
        <f>IFERROR(VLOOKUP(C972,TD!$B$33:$F$37,2,0)," ")</f>
        <v>O230117</v>
      </c>
      <c r="Q972" s="239" t="str">
        <f>IFERROR(VLOOKUP(C972,TD!$B$33:$F$37,3,0)," ")</f>
        <v>4503</v>
      </c>
      <c r="R972" s="239">
        <f>IFERROR(VLOOKUP(C972,TD!$B$33:$F$37,4,0)," ")</f>
        <v>20240255</v>
      </c>
      <c r="S972" s="51" t="s">
        <v>185</v>
      </c>
      <c r="T972" s="186" t="str">
        <f>IFERROR(VLOOKUP(S972,TD!$J$34:$K$44,2,0)," ")</f>
        <v>Infraestructura física, mantenimiento y dotación (Sedes construidas, mantenidas reforzadas)</v>
      </c>
      <c r="U972" s="187" t="str">
        <f>CONCATENATE(S972,"-",T972)</f>
        <v>08-Infraestructura física, mantenimiento y dotación (Sedes construidas, mantenidas reforzadas)</v>
      </c>
      <c r="V972" s="51" t="s">
        <v>236</v>
      </c>
      <c r="W972" s="186" t="str">
        <f>IFERROR(VLOOKUP(V972,TD!$N$34:$O$46,2,0)," ")</f>
        <v>Estaciones de bomberos adecuadas</v>
      </c>
      <c r="X972" s="187" t="str">
        <f>CONCATENATE(V972,"_",W972)</f>
        <v>014_Estaciones de bomberos adecuadas</v>
      </c>
      <c r="Y972" s="187" t="str">
        <f>CONCATENATE(U972," ",X972)</f>
        <v>08-Infraestructura física, mantenimiento y dotación (Sedes construidas, mantenidas reforzadas) 014_Estaciones de bomberos adecuadas</v>
      </c>
      <c r="Z972" s="239" t="str">
        <f>CONCATENATE(P972,Q972,R972,S972,V972)</f>
        <v>O23011745032024025508014</v>
      </c>
      <c r="AA972" s="239" t="str">
        <f>IFERROR(VLOOKUP(Y972,TD!$K$47:$L$65,2,0)," ")</f>
        <v>PM/0131/0108/45030140255</v>
      </c>
      <c r="AB972" s="165" t="s">
        <v>665</v>
      </c>
      <c r="AC972" s="240" t="s">
        <v>204</v>
      </c>
    </row>
    <row r="973" spans="2:29" ht="56" x14ac:dyDescent="0.35">
      <c r="B973" s="167">
        <v>20251025</v>
      </c>
      <c r="C973" s="166" t="s">
        <v>208</v>
      </c>
      <c r="D973" s="237" t="s">
        <v>46</v>
      </c>
      <c r="E973" s="241" t="s">
        <v>465</v>
      </c>
      <c r="F973" s="237" t="s">
        <v>469</v>
      </c>
      <c r="G973" s="237" t="s">
        <v>155</v>
      </c>
      <c r="H973" s="162">
        <v>80111600</v>
      </c>
      <c r="I973" s="238">
        <v>9</v>
      </c>
      <c r="J973" s="238">
        <v>3</v>
      </c>
      <c r="K973" s="163">
        <v>0</v>
      </c>
      <c r="L973" s="165">
        <v>21000000</v>
      </c>
      <c r="M973" s="164" t="s">
        <v>464</v>
      </c>
      <c r="N973" s="165" t="s">
        <v>113</v>
      </c>
      <c r="O973" s="51" t="s">
        <v>219</v>
      </c>
      <c r="P973" s="239" t="str">
        <f>IFERROR(VLOOKUP(C973,TD!$B$33:$F$37,2,0)," ")</f>
        <v>O230117</v>
      </c>
      <c r="Q973" s="239" t="str">
        <f>IFERROR(VLOOKUP(C973,TD!$B$33:$F$37,3,0)," ")</f>
        <v>4599</v>
      </c>
      <c r="R973" s="239">
        <f>IFERROR(VLOOKUP(C973,TD!$B$33:$F$37,4,0)," ")</f>
        <v>20240207</v>
      </c>
      <c r="S973" s="51" t="s">
        <v>185</v>
      </c>
      <c r="T973" s="186" t="str">
        <f>IFERROR(VLOOKUP(S973,TD!$J$34:$K$44,2,0)," ")</f>
        <v>Infraestructura física, mantenimiento y dotación (Sedes construidas, mantenidas reforzadas)</v>
      </c>
      <c r="U973" s="187" t="str">
        <f>CONCATENATE(S973,"-",T973)</f>
        <v>08-Infraestructura física, mantenimiento y dotación (Sedes construidas, mantenidas reforzadas)</v>
      </c>
      <c r="V973" s="51" t="s">
        <v>238</v>
      </c>
      <c r="W973" s="186" t="str">
        <f>IFERROR(VLOOKUP(V973,TD!$N$34:$O$46,2,0)," ")</f>
        <v>Sedes mantenidas</v>
      </c>
      <c r="X973" s="187" t="str">
        <f>CONCATENATE(V973,"_",W973)</f>
        <v>016_Sedes mantenidas</v>
      </c>
      <c r="Y973" s="187" t="str">
        <f>CONCATENATE(U973," ",X973)</f>
        <v>08-Infraestructura física, mantenimiento y dotación (Sedes construidas, mantenidas reforzadas) 016_Sedes mantenidas</v>
      </c>
      <c r="Z973" s="239" t="str">
        <f>CONCATENATE(P973,Q973,R973,S973,V973)</f>
        <v>O23011745992024020708016</v>
      </c>
      <c r="AA973" s="239" t="str">
        <f>IFERROR(VLOOKUP(Y973,TD!$K$47:$L$65,2,0)," ")</f>
        <v>PM/0131/0108/45990160207</v>
      </c>
      <c r="AB973" s="165" t="s">
        <v>120</v>
      </c>
      <c r="AC973" s="240" t="s">
        <v>204</v>
      </c>
    </row>
    <row r="974" spans="2:29" ht="56" x14ac:dyDescent="0.35">
      <c r="B974" s="132">
        <v>20251026</v>
      </c>
      <c r="C974" s="166" t="s">
        <v>208</v>
      </c>
      <c r="D974" s="237" t="s">
        <v>46</v>
      </c>
      <c r="E974" s="241" t="s">
        <v>465</v>
      </c>
      <c r="F974" s="237" t="s">
        <v>1217</v>
      </c>
      <c r="G974" s="237" t="s">
        <v>156</v>
      </c>
      <c r="H974" s="162">
        <v>80111600</v>
      </c>
      <c r="I974" s="238">
        <v>11</v>
      </c>
      <c r="J974" s="238">
        <v>2</v>
      </c>
      <c r="K974" s="163">
        <v>0</v>
      </c>
      <c r="L974" s="165">
        <v>5600000</v>
      </c>
      <c r="M974" s="164" t="s">
        <v>464</v>
      </c>
      <c r="N974" s="165" t="s">
        <v>113</v>
      </c>
      <c r="O974" s="51" t="s">
        <v>219</v>
      </c>
      <c r="P974" s="239" t="str">
        <f>IFERROR(VLOOKUP(C974,TD!$B$33:$F$37,2,0)," ")</f>
        <v>O230117</v>
      </c>
      <c r="Q974" s="239" t="str">
        <f>IFERROR(VLOOKUP(C974,TD!$B$33:$F$37,3,0)," ")</f>
        <v>4599</v>
      </c>
      <c r="R974" s="239">
        <f>IFERROR(VLOOKUP(C974,TD!$B$33:$F$37,4,0)," ")</f>
        <v>20240207</v>
      </c>
      <c r="S974" s="51" t="s">
        <v>185</v>
      </c>
      <c r="T974" s="186" t="str">
        <f>IFERROR(VLOOKUP(S974,TD!$J$34:$K$44,2,0)," ")</f>
        <v>Infraestructura física, mantenimiento y dotación (Sedes construidas, mantenidas reforzadas)</v>
      </c>
      <c r="U974" s="187" t="str">
        <f>CONCATENATE(S974,"-",T974)</f>
        <v>08-Infraestructura física, mantenimiento y dotación (Sedes construidas, mantenidas reforzadas)</v>
      </c>
      <c r="V974" s="51" t="s">
        <v>238</v>
      </c>
      <c r="W974" s="186" t="str">
        <f>IFERROR(VLOOKUP(V974,TD!$N$34:$O$46,2,0)," ")</f>
        <v>Sedes mantenidas</v>
      </c>
      <c r="X974" s="187" t="str">
        <f>CONCATENATE(V974,"_",W974)</f>
        <v>016_Sedes mantenidas</v>
      </c>
      <c r="Y974" s="187" t="str">
        <f>CONCATENATE(U974," ",X974)</f>
        <v>08-Infraestructura física, mantenimiento y dotación (Sedes construidas, mantenidas reforzadas) 016_Sedes mantenidas</v>
      </c>
      <c r="Z974" s="239" t="str">
        <f>CONCATENATE(P974,Q974,R974,S974,V974)</f>
        <v>O23011745992024020708016</v>
      </c>
      <c r="AA974" s="239" t="str">
        <f>IFERROR(VLOOKUP(Y974,TD!$K$47:$L$65,2,0)," ")</f>
        <v>PM/0131/0108/45990160207</v>
      </c>
      <c r="AB974" s="165" t="s">
        <v>138</v>
      </c>
      <c r="AC974" s="240" t="s">
        <v>204</v>
      </c>
    </row>
    <row r="975" spans="2:29" ht="56" x14ac:dyDescent="0.35">
      <c r="B975" s="167">
        <v>20251028</v>
      </c>
      <c r="C975" s="166" t="s">
        <v>209</v>
      </c>
      <c r="D975" s="237" t="s">
        <v>167</v>
      </c>
      <c r="E975" s="241" t="s">
        <v>505</v>
      </c>
      <c r="F975" s="237" t="s">
        <v>515</v>
      </c>
      <c r="G975" s="237" t="s">
        <v>155</v>
      </c>
      <c r="H975" s="162">
        <v>80111600</v>
      </c>
      <c r="I975" s="238">
        <v>10</v>
      </c>
      <c r="J975" s="238">
        <v>3</v>
      </c>
      <c r="K975" s="163">
        <v>0</v>
      </c>
      <c r="L975" s="165">
        <v>18000000</v>
      </c>
      <c r="M975" s="164" t="s">
        <v>464</v>
      </c>
      <c r="N975" s="165" t="s">
        <v>508</v>
      </c>
      <c r="O975" s="51" t="s">
        <v>225</v>
      </c>
      <c r="P975" s="239" t="str">
        <f>IFERROR(VLOOKUP(C975,TD!$B$33:$F$37,2,0)," ")</f>
        <v>O230117</v>
      </c>
      <c r="Q975" s="239" t="str">
        <f>IFERROR(VLOOKUP(C975,TD!$B$33:$F$37,3,0)," ")</f>
        <v>4503</v>
      </c>
      <c r="R975" s="239">
        <f>IFERROR(VLOOKUP(C975,TD!$B$33:$F$37,4,0)," ")</f>
        <v>20240255</v>
      </c>
      <c r="S975" s="51" t="s">
        <v>179</v>
      </c>
      <c r="T975" s="186" t="str">
        <f>IFERROR(VLOOKUP(S975,TD!$J$34:$K$44,2,0)," ")</f>
        <v>Infraestructura Tecnológica   (Sistemas de Información y Tecnologia)</v>
      </c>
      <c r="U975" s="187" t="str">
        <f>CONCATENATE(S975,"-",T975)</f>
        <v>11-Infraestructura Tecnológica   (Sistemas de Información y Tecnologia)</v>
      </c>
      <c r="V975" s="51" t="s">
        <v>235</v>
      </c>
      <c r="W975" s="186" t="str">
        <f>IFERROR(VLOOKUP(V975,TD!$N$34:$O$46,2,0)," ")</f>
        <v>"Servicio de monitoreo y seguimiento para la gestión del riesgo"</v>
      </c>
      <c r="X975" s="187" t="str">
        <f>CONCATENATE(V975,"_",W975)</f>
        <v>018_"Servicio de monitoreo y seguimiento para la gestión del riesgo"</v>
      </c>
      <c r="Y975" s="187" t="str">
        <f>CONCATENATE(U975," ",X975)</f>
        <v>11-Infraestructura Tecnológica   (Sistemas de Información y Tecnologia) 018_"Servicio de monitoreo y seguimiento para la gestión del riesgo"</v>
      </c>
      <c r="Z975" s="239" t="str">
        <f>CONCATENATE(P975,Q975,R975,S975,V975)</f>
        <v>O23011745032024025511018</v>
      </c>
      <c r="AA975" s="239" t="str">
        <f>IFERROR(VLOOKUP(Y975,TD!$K$47:$L$65,2,0)," ")</f>
        <v>PM/0131/0111/45030180255</v>
      </c>
      <c r="AB975" s="165" t="s">
        <v>138</v>
      </c>
      <c r="AC975" s="240" t="s">
        <v>204</v>
      </c>
    </row>
    <row r="976" spans="2:29" ht="112" x14ac:dyDescent="0.35">
      <c r="B976" s="167">
        <v>20251029</v>
      </c>
      <c r="C976" s="179" t="s">
        <v>209</v>
      </c>
      <c r="D976" s="233" t="s">
        <v>167</v>
      </c>
      <c r="E976" s="242" t="s">
        <v>505</v>
      </c>
      <c r="F976" s="233" t="s">
        <v>1220</v>
      </c>
      <c r="G976" s="233" t="s">
        <v>133</v>
      </c>
      <c r="H976" s="170" t="s">
        <v>1221</v>
      </c>
      <c r="I976" s="234">
        <v>10</v>
      </c>
      <c r="J976" s="234">
        <v>4</v>
      </c>
      <c r="K976" s="173">
        <v>0</v>
      </c>
      <c r="L976" s="177">
        <v>38683333</v>
      </c>
      <c r="M976" s="175" t="s">
        <v>464</v>
      </c>
      <c r="N976" s="177" t="s">
        <v>100</v>
      </c>
      <c r="O976" s="51" t="s">
        <v>221</v>
      </c>
      <c r="P976" s="235" t="str">
        <f>IFERROR(VLOOKUP(C976,TD!$B$33:$F$37,2,0)," ")</f>
        <v>O230117</v>
      </c>
      <c r="Q976" s="235" t="str">
        <f>IFERROR(VLOOKUP(C976,TD!$B$33:$F$37,3,0)," ")</f>
        <v>4503</v>
      </c>
      <c r="R976" s="235">
        <f>IFERROR(VLOOKUP(C976,TD!$B$33:$F$37,4,0)," ")</f>
        <v>20240255</v>
      </c>
      <c r="S976" s="51" t="s">
        <v>177</v>
      </c>
      <c r="T976" s="186" t="str">
        <f>IFERROR(VLOOKUP(S976,TD!$J$34:$K$44,2,0)," ")</f>
        <v>Servicio de capacitaciones en gestión del riesgo de incendios  a la ciudadania.</v>
      </c>
      <c r="U976" s="187" t="str">
        <f>CONCATENATE(S976,"-",T976)</f>
        <v>05-Servicio de capacitaciones en gestión del riesgo de incendios  a la ciudadania.</v>
      </c>
      <c r="V976" s="51" t="s">
        <v>234</v>
      </c>
      <c r="W976" s="186" t="str">
        <f>IFERROR(VLOOKUP(V976,TD!$N$34:$O$46,2,0)," ")</f>
        <v>Servicio prevención y control de incendios</v>
      </c>
      <c r="X976" s="206" t="str">
        <f>CONCATENATE(V976,"_",W976)</f>
        <v>035_Servicio prevención y control de incendios</v>
      </c>
      <c r="Y976" s="206" t="str">
        <f>CONCATENATE(U976," ",X976)</f>
        <v>05-Servicio de capacitaciones en gestión del riesgo de incendios  a la ciudadania. 035_Servicio prevención y control de incendios</v>
      </c>
      <c r="Z976" s="235" t="str">
        <f>CONCATENATE(P976,Q976,R976,S976,V976)</f>
        <v>O23011745032024025505035</v>
      </c>
      <c r="AA976" s="235" t="str">
        <f>IFERROR(VLOOKUP(Y976,TD!$K$47:$L$65,2,0)," ")</f>
        <v>PM/0131/0105/45030350255</v>
      </c>
      <c r="AB976" s="165" t="s">
        <v>138</v>
      </c>
      <c r="AC976" s="236" t="s">
        <v>204</v>
      </c>
    </row>
    <row r="977" spans="2:29" ht="126" x14ac:dyDescent="0.35">
      <c r="B977" s="167">
        <v>20251031</v>
      </c>
      <c r="C977" s="179" t="s">
        <v>209</v>
      </c>
      <c r="D977" s="233" t="s">
        <v>167</v>
      </c>
      <c r="E977" s="242" t="s">
        <v>505</v>
      </c>
      <c r="F977" s="233" t="s">
        <v>519</v>
      </c>
      <c r="G977" s="233" t="s">
        <v>156</v>
      </c>
      <c r="H977" s="170">
        <v>80111600</v>
      </c>
      <c r="I977" s="234">
        <v>11</v>
      </c>
      <c r="J977" s="234">
        <v>2</v>
      </c>
      <c r="K977" s="173">
        <v>0</v>
      </c>
      <c r="L977" s="177">
        <v>4800000</v>
      </c>
      <c r="M977" s="175" t="s">
        <v>464</v>
      </c>
      <c r="N977" s="177" t="s">
        <v>508</v>
      </c>
      <c r="O977" s="51" t="s">
        <v>221</v>
      </c>
      <c r="P977" s="235" t="str">
        <f>IFERROR(VLOOKUP(C977,TD!$B$33:$F$37,2,0)," ")</f>
        <v>O230117</v>
      </c>
      <c r="Q977" s="235" t="str">
        <f>IFERROR(VLOOKUP(C977,TD!$B$33:$F$37,3,0)," ")</f>
        <v>4503</v>
      </c>
      <c r="R977" s="235">
        <f>IFERROR(VLOOKUP(C977,TD!$B$33:$F$37,4,0)," ")</f>
        <v>20240255</v>
      </c>
      <c r="S977" s="51" t="s">
        <v>177</v>
      </c>
      <c r="T977" s="186" t="str">
        <f>IFERROR(VLOOKUP(S977,TD!$J$34:$K$44,2,0)," ")</f>
        <v>Servicio de capacitaciones en gestión del riesgo de incendios  a la ciudadania.</v>
      </c>
      <c r="U977" s="187" t="str">
        <f>CONCATENATE(S977,"-",T977)</f>
        <v>05-Servicio de capacitaciones en gestión del riesgo de incendios  a la ciudadania.</v>
      </c>
      <c r="V977" s="51" t="s">
        <v>234</v>
      </c>
      <c r="W977" s="186" t="str">
        <f>IFERROR(VLOOKUP(V977,TD!$N$34:$O$46,2,0)," ")</f>
        <v>Servicio prevención y control de incendios</v>
      </c>
      <c r="X977" s="206" t="str">
        <f>CONCATENATE(V977,"_",W977)</f>
        <v>035_Servicio prevención y control de incendios</v>
      </c>
      <c r="Y977" s="206" t="str">
        <f>CONCATENATE(U977," ",X977)</f>
        <v>05-Servicio de capacitaciones en gestión del riesgo de incendios  a la ciudadania. 035_Servicio prevención y control de incendios</v>
      </c>
      <c r="Z977" s="235" t="str">
        <f>CONCATENATE(P977,Q977,R977,S977,V977)</f>
        <v>O23011745032024025505035</v>
      </c>
      <c r="AA977" s="235" t="str">
        <f>IFERROR(VLOOKUP(Y977,TD!$K$47:$L$65,2,0)," ")</f>
        <v>PM/0131/0105/45030350255</v>
      </c>
      <c r="AB977" s="165" t="s">
        <v>138</v>
      </c>
      <c r="AC977" s="236" t="s">
        <v>204</v>
      </c>
    </row>
    <row r="978" spans="2:29" ht="56" x14ac:dyDescent="0.35">
      <c r="B978" s="161">
        <v>20251032</v>
      </c>
      <c r="C978" s="166" t="s">
        <v>209</v>
      </c>
      <c r="D978" s="237" t="s">
        <v>167</v>
      </c>
      <c r="E978" s="241" t="s">
        <v>505</v>
      </c>
      <c r="F978" s="237" t="s">
        <v>519</v>
      </c>
      <c r="G978" s="237" t="s">
        <v>156</v>
      </c>
      <c r="H978" s="162">
        <v>80111600</v>
      </c>
      <c r="I978" s="238">
        <v>11</v>
      </c>
      <c r="J978" s="238">
        <v>2</v>
      </c>
      <c r="K978" s="163">
        <v>0</v>
      </c>
      <c r="L978" s="165">
        <v>4800000</v>
      </c>
      <c r="M978" s="164" t="s">
        <v>464</v>
      </c>
      <c r="N978" s="165" t="s">
        <v>508</v>
      </c>
      <c r="O978" s="51" t="s">
        <v>221</v>
      </c>
      <c r="P978" s="239" t="str">
        <f>IFERROR(VLOOKUP(C978,TD!$B$33:$F$37,2,0)," ")</f>
        <v>O230117</v>
      </c>
      <c r="Q978" s="239" t="str">
        <f>IFERROR(VLOOKUP(C978,TD!$B$33:$F$37,3,0)," ")</f>
        <v>4503</v>
      </c>
      <c r="R978" s="239">
        <f>IFERROR(VLOOKUP(C978,TD!$B$33:$F$37,4,0)," ")</f>
        <v>20240255</v>
      </c>
      <c r="S978" s="51" t="s">
        <v>177</v>
      </c>
      <c r="T978" s="186" t="str">
        <f>IFERROR(VLOOKUP(S978,TD!$J$34:$K$44,2,0)," ")</f>
        <v>Servicio de capacitaciones en gestión del riesgo de incendios  a la ciudadania.</v>
      </c>
      <c r="U978" s="187" t="str">
        <f>CONCATENATE(S978,"-",T978)</f>
        <v>05-Servicio de capacitaciones en gestión del riesgo de incendios  a la ciudadania.</v>
      </c>
      <c r="V978" s="51" t="s">
        <v>234</v>
      </c>
      <c r="W978" s="186" t="str">
        <f>IFERROR(VLOOKUP(V978,TD!$N$34:$O$46,2,0)," ")</f>
        <v>Servicio prevención y control de incendios</v>
      </c>
      <c r="X978" s="187" t="str">
        <f>CONCATENATE(V978,"_",W978)</f>
        <v>035_Servicio prevención y control de incendios</v>
      </c>
      <c r="Y978" s="187" t="str">
        <f>CONCATENATE(U978," ",X978)</f>
        <v>05-Servicio de capacitaciones en gestión del riesgo de incendios  a la ciudadania. 035_Servicio prevención y control de incendios</v>
      </c>
      <c r="Z978" s="239" t="str">
        <f>CONCATENATE(P978,Q978,R978,S978,V978)</f>
        <v>O23011745032024025505035</v>
      </c>
      <c r="AA978" s="239" t="str">
        <f>IFERROR(VLOOKUP(Y978,TD!$K$47:$L$65,2,0)," ")</f>
        <v>PM/0131/0105/45030350255</v>
      </c>
      <c r="AB978" s="165" t="s">
        <v>138</v>
      </c>
      <c r="AC978" s="240" t="s">
        <v>204</v>
      </c>
    </row>
    <row r="979" spans="2:29" ht="70" x14ac:dyDescent="0.35">
      <c r="B979" s="167">
        <v>20251033</v>
      </c>
      <c r="C979" s="166" t="s">
        <v>209</v>
      </c>
      <c r="D979" s="237" t="s">
        <v>167</v>
      </c>
      <c r="E979" s="241" t="s">
        <v>505</v>
      </c>
      <c r="F979" s="233" t="s">
        <v>519</v>
      </c>
      <c r="G979" s="233" t="s">
        <v>156</v>
      </c>
      <c r="H979" s="170">
        <v>80111600</v>
      </c>
      <c r="I979" s="234">
        <v>11</v>
      </c>
      <c r="J979" s="234">
        <v>2</v>
      </c>
      <c r="K979" s="173">
        <v>0</v>
      </c>
      <c r="L979" s="177">
        <v>4800000</v>
      </c>
      <c r="M979" s="175" t="s">
        <v>464</v>
      </c>
      <c r="N979" s="177" t="s">
        <v>508</v>
      </c>
      <c r="O979" s="51" t="s">
        <v>221</v>
      </c>
      <c r="P979" s="235" t="str">
        <f>IFERROR(VLOOKUP(C979,TD!$B$33:$F$37,2,0)," ")</f>
        <v>O230117</v>
      </c>
      <c r="Q979" s="235" t="str">
        <f>IFERROR(VLOOKUP(C979,TD!$B$33:$F$37,3,0)," ")</f>
        <v>4503</v>
      </c>
      <c r="R979" s="235">
        <f>IFERROR(VLOOKUP(C979,TD!$B$33:$F$37,4,0)," ")</f>
        <v>20240255</v>
      </c>
      <c r="S979" s="51" t="s">
        <v>177</v>
      </c>
      <c r="T979" s="186" t="str">
        <f>IFERROR(VLOOKUP(S979,TD!$J$34:$K$44,2,0)," ")</f>
        <v>Servicio de capacitaciones en gestión del riesgo de incendios  a la ciudadania.</v>
      </c>
      <c r="U979" s="187" t="str">
        <f>CONCATENATE(S979,"-",T979)</f>
        <v>05-Servicio de capacitaciones en gestión del riesgo de incendios  a la ciudadania.</v>
      </c>
      <c r="V979" s="51" t="s">
        <v>234</v>
      </c>
      <c r="W979" s="186" t="str">
        <f>IFERROR(VLOOKUP(V979,TD!$N$34:$O$46,2,0)," ")</f>
        <v>Servicio prevención y control de incendios</v>
      </c>
      <c r="X979" s="206" t="str">
        <f>CONCATENATE(V979,"_",W979)</f>
        <v>035_Servicio prevención y control de incendios</v>
      </c>
      <c r="Y979" s="206" t="str">
        <f>CONCATENATE(U979," ",X979)</f>
        <v>05-Servicio de capacitaciones en gestión del riesgo de incendios  a la ciudadania. 035_Servicio prevención y control de incendios</v>
      </c>
      <c r="Z979" s="235" t="str">
        <f>CONCATENATE(P979,Q979,R979,S979,V979)</f>
        <v>O23011745032024025505035</v>
      </c>
      <c r="AA979" s="235" t="str">
        <f>IFERROR(VLOOKUP(Y979,TD!$K$47:$L$65,2,0)," ")</f>
        <v>PM/0131/0105/45030350255</v>
      </c>
      <c r="AB979" s="177" t="s">
        <v>138</v>
      </c>
      <c r="AC979" s="236" t="s">
        <v>204</v>
      </c>
    </row>
    <row r="980" spans="2:29" ht="70" x14ac:dyDescent="0.35">
      <c r="B980" s="167">
        <v>20251034</v>
      </c>
      <c r="C980" s="166" t="s">
        <v>209</v>
      </c>
      <c r="D980" s="237" t="s">
        <v>167</v>
      </c>
      <c r="E980" s="241" t="s">
        <v>505</v>
      </c>
      <c r="F980" s="233" t="s">
        <v>519</v>
      </c>
      <c r="G980" s="233" t="s">
        <v>156</v>
      </c>
      <c r="H980" s="170">
        <v>80111600</v>
      </c>
      <c r="I980" s="234">
        <v>11</v>
      </c>
      <c r="J980" s="234">
        <v>2</v>
      </c>
      <c r="K980" s="173">
        <v>0</v>
      </c>
      <c r="L980" s="177">
        <v>4800000</v>
      </c>
      <c r="M980" s="175" t="s">
        <v>464</v>
      </c>
      <c r="N980" s="177" t="s">
        <v>508</v>
      </c>
      <c r="O980" s="51" t="s">
        <v>221</v>
      </c>
      <c r="P980" s="235" t="str">
        <f>IFERROR(VLOOKUP(C980,TD!$B$33:$F$37,2,0)," ")</f>
        <v>O230117</v>
      </c>
      <c r="Q980" s="235" t="str">
        <f>IFERROR(VLOOKUP(C980,TD!$B$33:$F$37,3,0)," ")</f>
        <v>4503</v>
      </c>
      <c r="R980" s="235">
        <f>IFERROR(VLOOKUP(C980,TD!$B$33:$F$37,4,0)," ")</f>
        <v>20240255</v>
      </c>
      <c r="S980" s="51" t="s">
        <v>177</v>
      </c>
      <c r="T980" s="186" t="str">
        <f>IFERROR(VLOOKUP(S980,TD!$J$34:$K$44,2,0)," ")</f>
        <v>Servicio de capacitaciones en gestión del riesgo de incendios  a la ciudadania.</v>
      </c>
      <c r="U980" s="187" t="str">
        <f>CONCATENATE(S980,"-",T980)</f>
        <v>05-Servicio de capacitaciones en gestión del riesgo de incendios  a la ciudadania.</v>
      </c>
      <c r="V980" s="51" t="s">
        <v>234</v>
      </c>
      <c r="W980" s="186" t="str">
        <f>IFERROR(VLOOKUP(V980,TD!$N$34:$O$46,2,0)," ")</f>
        <v>Servicio prevención y control de incendios</v>
      </c>
      <c r="X980" s="206" t="str">
        <f>CONCATENATE(V980,"_",W980)</f>
        <v>035_Servicio prevención y control de incendios</v>
      </c>
      <c r="Y980" s="206" t="str">
        <f>CONCATENATE(U980," ",X980)</f>
        <v>05-Servicio de capacitaciones en gestión del riesgo de incendios  a la ciudadania. 035_Servicio prevención y control de incendios</v>
      </c>
      <c r="Z980" s="235" t="str">
        <f>CONCATENATE(P980,Q980,R980,S980,V980)</f>
        <v>O23011745032024025505035</v>
      </c>
      <c r="AA980" s="235" t="str">
        <f>IFERROR(VLOOKUP(Y980,TD!$K$47:$L$65,2,0)," ")</f>
        <v>PM/0131/0105/45030350255</v>
      </c>
      <c r="AB980" s="177" t="s">
        <v>138</v>
      </c>
      <c r="AC980" s="240" t="s">
        <v>204</v>
      </c>
    </row>
    <row r="981" spans="2:29" ht="70" x14ac:dyDescent="0.35">
      <c r="B981" s="167">
        <v>20251035</v>
      </c>
      <c r="C981" s="166" t="s">
        <v>209</v>
      </c>
      <c r="D981" s="237" t="s">
        <v>167</v>
      </c>
      <c r="E981" s="241" t="s">
        <v>505</v>
      </c>
      <c r="F981" s="233" t="s">
        <v>519</v>
      </c>
      <c r="G981" s="233" t="s">
        <v>156</v>
      </c>
      <c r="H981" s="170">
        <v>80111600</v>
      </c>
      <c r="I981" s="234">
        <v>11</v>
      </c>
      <c r="J981" s="234">
        <v>2</v>
      </c>
      <c r="K981" s="173">
        <v>0</v>
      </c>
      <c r="L981" s="177">
        <v>4800000</v>
      </c>
      <c r="M981" s="175" t="s">
        <v>464</v>
      </c>
      <c r="N981" s="177" t="s">
        <v>508</v>
      </c>
      <c r="O981" s="51" t="s">
        <v>221</v>
      </c>
      <c r="P981" s="235" t="str">
        <f>IFERROR(VLOOKUP(C981,TD!$B$33:$F$37,2,0)," ")</f>
        <v>O230117</v>
      </c>
      <c r="Q981" s="235" t="str">
        <f>IFERROR(VLOOKUP(C981,TD!$B$33:$F$37,3,0)," ")</f>
        <v>4503</v>
      </c>
      <c r="R981" s="235">
        <f>IFERROR(VLOOKUP(C981,TD!$B$33:$F$37,4,0)," ")</f>
        <v>20240255</v>
      </c>
      <c r="S981" s="51" t="s">
        <v>177</v>
      </c>
      <c r="T981" s="186" t="str">
        <f>IFERROR(VLOOKUP(S981,TD!$J$34:$K$44,2,0)," ")</f>
        <v>Servicio de capacitaciones en gestión del riesgo de incendios  a la ciudadania.</v>
      </c>
      <c r="U981" s="187" t="str">
        <f>CONCATENATE(S981,"-",T981)</f>
        <v>05-Servicio de capacitaciones en gestión del riesgo de incendios  a la ciudadania.</v>
      </c>
      <c r="V981" s="51" t="s">
        <v>234</v>
      </c>
      <c r="W981" s="186" t="str">
        <f>IFERROR(VLOOKUP(V981,TD!$N$34:$O$46,2,0)," ")</f>
        <v>Servicio prevención y control de incendios</v>
      </c>
      <c r="X981" s="206" t="str">
        <f>CONCATENATE(V981,"_",W981)</f>
        <v>035_Servicio prevención y control de incendios</v>
      </c>
      <c r="Y981" s="206" t="str">
        <f>CONCATENATE(U981," ",X981)</f>
        <v>05-Servicio de capacitaciones en gestión del riesgo de incendios  a la ciudadania. 035_Servicio prevención y control de incendios</v>
      </c>
      <c r="Z981" s="235" t="str">
        <f>CONCATENATE(P981,Q981,R981,S981,V981)</f>
        <v>O23011745032024025505035</v>
      </c>
      <c r="AA981" s="235" t="str">
        <f>IFERROR(VLOOKUP(Y981,TD!$K$47:$L$65,2,0)," ")</f>
        <v>PM/0131/0105/45030350255</v>
      </c>
      <c r="AB981" s="177" t="s">
        <v>138</v>
      </c>
      <c r="AC981" s="240" t="s">
        <v>204</v>
      </c>
    </row>
    <row r="982" spans="2:29" ht="70" x14ac:dyDescent="0.35">
      <c r="B982" s="161">
        <v>20251036</v>
      </c>
      <c r="C982" s="166" t="s">
        <v>209</v>
      </c>
      <c r="D982" s="237" t="s">
        <v>167</v>
      </c>
      <c r="E982" s="241" t="s">
        <v>505</v>
      </c>
      <c r="F982" s="237" t="s">
        <v>519</v>
      </c>
      <c r="G982" s="237" t="s">
        <v>156</v>
      </c>
      <c r="H982" s="162">
        <v>80111600</v>
      </c>
      <c r="I982" s="238">
        <v>11</v>
      </c>
      <c r="J982" s="238">
        <v>2</v>
      </c>
      <c r="K982" s="163">
        <v>0</v>
      </c>
      <c r="L982" s="165">
        <v>4800000</v>
      </c>
      <c r="M982" s="164" t="s">
        <v>464</v>
      </c>
      <c r="N982" s="165" t="s">
        <v>508</v>
      </c>
      <c r="O982" s="51" t="s">
        <v>221</v>
      </c>
      <c r="P982" s="239" t="str">
        <f>IFERROR(VLOOKUP(C982,TD!$B$33:$F$37,2,0)," ")</f>
        <v>O230117</v>
      </c>
      <c r="Q982" s="239" t="str">
        <f>IFERROR(VLOOKUP(C982,TD!$B$33:$F$37,3,0)," ")</f>
        <v>4503</v>
      </c>
      <c r="R982" s="239">
        <f>IFERROR(VLOOKUP(C982,TD!$B$33:$F$37,4,0)," ")</f>
        <v>20240255</v>
      </c>
      <c r="S982" s="51" t="s">
        <v>177</v>
      </c>
      <c r="T982" s="186" t="str">
        <f>IFERROR(VLOOKUP(S982,TD!$J$34:$K$44,2,0)," ")</f>
        <v>Servicio de capacitaciones en gestión del riesgo de incendios  a la ciudadania.</v>
      </c>
      <c r="U982" s="187" t="str">
        <f>CONCATENATE(S982,"-",T982)</f>
        <v>05-Servicio de capacitaciones en gestión del riesgo de incendios  a la ciudadania.</v>
      </c>
      <c r="V982" s="51" t="s">
        <v>234</v>
      </c>
      <c r="W982" s="186" t="str">
        <f>IFERROR(VLOOKUP(V982,TD!$N$34:$O$46,2,0)," ")</f>
        <v>Servicio prevención y control de incendios</v>
      </c>
      <c r="X982" s="187" t="str">
        <f>CONCATENATE(V982,"_",W982)</f>
        <v>035_Servicio prevención y control de incendios</v>
      </c>
      <c r="Y982" s="187" t="str">
        <f>CONCATENATE(U982," ",X982)</f>
        <v>05-Servicio de capacitaciones en gestión del riesgo de incendios  a la ciudadania. 035_Servicio prevención y control de incendios</v>
      </c>
      <c r="Z982" s="239" t="str">
        <f>CONCATENATE(P982,Q982,R982,S982,V982)</f>
        <v>O23011745032024025505035</v>
      </c>
      <c r="AA982" s="239" t="str">
        <f>IFERROR(VLOOKUP(Y982,TD!$K$47:$L$65,2,0)," ")</f>
        <v>PM/0131/0105/45030350255</v>
      </c>
      <c r="AB982" s="165" t="s">
        <v>138</v>
      </c>
      <c r="AC982" s="240" t="s">
        <v>204</v>
      </c>
    </row>
    <row r="983" spans="2:29" ht="70" x14ac:dyDescent="0.35">
      <c r="B983" s="167">
        <v>20251037</v>
      </c>
      <c r="C983" s="166" t="s">
        <v>209</v>
      </c>
      <c r="D983" s="237" t="s">
        <v>167</v>
      </c>
      <c r="E983" s="241" t="s">
        <v>505</v>
      </c>
      <c r="F983" s="237" t="s">
        <v>519</v>
      </c>
      <c r="G983" s="237" t="s">
        <v>156</v>
      </c>
      <c r="H983" s="162">
        <v>80111600</v>
      </c>
      <c r="I983" s="238">
        <v>11</v>
      </c>
      <c r="J983" s="238">
        <v>2</v>
      </c>
      <c r="K983" s="163">
        <v>0</v>
      </c>
      <c r="L983" s="165">
        <v>4800000</v>
      </c>
      <c r="M983" s="164" t="s">
        <v>464</v>
      </c>
      <c r="N983" s="165" t="s">
        <v>508</v>
      </c>
      <c r="O983" s="51" t="s">
        <v>221</v>
      </c>
      <c r="P983" s="239" t="str">
        <f>IFERROR(VLOOKUP(C983,TD!$B$33:$F$37,2,0)," ")</f>
        <v>O230117</v>
      </c>
      <c r="Q983" s="239" t="str">
        <f>IFERROR(VLOOKUP(C983,TD!$B$33:$F$37,3,0)," ")</f>
        <v>4503</v>
      </c>
      <c r="R983" s="239">
        <f>IFERROR(VLOOKUP(C983,TD!$B$33:$F$37,4,0)," ")</f>
        <v>20240255</v>
      </c>
      <c r="S983" s="51" t="s">
        <v>177</v>
      </c>
      <c r="T983" s="186" t="str">
        <f>IFERROR(VLOOKUP(S983,TD!$J$34:$K$44,2,0)," ")</f>
        <v>Servicio de capacitaciones en gestión del riesgo de incendios  a la ciudadania.</v>
      </c>
      <c r="U983" s="187" t="str">
        <f>CONCATENATE(S983,"-",T983)</f>
        <v>05-Servicio de capacitaciones en gestión del riesgo de incendios  a la ciudadania.</v>
      </c>
      <c r="V983" s="51" t="s">
        <v>234</v>
      </c>
      <c r="W983" s="186" t="str">
        <f>IFERROR(VLOOKUP(V983,TD!$N$34:$O$46,2,0)," ")</f>
        <v>Servicio prevención y control de incendios</v>
      </c>
      <c r="X983" s="187" t="str">
        <f>CONCATENATE(V983,"_",W983)</f>
        <v>035_Servicio prevención y control de incendios</v>
      </c>
      <c r="Y983" s="187" t="str">
        <f>CONCATENATE(U983," ",X983)</f>
        <v>05-Servicio de capacitaciones en gestión del riesgo de incendios  a la ciudadania. 035_Servicio prevención y control de incendios</v>
      </c>
      <c r="Z983" s="239" t="str">
        <f>CONCATENATE(P983,Q983,R983,S983,V983)</f>
        <v>O23011745032024025505035</v>
      </c>
      <c r="AA983" s="239" t="str">
        <f>IFERROR(VLOOKUP(Y983,TD!$K$47:$L$65,2,0)," ")</f>
        <v>PM/0131/0105/45030350255</v>
      </c>
      <c r="AB983" s="165" t="s">
        <v>138</v>
      </c>
      <c r="AC983" s="240" t="s">
        <v>204</v>
      </c>
    </row>
    <row r="984" spans="2:29" ht="56" x14ac:dyDescent="0.35">
      <c r="B984" s="167">
        <v>20251038</v>
      </c>
      <c r="C984" s="166" t="s">
        <v>209</v>
      </c>
      <c r="D984" s="237" t="s">
        <v>167</v>
      </c>
      <c r="E984" s="241" t="s">
        <v>505</v>
      </c>
      <c r="F984" s="237" t="s">
        <v>519</v>
      </c>
      <c r="G984" s="237" t="s">
        <v>156</v>
      </c>
      <c r="H984" s="162">
        <v>80111600</v>
      </c>
      <c r="I984" s="238">
        <v>11</v>
      </c>
      <c r="J984" s="238">
        <v>2</v>
      </c>
      <c r="K984" s="163">
        <v>0</v>
      </c>
      <c r="L984" s="165">
        <v>4800000</v>
      </c>
      <c r="M984" s="164" t="s">
        <v>464</v>
      </c>
      <c r="N984" s="165" t="s">
        <v>508</v>
      </c>
      <c r="O984" s="51" t="s">
        <v>221</v>
      </c>
      <c r="P984" s="239" t="str">
        <f>IFERROR(VLOOKUP(C984,TD!$B$33:$F$37,2,0)," ")</f>
        <v>O230117</v>
      </c>
      <c r="Q984" s="239" t="str">
        <f>IFERROR(VLOOKUP(C984,TD!$B$33:$F$37,3,0)," ")</f>
        <v>4503</v>
      </c>
      <c r="R984" s="239">
        <f>IFERROR(VLOOKUP(C984,TD!$B$33:$F$37,4,0)," ")</f>
        <v>20240255</v>
      </c>
      <c r="S984" s="51" t="s">
        <v>177</v>
      </c>
      <c r="T984" s="186" t="str">
        <f>IFERROR(VLOOKUP(S984,TD!$J$34:$K$44,2,0)," ")</f>
        <v>Servicio de capacitaciones en gestión del riesgo de incendios  a la ciudadania.</v>
      </c>
      <c r="U984" s="187" t="str">
        <f>CONCATENATE(S984,"-",T984)</f>
        <v>05-Servicio de capacitaciones en gestión del riesgo de incendios  a la ciudadania.</v>
      </c>
      <c r="V984" s="51" t="s">
        <v>234</v>
      </c>
      <c r="W984" s="186" t="str">
        <f>IFERROR(VLOOKUP(V984,TD!$N$34:$O$46,2,0)," ")</f>
        <v>Servicio prevención y control de incendios</v>
      </c>
      <c r="X984" s="187" t="str">
        <f>CONCATENATE(V984,"_",W984)</f>
        <v>035_Servicio prevención y control de incendios</v>
      </c>
      <c r="Y984" s="187" t="str">
        <f>CONCATENATE(U984," ",X984)</f>
        <v>05-Servicio de capacitaciones en gestión del riesgo de incendios  a la ciudadania. 035_Servicio prevención y control de incendios</v>
      </c>
      <c r="Z984" s="239" t="str">
        <f>CONCATENATE(P984,Q984,R984,S984,V984)</f>
        <v>O23011745032024025505035</v>
      </c>
      <c r="AA984" s="239" t="str">
        <f>IFERROR(VLOOKUP(Y984,TD!$K$47:$L$65,2,0)," ")</f>
        <v>PM/0131/0105/45030350255</v>
      </c>
      <c r="AB984" s="165" t="s">
        <v>138</v>
      </c>
      <c r="AC984" s="240" t="s">
        <v>204</v>
      </c>
    </row>
    <row r="985" spans="2:29" ht="70" x14ac:dyDescent="0.35">
      <c r="B985" s="167">
        <v>20251039</v>
      </c>
      <c r="C985" s="166" t="s">
        <v>209</v>
      </c>
      <c r="D985" s="237" t="s">
        <v>167</v>
      </c>
      <c r="E985" s="241" t="s">
        <v>505</v>
      </c>
      <c r="F985" s="237" t="s">
        <v>519</v>
      </c>
      <c r="G985" s="237" t="s">
        <v>156</v>
      </c>
      <c r="H985" s="162">
        <v>80111600</v>
      </c>
      <c r="I985" s="238">
        <v>11</v>
      </c>
      <c r="J985" s="238">
        <v>2</v>
      </c>
      <c r="K985" s="163">
        <v>0</v>
      </c>
      <c r="L985" s="165">
        <v>4800000</v>
      </c>
      <c r="M985" s="164" t="s">
        <v>464</v>
      </c>
      <c r="N985" s="165" t="s">
        <v>508</v>
      </c>
      <c r="O985" s="51" t="s">
        <v>221</v>
      </c>
      <c r="P985" s="239" t="str">
        <f>IFERROR(VLOOKUP(C985,TD!$B$33:$F$37,2,0)," ")</f>
        <v>O230117</v>
      </c>
      <c r="Q985" s="239" t="str">
        <f>IFERROR(VLOOKUP(C985,TD!$B$33:$F$37,3,0)," ")</f>
        <v>4503</v>
      </c>
      <c r="R985" s="239">
        <f>IFERROR(VLOOKUP(C985,TD!$B$33:$F$37,4,0)," ")</f>
        <v>20240255</v>
      </c>
      <c r="S985" s="51" t="s">
        <v>177</v>
      </c>
      <c r="T985" s="186" t="str">
        <f>IFERROR(VLOOKUP(S985,TD!$J$34:$K$44,2,0)," ")</f>
        <v>Servicio de capacitaciones en gestión del riesgo de incendios  a la ciudadania.</v>
      </c>
      <c r="U985" s="187" t="str">
        <f>CONCATENATE(S985,"-",T985)</f>
        <v>05-Servicio de capacitaciones en gestión del riesgo de incendios  a la ciudadania.</v>
      </c>
      <c r="V985" s="51" t="s">
        <v>234</v>
      </c>
      <c r="W985" s="186" t="str">
        <f>IFERROR(VLOOKUP(V985,TD!$N$34:$O$46,2,0)," ")</f>
        <v>Servicio prevención y control de incendios</v>
      </c>
      <c r="X985" s="187" t="str">
        <f>CONCATENATE(V985,"_",W985)</f>
        <v>035_Servicio prevención y control de incendios</v>
      </c>
      <c r="Y985" s="187" t="str">
        <f>CONCATENATE(U985," ",X985)</f>
        <v>05-Servicio de capacitaciones en gestión del riesgo de incendios  a la ciudadania. 035_Servicio prevención y control de incendios</v>
      </c>
      <c r="Z985" s="239" t="str">
        <f>CONCATENATE(P985,Q985,R985,S985,V985)</f>
        <v>O23011745032024025505035</v>
      </c>
      <c r="AA985" s="239" t="str">
        <f>IFERROR(VLOOKUP(Y985,TD!$K$47:$L$65,2,0)," ")</f>
        <v>PM/0131/0105/45030350255</v>
      </c>
      <c r="AB985" s="165" t="s">
        <v>138</v>
      </c>
      <c r="AC985" s="240" t="s">
        <v>204</v>
      </c>
    </row>
    <row r="986" spans="2:29" ht="56" x14ac:dyDescent="0.35">
      <c r="B986" s="161">
        <v>20251040</v>
      </c>
      <c r="C986" s="166" t="s">
        <v>209</v>
      </c>
      <c r="D986" s="237" t="s">
        <v>167</v>
      </c>
      <c r="E986" s="241" t="s">
        <v>505</v>
      </c>
      <c r="F986" s="237" t="s">
        <v>519</v>
      </c>
      <c r="G986" s="237" t="s">
        <v>156</v>
      </c>
      <c r="H986" s="162">
        <v>80111600</v>
      </c>
      <c r="I986" s="238">
        <v>11</v>
      </c>
      <c r="J986" s="238">
        <v>2</v>
      </c>
      <c r="K986" s="163">
        <v>0</v>
      </c>
      <c r="L986" s="165">
        <v>4800000</v>
      </c>
      <c r="M986" s="164" t="s">
        <v>464</v>
      </c>
      <c r="N986" s="165" t="s">
        <v>508</v>
      </c>
      <c r="O986" s="51" t="s">
        <v>221</v>
      </c>
      <c r="P986" s="239" t="str">
        <f>IFERROR(VLOOKUP(C986,TD!$B$33:$F$37,2,0)," ")</f>
        <v>O230117</v>
      </c>
      <c r="Q986" s="239" t="str">
        <f>IFERROR(VLOOKUP(C986,TD!$B$33:$F$37,3,0)," ")</f>
        <v>4503</v>
      </c>
      <c r="R986" s="239">
        <f>IFERROR(VLOOKUP(C986,TD!$B$33:$F$37,4,0)," ")</f>
        <v>20240255</v>
      </c>
      <c r="S986" s="51" t="s">
        <v>177</v>
      </c>
      <c r="T986" s="186" t="str">
        <f>IFERROR(VLOOKUP(S986,TD!$J$34:$K$44,2,0)," ")</f>
        <v>Servicio de capacitaciones en gestión del riesgo de incendios  a la ciudadania.</v>
      </c>
      <c r="U986" s="187" t="str">
        <f>CONCATENATE(S986,"-",T986)</f>
        <v>05-Servicio de capacitaciones en gestión del riesgo de incendios  a la ciudadania.</v>
      </c>
      <c r="V986" s="51" t="s">
        <v>234</v>
      </c>
      <c r="W986" s="186" t="str">
        <f>IFERROR(VLOOKUP(V986,TD!$N$34:$O$46,2,0)," ")</f>
        <v>Servicio prevención y control de incendios</v>
      </c>
      <c r="X986" s="187" t="str">
        <f>CONCATENATE(V986,"_",W986)</f>
        <v>035_Servicio prevención y control de incendios</v>
      </c>
      <c r="Y986" s="187" t="str">
        <f>CONCATENATE(U986," ",X986)</f>
        <v>05-Servicio de capacitaciones en gestión del riesgo de incendios  a la ciudadania. 035_Servicio prevención y control de incendios</v>
      </c>
      <c r="Z986" s="239" t="str">
        <f>CONCATENATE(P986,Q986,R986,S986,V986)</f>
        <v>O23011745032024025505035</v>
      </c>
      <c r="AA986" s="239" t="str">
        <f>IFERROR(VLOOKUP(Y986,TD!$K$47:$L$65,2,0)," ")</f>
        <v>PM/0131/0105/45030350255</v>
      </c>
      <c r="AB986" s="165" t="s">
        <v>138</v>
      </c>
      <c r="AC986" s="240" t="s">
        <v>204</v>
      </c>
    </row>
    <row r="987" spans="2:29" ht="98" x14ac:dyDescent="0.35">
      <c r="B987" s="167">
        <v>20251041</v>
      </c>
      <c r="C987" s="166" t="s">
        <v>209</v>
      </c>
      <c r="D987" s="237" t="s">
        <v>167</v>
      </c>
      <c r="E987" s="241" t="s">
        <v>505</v>
      </c>
      <c r="F987" s="237" t="s">
        <v>519</v>
      </c>
      <c r="G987" s="237" t="s">
        <v>156</v>
      </c>
      <c r="H987" s="162">
        <v>80111600</v>
      </c>
      <c r="I987" s="238">
        <v>11</v>
      </c>
      <c r="J987" s="238">
        <v>2</v>
      </c>
      <c r="K987" s="163">
        <v>0</v>
      </c>
      <c r="L987" s="165">
        <v>4800000</v>
      </c>
      <c r="M987" s="164" t="s">
        <v>464</v>
      </c>
      <c r="N987" s="165" t="s">
        <v>508</v>
      </c>
      <c r="O987" s="51" t="s">
        <v>221</v>
      </c>
      <c r="P987" s="239" t="str">
        <f>IFERROR(VLOOKUP(C987,TD!$B$33:$F$37,2,0)," ")</f>
        <v>O230117</v>
      </c>
      <c r="Q987" s="239" t="str">
        <f>IFERROR(VLOOKUP(C987,TD!$B$33:$F$37,3,0)," ")</f>
        <v>4503</v>
      </c>
      <c r="R987" s="239">
        <f>IFERROR(VLOOKUP(C987,TD!$B$33:$F$37,4,0)," ")</f>
        <v>20240255</v>
      </c>
      <c r="S987" s="51" t="s">
        <v>177</v>
      </c>
      <c r="T987" s="186" t="str">
        <f>IFERROR(VLOOKUP(S987,TD!$J$34:$K$44,2,0)," ")</f>
        <v>Servicio de capacitaciones en gestión del riesgo de incendios  a la ciudadania.</v>
      </c>
      <c r="U987" s="187" t="str">
        <f>CONCATENATE(S987,"-",T987)</f>
        <v>05-Servicio de capacitaciones en gestión del riesgo de incendios  a la ciudadania.</v>
      </c>
      <c r="V987" s="51" t="s">
        <v>234</v>
      </c>
      <c r="W987" s="186" t="str">
        <f>IFERROR(VLOOKUP(V987,TD!$N$34:$O$46,2,0)," ")</f>
        <v>Servicio prevención y control de incendios</v>
      </c>
      <c r="X987" s="187" t="str">
        <f>CONCATENATE(V987,"_",W987)</f>
        <v>035_Servicio prevención y control de incendios</v>
      </c>
      <c r="Y987" s="187" t="str">
        <f>CONCATENATE(U987," ",X987)</f>
        <v>05-Servicio de capacitaciones en gestión del riesgo de incendios  a la ciudadania. 035_Servicio prevención y control de incendios</v>
      </c>
      <c r="Z987" s="239" t="str">
        <f>CONCATENATE(P987,Q987,R987,S987,V987)</f>
        <v>O23011745032024025505035</v>
      </c>
      <c r="AA987" s="239" t="str">
        <f>IFERROR(VLOOKUP(Y987,TD!$K$47:$L$65,2,0)," ")</f>
        <v>PM/0131/0105/45030350255</v>
      </c>
      <c r="AB987" s="165" t="s">
        <v>138</v>
      </c>
      <c r="AC987" s="240" t="s">
        <v>204</v>
      </c>
    </row>
    <row r="988" spans="2:29" ht="84" x14ac:dyDescent="0.35">
      <c r="B988" s="167">
        <v>20251042</v>
      </c>
      <c r="C988" s="166" t="s">
        <v>209</v>
      </c>
      <c r="D988" s="237" t="s">
        <v>167</v>
      </c>
      <c r="E988" s="241" t="s">
        <v>505</v>
      </c>
      <c r="F988" s="237" t="s">
        <v>519</v>
      </c>
      <c r="G988" s="237" t="s">
        <v>156</v>
      </c>
      <c r="H988" s="162">
        <v>80111600</v>
      </c>
      <c r="I988" s="238">
        <v>11</v>
      </c>
      <c r="J988" s="238">
        <v>2</v>
      </c>
      <c r="K988" s="163">
        <v>0</v>
      </c>
      <c r="L988" s="165">
        <v>4800000</v>
      </c>
      <c r="M988" s="164" t="s">
        <v>464</v>
      </c>
      <c r="N988" s="165" t="s">
        <v>508</v>
      </c>
      <c r="O988" s="51" t="s">
        <v>221</v>
      </c>
      <c r="P988" s="239" t="str">
        <f>IFERROR(VLOOKUP(C988,TD!$B$33:$F$37,2,0)," ")</f>
        <v>O230117</v>
      </c>
      <c r="Q988" s="239" t="str">
        <f>IFERROR(VLOOKUP(C988,TD!$B$33:$F$37,3,0)," ")</f>
        <v>4503</v>
      </c>
      <c r="R988" s="239">
        <f>IFERROR(VLOOKUP(C988,TD!$B$33:$F$37,4,0)," ")</f>
        <v>20240255</v>
      </c>
      <c r="S988" s="51" t="s">
        <v>177</v>
      </c>
      <c r="T988" s="186" t="str">
        <f>IFERROR(VLOOKUP(S988,TD!$J$34:$K$44,2,0)," ")</f>
        <v>Servicio de capacitaciones en gestión del riesgo de incendios  a la ciudadania.</v>
      </c>
      <c r="U988" s="187" t="str">
        <f>CONCATENATE(S988,"-",T988)</f>
        <v>05-Servicio de capacitaciones en gestión del riesgo de incendios  a la ciudadania.</v>
      </c>
      <c r="V988" s="51" t="s">
        <v>234</v>
      </c>
      <c r="W988" s="186" t="str">
        <f>IFERROR(VLOOKUP(V988,TD!$N$34:$O$46,2,0)," ")</f>
        <v>Servicio prevención y control de incendios</v>
      </c>
      <c r="X988" s="187" t="str">
        <f>CONCATENATE(V988,"_",W988)</f>
        <v>035_Servicio prevención y control de incendios</v>
      </c>
      <c r="Y988" s="187" t="str">
        <f>CONCATENATE(U988," ",X988)</f>
        <v>05-Servicio de capacitaciones en gestión del riesgo de incendios  a la ciudadania. 035_Servicio prevención y control de incendios</v>
      </c>
      <c r="Z988" s="239" t="str">
        <f>CONCATENATE(P988,Q988,R988,S988,V988)</f>
        <v>O23011745032024025505035</v>
      </c>
      <c r="AA988" s="239" t="str">
        <f>IFERROR(VLOOKUP(Y988,TD!$K$47:$L$65,2,0)," ")</f>
        <v>PM/0131/0105/45030350255</v>
      </c>
      <c r="AB988" s="165" t="s">
        <v>138</v>
      </c>
      <c r="AC988" s="240" t="s">
        <v>204</v>
      </c>
    </row>
    <row r="989" spans="2:29" ht="70" x14ac:dyDescent="0.35">
      <c r="B989" s="167">
        <v>20251043</v>
      </c>
      <c r="C989" s="166" t="s">
        <v>209</v>
      </c>
      <c r="D989" s="237" t="s">
        <v>167</v>
      </c>
      <c r="E989" s="241" t="s">
        <v>505</v>
      </c>
      <c r="F989" s="237" t="s">
        <v>519</v>
      </c>
      <c r="G989" s="237" t="s">
        <v>156</v>
      </c>
      <c r="H989" s="162">
        <v>80111600</v>
      </c>
      <c r="I989" s="238">
        <v>11</v>
      </c>
      <c r="J989" s="238">
        <v>2</v>
      </c>
      <c r="K989" s="163">
        <v>0</v>
      </c>
      <c r="L989" s="165">
        <v>4800000</v>
      </c>
      <c r="M989" s="164" t="s">
        <v>464</v>
      </c>
      <c r="N989" s="165" t="s">
        <v>508</v>
      </c>
      <c r="O989" s="51" t="s">
        <v>221</v>
      </c>
      <c r="P989" s="239" t="str">
        <f>IFERROR(VLOOKUP(C989,TD!$B$33:$F$37,2,0)," ")</f>
        <v>O230117</v>
      </c>
      <c r="Q989" s="239" t="str">
        <f>IFERROR(VLOOKUP(C989,TD!$B$33:$F$37,3,0)," ")</f>
        <v>4503</v>
      </c>
      <c r="R989" s="239">
        <f>IFERROR(VLOOKUP(C989,TD!$B$33:$F$37,4,0)," ")</f>
        <v>20240255</v>
      </c>
      <c r="S989" s="51" t="s">
        <v>177</v>
      </c>
      <c r="T989" s="186" t="str">
        <f>IFERROR(VLOOKUP(S989,TD!$J$34:$K$44,2,0)," ")</f>
        <v>Servicio de capacitaciones en gestión del riesgo de incendios  a la ciudadania.</v>
      </c>
      <c r="U989" s="187" t="str">
        <f>CONCATENATE(S989,"-",T989)</f>
        <v>05-Servicio de capacitaciones en gestión del riesgo de incendios  a la ciudadania.</v>
      </c>
      <c r="V989" s="51" t="s">
        <v>234</v>
      </c>
      <c r="W989" s="186" t="str">
        <f>IFERROR(VLOOKUP(V989,TD!$N$34:$O$46,2,0)," ")</f>
        <v>Servicio prevención y control de incendios</v>
      </c>
      <c r="X989" s="187" t="str">
        <f>CONCATENATE(V989,"_",W989)</f>
        <v>035_Servicio prevención y control de incendios</v>
      </c>
      <c r="Y989" s="187" t="str">
        <f>CONCATENATE(U989," ",X989)</f>
        <v>05-Servicio de capacitaciones en gestión del riesgo de incendios  a la ciudadania. 035_Servicio prevención y control de incendios</v>
      </c>
      <c r="Z989" s="239" t="str">
        <f>CONCATENATE(P989,Q989,R989,S989,V989)</f>
        <v>O23011745032024025505035</v>
      </c>
      <c r="AA989" s="239" t="str">
        <f>IFERROR(VLOOKUP(Y989,TD!$K$47:$L$65,2,0)," ")</f>
        <v>PM/0131/0105/45030350255</v>
      </c>
      <c r="AB989" s="165" t="s">
        <v>138</v>
      </c>
      <c r="AC989" s="240" t="s">
        <v>204</v>
      </c>
    </row>
    <row r="990" spans="2:29" ht="70" x14ac:dyDescent="0.35">
      <c r="B990" s="161">
        <v>20251044</v>
      </c>
      <c r="C990" s="166" t="s">
        <v>209</v>
      </c>
      <c r="D990" s="237" t="s">
        <v>167</v>
      </c>
      <c r="E990" s="241" t="s">
        <v>505</v>
      </c>
      <c r="F990" s="237" t="s">
        <v>519</v>
      </c>
      <c r="G990" s="237" t="s">
        <v>156</v>
      </c>
      <c r="H990" s="162">
        <v>80111600</v>
      </c>
      <c r="I990" s="238">
        <v>11</v>
      </c>
      <c r="J990" s="238">
        <v>2</v>
      </c>
      <c r="K990" s="163">
        <v>0</v>
      </c>
      <c r="L990" s="165">
        <v>4800000</v>
      </c>
      <c r="M990" s="164" t="s">
        <v>464</v>
      </c>
      <c r="N990" s="165" t="s">
        <v>508</v>
      </c>
      <c r="O990" s="51" t="s">
        <v>221</v>
      </c>
      <c r="P990" s="239" t="str">
        <f>IFERROR(VLOOKUP(C990,TD!$B$33:$F$37,2,0)," ")</f>
        <v>O230117</v>
      </c>
      <c r="Q990" s="239" t="str">
        <f>IFERROR(VLOOKUP(C990,TD!$B$33:$F$37,3,0)," ")</f>
        <v>4503</v>
      </c>
      <c r="R990" s="239">
        <f>IFERROR(VLOOKUP(C990,TD!$B$33:$F$37,4,0)," ")</f>
        <v>20240255</v>
      </c>
      <c r="S990" s="51" t="s">
        <v>177</v>
      </c>
      <c r="T990" s="186" t="str">
        <f>IFERROR(VLOOKUP(S990,TD!$J$34:$K$44,2,0)," ")</f>
        <v>Servicio de capacitaciones en gestión del riesgo de incendios  a la ciudadania.</v>
      </c>
      <c r="U990" s="187" t="str">
        <f>CONCATENATE(S990,"-",T990)</f>
        <v>05-Servicio de capacitaciones en gestión del riesgo de incendios  a la ciudadania.</v>
      </c>
      <c r="V990" s="51" t="s">
        <v>234</v>
      </c>
      <c r="W990" s="186" t="str">
        <f>IFERROR(VLOOKUP(V990,TD!$N$34:$O$46,2,0)," ")</f>
        <v>Servicio prevención y control de incendios</v>
      </c>
      <c r="X990" s="187" t="str">
        <f>CONCATENATE(V990,"_",W990)</f>
        <v>035_Servicio prevención y control de incendios</v>
      </c>
      <c r="Y990" s="187" t="str">
        <f>CONCATENATE(U990," ",X990)</f>
        <v>05-Servicio de capacitaciones en gestión del riesgo de incendios  a la ciudadania. 035_Servicio prevención y control de incendios</v>
      </c>
      <c r="Z990" s="239" t="str">
        <f>CONCATENATE(P990,Q990,R990,S990,V990)</f>
        <v>O23011745032024025505035</v>
      </c>
      <c r="AA990" s="239" t="str">
        <f>IFERROR(VLOOKUP(Y990,TD!$K$47:$L$65,2,0)," ")</f>
        <v>PM/0131/0105/45030350255</v>
      </c>
      <c r="AB990" s="165" t="s">
        <v>138</v>
      </c>
      <c r="AC990" s="240" t="s">
        <v>204</v>
      </c>
    </row>
    <row r="991" spans="2:29" ht="70" x14ac:dyDescent="0.35">
      <c r="B991" s="167">
        <v>20251045</v>
      </c>
      <c r="C991" s="166" t="s">
        <v>209</v>
      </c>
      <c r="D991" s="237" t="s">
        <v>167</v>
      </c>
      <c r="E991" s="241" t="s">
        <v>505</v>
      </c>
      <c r="F991" s="237" t="s">
        <v>519</v>
      </c>
      <c r="G991" s="237" t="s">
        <v>156</v>
      </c>
      <c r="H991" s="162">
        <v>80111600</v>
      </c>
      <c r="I991" s="238">
        <v>11</v>
      </c>
      <c r="J991" s="238">
        <v>2</v>
      </c>
      <c r="K991" s="163">
        <v>0</v>
      </c>
      <c r="L991" s="165">
        <v>4800000</v>
      </c>
      <c r="M991" s="164" t="s">
        <v>464</v>
      </c>
      <c r="N991" s="165" t="s">
        <v>508</v>
      </c>
      <c r="O991" s="51" t="s">
        <v>221</v>
      </c>
      <c r="P991" s="239" t="str">
        <f>IFERROR(VLOOKUP(C991,TD!$B$33:$F$37,2,0)," ")</f>
        <v>O230117</v>
      </c>
      <c r="Q991" s="239" t="str">
        <f>IFERROR(VLOOKUP(C991,TD!$B$33:$F$37,3,0)," ")</f>
        <v>4503</v>
      </c>
      <c r="R991" s="239">
        <f>IFERROR(VLOOKUP(C991,TD!$B$33:$F$37,4,0)," ")</f>
        <v>20240255</v>
      </c>
      <c r="S991" s="51" t="s">
        <v>177</v>
      </c>
      <c r="T991" s="186" t="str">
        <f>IFERROR(VLOOKUP(S991,TD!$J$34:$K$44,2,0)," ")</f>
        <v>Servicio de capacitaciones en gestión del riesgo de incendios  a la ciudadania.</v>
      </c>
      <c r="U991" s="187" t="str">
        <f>CONCATENATE(S991,"-",T991)</f>
        <v>05-Servicio de capacitaciones en gestión del riesgo de incendios  a la ciudadania.</v>
      </c>
      <c r="V991" s="51" t="s">
        <v>234</v>
      </c>
      <c r="W991" s="186" t="str">
        <f>IFERROR(VLOOKUP(V991,TD!$N$34:$O$46,2,0)," ")</f>
        <v>Servicio prevención y control de incendios</v>
      </c>
      <c r="X991" s="187" t="str">
        <f>CONCATENATE(V991,"_",W991)</f>
        <v>035_Servicio prevención y control de incendios</v>
      </c>
      <c r="Y991" s="187" t="str">
        <f>CONCATENATE(U991," ",X991)</f>
        <v>05-Servicio de capacitaciones en gestión del riesgo de incendios  a la ciudadania. 035_Servicio prevención y control de incendios</v>
      </c>
      <c r="Z991" s="239" t="str">
        <f>CONCATENATE(P991,Q991,R991,S991,V991)</f>
        <v>O23011745032024025505035</v>
      </c>
      <c r="AA991" s="239" t="str">
        <f>IFERROR(VLOOKUP(Y991,TD!$K$47:$L$65,2,0)," ")</f>
        <v>PM/0131/0105/45030350255</v>
      </c>
      <c r="AB991" s="165" t="s">
        <v>138</v>
      </c>
      <c r="AC991" s="240" t="s">
        <v>204</v>
      </c>
    </row>
    <row r="992" spans="2:29" ht="84" x14ac:dyDescent="0.35">
      <c r="B992" s="167">
        <v>20251046</v>
      </c>
      <c r="C992" s="166" t="s">
        <v>209</v>
      </c>
      <c r="D992" s="237" t="s">
        <v>167</v>
      </c>
      <c r="E992" s="241" t="s">
        <v>505</v>
      </c>
      <c r="F992" s="237" t="s">
        <v>519</v>
      </c>
      <c r="G992" s="237" t="s">
        <v>156</v>
      </c>
      <c r="H992" s="162">
        <v>80111600</v>
      </c>
      <c r="I992" s="238">
        <v>11</v>
      </c>
      <c r="J992" s="238">
        <v>2</v>
      </c>
      <c r="K992" s="163">
        <v>0</v>
      </c>
      <c r="L992" s="165">
        <v>4800000</v>
      </c>
      <c r="M992" s="164" t="s">
        <v>464</v>
      </c>
      <c r="N992" s="165" t="s">
        <v>508</v>
      </c>
      <c r="O992" s="51" t="s">
        <v>221</v>
      </c>
      <c r="P992" s="239" t="str">
        <f>IFERROR(VLOOKUP(C992,TD!$B$33:$F$37,2,0)," ")</f>
        <v>O230117</v>
      </c>
      <c r="Q992" s="239" t="str">
        <f>IFERROR(VLOOKUP(C992,TD!$B$33:$F$37,3,0)," ")</f>
        <v>4503</v>
      </c>
      <c r="R992" s="239">
        <f>IFERROR(VLOOKUP(C992,TD!$B$33:$F$37,4,0)," ")</f>
        <v>20240255</v>
      </c>
      <c r="S992" s="51" t="s">
        <v>177</v>
      </c>
      <c r="T992" s="186" t="str">
        <f>IFERROR(VLOOKUP(S992,TD!$J$34:$K$44,2,0)," ")</f>
        <v>Servicio de capacitaciones en gestión del riesgo de incendios  a la ciudadania.</v>
      </c>
      <c r="U992" s="187" t="str">
        <f>CONCATENATE(S992,"-",T992)</f>
        <v>05-Servicio de capacitaciones en gestión del riesgo de incendios  a la ciudadania.</v>
      </c>
      <c r="V992" s="51" t="s">
        <v>234</v>
      </c>
      <c r="W992" s="186" t="str">
        <f>IFERROR(VLOOKUP(V992,TD!$N$34:$O$46,2,0)," ")</f>
        <v>Servicio prevención y control de incendios</v>
      </c>
      <c r="X992" s="187" t="str">
        <f>CONCATENATE(V992,"_",W992)</f>
        <v>035_Servicio prevención y control de incendios</v>
      </c>
      <c r="Y992" s="187" t="str">
        <f>CONCATENATE(U992," ",X992)</f>
        <v>05-Servicio de capacitaciones en gestión del riesgo de incendios  a la ciudadania. 035_Servicio prevención y control de incendios</v>
      </c>
      <c r="Z992" s="239" t="str">
        <f>CONCATENATE(P992,Q992,R992,S992,V992)</f>
        <v>O23011745032024025505035</v>
      </c>
      <c r="AA992" s="239" t="str">
        <f>IFERROR(VLOOKUP(Y992,TD!$K$47:$L$65,2,0)," ")</f>
        <v>PM/0131/0105/45030350255</v>
      </c>
      <c r="AB992" s="165" t="s">
        <v>138</v>
      </c>
      <c r="AC992" s="240" t="s">
        <v>204</v>
      </c>
    </row>
    <row r="993" spans="2:29" ht="84" x14ac:dyDescent="0.35">
      <c r="B993" s="167">
        <v>20251047</v>
      </c>
      <c r="C993" s="166" t="s">
        <v>209</v>
      </c>
      <c r="D993" s="237" t="s">
        <v>167</v>
      </c>
      <c r="E993" s="241" t="s">
        <v>505</v>
      </c>
      <c r="F993" s="237" t="s">
        <v>519</v>
      </c>
      <c r="G993" s="237" t="s">
        <v>156</v>
      </c>
      <c r="H993" s="162">
        <v>80111600</v>
      </c>
      <c r="I993" s="238">
        <v>11</v>
      </c>
      <c r="J993" s="238">
        <v>2</v>
      </c>
      <c r="K993" s="163">
        <v>0</v>
      </c>
      <c r="L993" s="165">
        <v>4800000</v>
      </c>
      <c r="M993" s="164" t="s">
        <v>464</v>
      </c>
      <c r="N993" s="165" t="s">
        <v>508</v>
      </c>
      <c r="O993" s="51" t="s">
        <v>221</v>
      </c>
      <c r="P993" s="239" t="str">
        <f>IFERROR(VLOOKUP(C993,TD!$B$33:$F$37,2,0)," ")</f>
        <v>O230117</v>
      </c>
      <c r="Q993" s="239" t="str">
        <f>IFERROR(VLOOKUP(C993,TD!$B$33:$F$37,3,0)," ")</f>
        <v>4503</v>
      </c>
      <c r="R993" s="239">
        <f>IFERROR(VLOOKUP(C993,TD!$B$33:$F$37,4,0)," ")</f>
        <v>20240255</v>
      </c>
      <c r="S993" s="51" t="s">
        <v>177</v>
      </c>
      <c r="T993" s="186" t="str">
        <f>IFERROR(VLOOKUP(S993,TD!$J$34:$K$44,2,0)," ")</f>
        <v>Servicio de capacitaciones en gestión del riesgo de incendios  a la ciudadania.</v>
      </c>
      <c r="U993" s="187" t="str">
        <f>CONCATENATE(S993,"-",T993)</f>
        <v>05-Servicio de capacitaciones en gestión del riesgo de incendios  a la ciudadania.</v>
      </c>
      <c r="V993" s="51" t="s">
        <v>234</v>
      </c>
      <c r="W993" s="186" t="str">
        <f>IFERROR(VLOOKUP(V993,TD!$N$34:$O$46,2,0)," ")</f>
        <v>Servicio prevención y control de incendios</v>
      </c>
      <c r="X993" s="187" t="str">
        <f>CONCATENATE(V993,"_",W993)</f>
        <v>035_Servicio prevención y control de incendios</v>
      </c>
      <c r="Y993" s="187" t="str">
        <f>CONCATENATE(U993," ",X993)</f>
        <v>05-Servicio de capacitaciones en gestión del riesgo de incendios  a la ciudadania. 035_Servicio prevención y control de incendios</v>
      </c>
      <c r="Z993" s="239" t="str">
        <f>CONCATENATE(P993,Q993,R993,S993,V993)</f>
        <v>O23011745032024025505035</v>
      </c>
      <c r="AA993" s="239" t="str">
        <f>IFERROR(VLOOKUP(Y993,TD!$K$47:$L$65,2,0)," ")</f>
        <v>PM/0131/0105/45030350255</v>
      </c>
      <c r="AB993" s="165" t="s">
        <v>138</v>
      </c>
      <c r="AC993" s="240" t="s">
        <v>204</v>
      </c>
    </row>
    <row r="994" spans="2:29" ht="56" x14ac:dyDescent="0.35">
      <c r="B994" s="161">
        <v>20251048</v>
      </c>
      <c r="C994" s="166" t="s">
        <v>209</v>
      </c>
      <c r="D994" s="237" t="s">
        <v>167</v>
      </c>
      <c r="E994" s="241" t="s">
        <v>505</v>
      </c>
      <c r="F994" s="237" t="s">
        <v>519</v>
      </c>
      <c r="G994" s="237" t="s">
        <v>156</v>
      </c>
      <c r="H994" s="162">
        <v>80111600</v>
      </c>
      <c r="I994" s="238">
        <v>11</v>
      </c>
      <c r="J994" s="238">
        <v>2</v>
      </c>
      <c r="K994" s="163">
        <v>0</v>
      </c>
      <c r="L994" s="165">
        <v>4800000</v>
      </c>
      <c r="M994" s="164" t="s">
        <v>464</v>
      </c>
      <c r="N994" s="165" t="s">
        <v>508</v>
      </c>
      <c r="O994" s="51" t="s">
        <v>221</v>
      </c>
      <c r="P994" s="239" t="str">
        <f>IFERROR(VLOOKUP(C994,TD!$B$33:$F$37,2,0)," ")</f>
        <v>O230117</v>
      </c>
      <c r="Q994" s="239" t="str">
        <f>IFERROR(VLOOKUP(C994,TD!$B$33:$F$37,3,0)," ")</f>
        <v>4503</v>
      </c>
      <c r="R994" s="239">
        <f>IFERROR(VLOOKUP(C994,TD!$B$33:$F$37,4,0)," ")</f>
        <v>20240255</v>
      </c>
      <c r="S994" s="51" t="s">
        <v>177</v>
      </c>
      <c r="T994" s="186" t="str">
        <f>IFERROR(VLOOKUP(S994,TD!$J$34:$K$44,2,0)," ")</f>
        <v>Servicio de capacitaciones en gestión del riesgo de incendios  a la ciudadania.</v>
      </c>
      <c r="U994" s="187" t="str">
        <f>CONCATENATE(S994,"-",T994)</f>
        <v>05-Servicio de capacitaciones en gestión del riesgo de incendios  a la ciudadania.</v>
      </c>
      <c r="V994" s="51" t="s">
        <v>234</v>
      </c>
      <c r="W994" s="186" t="str">
        <f>IFERROR(VLOOKUP(V994,TD!$N$34:$O$46,2,0)," ")</f>
        <v>Servicio prevención y control de incendios</v>
      </c>
      <c r="X994" s="187" t="str">
        <f>CONCATENATE(V994,"_",W994)</f>
        <v>035_Servicio prevención y control de incendios</v>
      </c>
      <c r="Y994" s="187" t="str">
        <f>CONCATENATE(U994," ",X994)</f>
        <v>05-Servicio de capacitaciones en gestión del riesgo de incendios  a la ciudadania. 035_Servicio prevención y control de incendios</v>
      </c>
      <c r="Z994" s="239" t="str">
        <f>CONCATENATE(P994,Q994,R994,S994,V994)</f>
        <v>O23011745032024025505035</v>
      </c>
      <c r="AA994" s="239" t="str">
        <f>IFERROR(VLOOKUP(Y994,TD!$K$47:$L$65,2,0)," ")</f>
        <v>PM/0131/0105/45030350255</v>
      </c>
      <c r="AB994" s="165" t="s">
        <v>138</v>
      </c>
      <c r="AC994" s="240" t="s">
        <v>204</v>
      </c>
    </row>
    <row r="995" spans="2:29" ht="70" x14ac:dyDescent="0.35">
      <c r="B995" s="167">
        <v>20251049</v>
      </c>
      <c r="C995" s="166" t="s">
        <v>209</v>
      </c>
      <c r="D995" s="237" t="s">
        <v>167</v>
      </c>
      <c r="E995" s="241" t="s">
        <v>505</v>
      </c>
      <c r="F995" s="237" t="s">
        <v>519</v>
      </c>
      <c r="G995" s="237" t="s">
        <v>156</v>
      </c>
      <c r="H995" s="162">
        <v>80111600</v>
      </c>
      <c r="I995" s="238">
        <v>11</v>
      </c>
      <c r="J995" s="238">
        <v>2</v>
      </c>
      <c r="K995" s="163">
        <v>0</v>
      </c>
      <c r="L995" s="165">
        <v>4800000</v>
      </c>
      <c r="M995" s="164" t="s">
        <v>464</v>
      </c>
      <c r="N995" s="165" t="s">
        <v>508</v>
      </c>
      <c r="O995" s="51" t="s">
        <v>221</v>
      </c>
      <c r="P995" s="239" t="str">
        <f>IFERROR(VLOOKUP(C995,TD!$B$33:$F$37,2,0)," ")</f>
        <v>O230117</v>
      </c>
      <c r="Q995" s="239" t="str">
        <f>IFERROR(VLOOKUP(C995,TD!$B$33:$F$37,3,0)," ")</f>
        <v>4503</v>
      </c>
      <c r="R995" s="239">
        <f>IFERROR(VLOOKUP(C995,TD!$B$33:$F$37,4,0)," ")</f>
        <v>20240255</v>
      </c>
      <c r="S995" s="51" t="s">
        <v>177</v>
      </c>
      <c r="T995" s="186" t="str">
        <f>IFERROR(VLOOKUP(S995,TD!$J$34:$K$44,2,0)," ")</f>
        <v>Servicio de capacitaciones en gestión del riesgo de incendios  a la ciudadania.</v>
      </c>
      <c r="U995" s="187" t="str">
        <f>CONCATENATE(S995,"-",T995)</f>
        <v>05-Servicio de capacitaciones en gestión del riesgo de incendios  a la ciudadania.</v>
      </c>
      <c r="V995" s="51" t="s">
        <v>234</v>
      </c>
      <c r="W995" s="186" t="str">
        <f>IFERROR(VLOOKUP(V995,TD!$N$34:$O$46,2,0)," ")</f>
        <v>Servicio prevención y control de incendios</v>
      </c>
      <c r="X995" s="187" t="str">
        <f>CONCATENATE(V995,"_",W995)</f>
        <v>035_Servicio prevención y control de incendios</v>
      </c>
      <c r="Y995" s="187" t="str">
        <f>CONCATENATE(U995," ",X995)</f>
        <v>05-Servicio de capacitaciones en gestión del riesgo de incendios  a la ciudadania. 035_Servicio prevención y control de incendios</v>
      </c>
      <c r="Z995" s="239" t="str">
        <f>CONCATENATE(P995,Q995,R995,S995,V995)</f>
        <v>O23011745032024025505035</v>
      </c>
      <c r="AA995" s="239" t="str">
        <f>IFERROR(VLOOKUP(Y995,TD!$K$47:$L$65,2,0)," ")</f>
        <v>PM/0131/0105/45030350255</v>
      </c>
      <c r="AB995" s="165" t="s">
        <v>138</v>
      </c>
      <c r="AC995" s="240" t="s">
        <v>204</v>
      </c>
    </row>
    <row r="996" spans="2:29" ht="56" x14ac:dyDescent="0.35">
      <c r="B996" s="167">
        <v>20251050</v>
      </c>
      <c r="C996" s="166" t="s">
        <v>209</v>
      </c>
      <c r="D996" s="237" t="s">
        <v>167</v>
      </c>
      <c r="E996" s="241" t="s">
        <v>505</v>
      </c>
      <c r="F996" s="237" t="s">
        <v>519</v>
      </c>
      <c r="G996" s="237" t="s">
        <v>156</v>
      </c>
      <c r="H996" s="162">
        <v>80111600</v>
      </c>
      <c r="I996" s="238">
        <v>11</v>
      </c>
      <c r="J996" s="238">
        <v>2</v>
      </c>
      <c r="K996" s="163">
        <v>0</v>
      </c>
      <c r="L996" s="165">
        <v>4800000</v>
      </c>
      <c r="M996" s="164" t="s">
        <v>464</v>
      </c>
      <c r="N996" s="165" t="s">
        <v>508</v>
      </c>
      <c r="O996" s="51" t="s">
        <v>221</v>
      </c>
      <c r="P996" s="239" t="str">
        <f>IFERROR(VLOOKUP(C996,TD!$B$33:$F$37,2,0)," ")</f>
        <v>O230117</v>
      </c>
      <c r="Q996" s="239" t="str">
        <f>IFERROR(VLOOKUP(C996,TD!$B$33:$F$37,3,0)," ")</f>
        <v>4503</v>
      </c>
      <c r="R996" s="239">
        <f>IFERROR(VLOOKUP(C996,TD!$B$33:$F$37,4,0)," ")</f>
        <v>20240255</v>
      </c>
      <c r="S996" s="51" t="s">
        <v>177</v>
      </c>
      <c r="T996" s="186" t="str">
        <f>IFERROR(VLOOKUP(S996,TD!$J$34:$K$44,2,0)," ")</f>
        <v>Servicio de capacitaciones en gestión del riesgo de incendios  a la ciudadania.</v>
      </c>
      <c r="U996" s="187" t="str">
        <f>CONCATENATE(S996,"-",T996)</f>
        <v>05-Servicio de capacitaciones en gestión del riesgo de incendios  a la ciudadania.</v>
      </c>
      <c r="V996" s="51" t="s">
        <v>234</v>
      </c>
      <c r="W996" s="186" t="str">
        <f>IFERROR(VLOOKUP(V996,TD!$N$34:$O$46,2,0)," ")</f>
        <v>Servicio prevención y control de incendios</v>
      </c>
      <c r="X996" s="187" t="str">
        <f>CONCATENATE(V996,"_",W996)</f>
        <v>035_Servicio prevención y control de incendios</v>
      </c>
      <c r="Y996" s="187" t="str">
        <f>CONCATENATE(U996," ",X996)</f>
        <v>05-Servicio de capacitaciones en gestión del riesgo de incendios  a la ciudadania. 035_Servicio prevención y control de incendios</v>
      </c>
      <c r="Z996" s="239" t="str">
        <f>CONCATENATE(P996,Q996,R996,S996,V996)</f>
        <v>O23011745032024025505035</v>
      </c>
      <c r="AA996" s="239" t="str">
        <f>IFERROR(VLOOKUP(Y996,TD!$K$47:$L$65,2,0)," ")</f>
        <v>PM/0131/0105/45030350255</v>
      </c>
      <c r="AB996" s="165" t="s">
        <v>138</v>
      </c>
      <c r="AC996" s="240" t="s">
        <v>204</v>
      </c>
    </row>
    <row r="997" spans="2:29" ht="98" x14ac:dyDescent="0.35">
      <c r="B997" s="167">
        <v>20251051</v>
      </c>
      <c r="C997" s="166" t="s">
        <v>209</v>
      </c>
      <c r="D997" s="189" t="s">
        <v>169</v>
      </c>
      <c r="E997" s="241" t="s">
        <v>465</v>
      </c>
      <c r="F997" s="237" t="s">
        <v>1222</v>
      </c>
      <c r="G997" s="237" t="s">
        <v>155</v>
      </c>
      <c r="H997" s="162">
        <v>80111600</v>
      </c>
      <c r="I997" s="238">
        <v>10</v>
      </c>
      <c r="J997" s="238">
        <v>3</v>
      </c>
      <c r="K997" s="163">
        <v>0</v>
      </c>
      <c r="L997" s="165">
        <v>28500000</v>
      </c>
      <c r="M997" s="164" t="s">
        <v>464</v>
      </c>
      <c r="N997" s="165" t="s">
        <v>113</v>
      </c>
      <c r="O997" s="51" t="s">
        <v>222</v>
      </c>
      <c r="P997" s="239" t="str">
        <f>IFERROR(VLOOKUP(C997,TD!$B$33:$F$37,2,0)," ")</f>
        <v>O230117</v>
      </c>
      <c r="Q997" s="239" t="str">
        <f>IFERROR(VLOOKUP(C997,TD!$B$33:$F$37,3,0)," ")</f>
        <v>4503</v>
      </c>
      <c r="R997" s="239">
        <f>IFERROR(VLOOKUP(C997,TD!$B$33:$F$37,4,0)," ")</f>
        <v>20240255</v>
      </c>
      <c r="S997" s="51" t="s">
        <v>175</v>
      </c>
      <c r="T997" s="186" t="str">
        <f>IFERROR(VLOOKUP(S997,TD!$J$34:$K$44,2,0)," ")</f>
        <v>Servicio de atención a incidentes y emergencias.</v>
      </c>
      <c r="U997" s="187" t="str">
        <f>CONCATENATE(S997,"-",T997)</f>
        <v>04-Servicio de atención a incidentes y emergencias.</v>
      </c>
      <c r="V997" s="51" t="s">
        <v>232</v>
      </c>
      <c r="W997" s="186" t="str">
        <f>IFERROR(VLOOKUP(V997,TD!$N$34:$O$46,2,0)," ")</f>
        <v>Servicio de atención a emergencias y desastres</v>
      </c>
      <c r="X997" s="187" t="str">
        <f>CONCATENATE(V997,"_",W997)</f>
        <v>004_Servicio de atención a emergencias y desastres</v>
      </c>
      <c r="Y997" s="187" t="str">
        <f>CONCATENATE(U997," ",X997)</f>
        <v>04-Servicio de atención a incidentes y emergencias. 004_Servicio de atención a emergencias y desastres</v>
      </c>
      <c r="Z997" s="239" t="str">
        <f>CONCATENATE(P997,Q997,R997,S997,V997)</f>
        <v>O23011745032024025504004</v>
      </c>
      <c r="AA997" s="239" t="str">
        <f>IFERROR(VLOOKUP(Y997,TD!$K$47:$L$65,2,0)," ")</f>
        <v>PM/0131/0104/45030040255</v>
      </c>
      <c r="AB997" s="165" t="s">
        <v>138</v>
      </c>
      <c r="AC997" s="240" t="s">
        <v>204</v>
      </c>
    </row>
    <row r="998" spans="2:29" ht="70" x14ac:dyDescent="0.35">
      <c r="B998" s="161">
        <v>20251053</v>
      </c>
      <c r="C998" s="166" t="s">
        <v>209</v>
      </c>
      <c r="D998" s="237" t="s">
        <v>168</v>
      </c>
      <c r="E998" s="241" t="s">
        <v>603</v>
      </c>
      <c r="F998" s="237" t="s">
        <v>751</v>
      </c>
      <c r="G998" s="237" t="s">
        <v>155</v>
      </c>
      <c r="H998" s="162">
        <v>80111600</v>
      </c>
      <c r="I998" s="238">
        <v>10</v>
      </c>
      <c r="J998" s="238">
        <v>3</v>
      </c>
      <c r="K998" s="163">
        <v>10</v>
      </c>
      <c r="L998" s="165">
        <v>30000000</v>
      </c>
      <c r="M998" s="164" t="s">
        <v>464</v>
      </c>
      <c r="N998" s="165" t="s">
        <v>113</v>
      </c>
      <c r="O998" s="51" t="s">
        <v>224</v>
      </c>
      <c r="P998" s="239" t="str">
        <f>IFERROR(VLOOKUP(C998,TD!$B$33:$F$37,2,0)," ")</f>
        <v>O230117</v>
      </c>
      <c r="Q998" s="239" t="str">
        <f>IFERROR(VLOOKUP(C998,TD!$B$33:$F$37,3,0)," ")</f>
        <v>4503</v>
      </c>
      <c r="R998" s="239">
        <f>IFERROR(VLOOKUP(C998,TD!$B$33:$F$37,4,0)," ")</f>
        <v>20240255</v>
      </c>
      <c r="S998" s="51" t="s">
        <v>191</v>
      </c>
      <c r="T998" s="186" t="str">
        <f>IFERROR(VLOOKUP(S998,TD!$J$34:$K$44,2,0)," ")</f>
        <v>Servicio de apoyo   logístico  en eventos operativos y/o emergencias.</v>
      </c>
      <c r="U998" s="187" t="str">
        <f>CONCATENATE(S998,"-",T998)</f>
        <v>12-Servicio de apoyo   logístico  en eventos operativos y/o emergencias.</v>
      </c>
      <c r="V998" s="51" t="s">
        <v>232</v>
      </c>
      <c r="W998" s="186" t="str">
        <f>IFERROR(VLOOKUP(V998,TD!$N$34:$O$46,2,0)," ")</f>
        <v>Servicio de atención a emergencias y desastres</v>
      </c>
      <c r="X998" s="187" t="str">
        <f>CONCATENATE(V998,"_",W998)</f>
        <v>004_Servicio de atención a emergencias y desastres</v>
      </c>
      <c r="Y998" s="187" t="str">
        <f>CONCATENATE(U998," ",X998)</f>
        <v>12-Servicio de apoyo   logístico  en eventos operativos y/o emergencias. 004_Servicio de atención a emergencias y desastres</v>
      </c>
      <c r="Z998" s="239" t="str">
        <f>CONCATENATE(P998,Q998,R998,S998,V998)</f>
        <v>O23011745032024025512004</v>
      </c>
      <c r="AA998" s="239" t="str">
        <f>IFERROR(VLOOKUP(Y998,TD!$K$47:$L$65,2,0)," ")</f>
        <v>PM/0131/0112/45030040255</v>
      </c>
      <c r="AB998" s="165" t="s">
        <v>120</v>
      </c>
      <c r="AC998" s="240" t="s">
        <v>204</v>
      </c>
    </row>
    <row r="999" spans="2:29" ht="56" x14ac:dyDescent="0.35">
      <c r="B999" s="167">
        <v>20251054</v>
      </c>
      <c r="C999" s="166" t="s">
        <v>209</v>
      </c>
      <c r="D999" s="237" t="s">
        <v>168</v>
      </c>
      <c r="E999" s="241" t="s">
        <v>603</v>
      </c>
      <c r="F999" s="237" t="s">
        <v>1224</v>
      </c>
      <c r="G999" s="237" t="s">
        <v>156</v>
      </c>
      <c r="H999" s="162">
        <v>80111600</v>
      </c>
      <c r="I999" s="238">
        <v>10</v>
      </c>
      <c r="J999" s="238">
        <v>3</v>
      </c>
      <c r="K999" s="163">
        <v>27</v>
      </c>
      <c r="L999" s="165">
        <v>31200000</v>
      </c>
      <c r="M999" s="164" t="s">
        <v>464</v>
      </c>
      <c r="N999" s="165" t="s">
        <v>113</v>
      </c>
      <c r="O999" s="51" t="s">
        <v>224</v>
      </c>
      <c r="P999" s="239" t="str">
        <f>IFERROR(VLOOKUP(C999,TD!$B$33:$F$37,2,0)," ")</f>
        <v>O230117</v>
      </c>
      <c r="Q999" s="239" t="str">
        <f>IFERROR(VLOOKUP(C999,TD!$B$33:$F$37,3,0)," ")</f>
        <v>4503</v>
      </c>
      <c r="R999" s="239">
        <f>IFERROR(VLOOKUP(C999,TD!$B$33:$F$37,4,0)," ")</f>
        <v>20240255</v>
      </c>
      <c r="S999" s="51" t="s">
        <v>191</v>
      </c>
      <c r="T999" s="186" t="str">
        <f>IFERROR(VLOOKUP(S999,TD!$J$34:$K$44,2,0)," ")</f>
        <v>Servicio de apoyo   logístico  en eventos operativos y/o emergencias.</v>
      </c>
      <c r="U999" s="187" t="str">
        <f>CONCATENATE(S999,"-",T999)</f>
        <v>12-Servicio de apoyo   logístico  en eventos operativos y/o emergencias.</v>
      </c>
      <c r="V999" s="51" t="s">
        <v>232</v>
      </c>
      <c r="W999" s="186" t="str">
        <f>IFERROR(VLOOKUP(V999,TD!$N$34:$O$46,2,0)," ")</f>
        <v>Servicio de atención a emergencias y desastres</v>
      </c>
      <c r="X999" s="187" t="str">
        <f>CONCATENATE(V999,"_",W999)</f>
        <v>004_Servicio de atención a emergencias y desastres</v>
      </c>
      <c r="Y999" s="187" t="str">
        <f>CONCATENATE(U999," ",X999)</f>
        <v>12-Servicio de apoyo   logístico  en eventos operativos y/o emergencias. 004_Servicio de atención a emergencias y desastres</v>
      </c>
      <c r="Z999" s="239" t="str">
        <f>CONCATENATE(P999,Q999,R999,S999,V999)</f>
        <v>O23011745032024025512004</v>
      </c>
      <c r="AA999" s="239" t="str">
        <f>IFERROR(VLOOKUP(Y999,TD!$K$47:$L$65,2,0)," ")</f>
        <v>PM/0131/0112/45030040255</v>
      </c>
      <c r="AB999" s="165" t="s">
        <v>138</v>
      </c>
      <c r="AC999" s="240" t="s">
        <v>204</v>
      </c>
    </row>
    <row r="1000" spans="2:29" ht="70" x14ac:dyDescent="0.35">
      <c r="B1000" s="167">
        <v>20251055</v>
      </c>
      <c r="C1000" s="166" t="s">
        <v>209</v>
      </c>
      <c r="D1000" s="237" t="s">
        <v>168</v>
      </c>
      <c r="E1000" s="241" t="s">
        <v>603</v>
      </c>
      <c r="F1000" s="237" t="s">
        <v>1225</v>
      </c>
      <c r="G1000" s="237" t="s">
        <v>156</v>
      </c>
      <c r="H1000" s="162">
        <v>80111600</v>
      </c>
      <c r="I1000" s="238">
        <v>11</v>
      </c>
      <c r="J1000" s="238">
        <v>2</v>
      </c>
      <c r="K1000" s="163">
        <v>15</v>
      </c>
      <c r="L1000" s="165">
        <v>8200000</v>
      </c>
      <c r="M1000" s="164" t="s">
        <v>464</v>
      </c>
      <c r="N1000" s="165" t="s">
        <v>113</v>
      </c>
      <c r="O1000" s="51" t="s">
        <v>224</v>
      </c>
      <c r="P1000" s="239" t="str">
        <f>IFERROR(VLOOKUP(C1000,TD!$B$33:$F$37,2,0)," ")</f>
        <v>O230117</v>
      </c>
      <c r="Q1000" s="239" t="str">
        <f>IFERROR(VLOOKUP(C1000,TD!$B$33:$F$37,3,0)," ")</f>
        <v>4503</v>
      </c>
      <c r="R1000" s="239">
        <f>IFERROR(VLOOKUP(C1000,TD!$B$33:$F$37,4,0)," ")</f>
        <v>20240255</v>
      </c>
      <c r="S1000" s="51" t="s">
        <v>191</v>
      </c>
      <c r="T1000" s="186" t="str">
        <f>IFERROR(VLOOKUP(S1000,TD!$J$34:$K$44,2,0)," ")</f>
        <v>Servicio de apoyo   logístico  en eventos operativos y/o emergencias.</v>
      </c>
      <c r="U1000" s="187" t="str">
        <f>CONCATENATE(S1000,"-",T1000)</f>
        <v>12-Servicio de apoyo   logístico  en eventos operativos y/o emergencias.</v>
      </c>
      <c r="V1000" s="51" t="s">
        <v>232</v>
      </c>
      <c r="W1000" s="186" t="str">
        <f>IFERROR(VLOOKUP(V1000,TD!$N$34:$O$46,2,0)," ")</f>
        <v>Servicio de atención a emergencias y desastres</v>
      </c>
      <c r="X1000" s="187" t="str">
        <f>CONCATENATE(V1000,"_",W1000)</f>
        <v>004_Servicio de atención a emergencias y desastres</v>
      </c>
      <c r="Y1000" s="187" t="str">
        <f>CONCATENATE(U1000," ",X1000)</f>
        <v>12-Servicio de apoyo   logístico  en eventos operativos y/o emergencias. 004_Servicio de atención a emergencias y desastres</v>
      </c>
      <c r="Z1000" s="239" t="str">
        <f>CONCATENATE(P1000,Q1000,R1000,S1000,V1000)</f>
        <v>O23011745032024025512004</v>
      </c>
      <c r="AA1000" s="239" t="str">
        <f>IFERROR(VLOOKUP(Y1000,TD!$K$47:$L$65,2,0)," ")</f>
        <v>PM/0131/0112/45030040255</v>
      </c>
      <c r="AB1000" s="165" t="s">
        <v>138</v>
      </c>
      <c r="AC1000" s="240" t="s">
        <v>205</v>
      </c>
    </row>
    <row r="1001" spans="2:29" ht="56" x14ac:dyDescent="0.35">
      <c r="B1001" s="167">
        <v>20251056</v>
      </c>
      <c r="C1001" s="166" t="s">
        <v>209</v>
      </c>
      <c r="D1001" s="237" t="s">
        <v>168</v>
      </c>
      <c r="E1001" s="241" t="s">
        <v>603</v>
      </c>
      <c r="F1001" s="237" t="s">
        <v>1226</v>
      </c>
      <c r="G1001" s="237" t="s">
        <v>155</v>
      </c>
      <c r="H1001" s="162">
        <v>80111600</v>
      </c>
      <c r="I1001" s="238">
        <v>11</v>
      </c>
      <c r="J1001" s="238">
        <v>2</v>
      </c>
      <c r="K1001" s="163">
        <v>21</v>
      </c>
      <c r="L1001" s="165">
        <v>13500000</v>
      </c>
      <c r="M1001" s="164" t="s">
        <v>464</v>
      </c>
      <c r="N1001" s="165" t="s">
        <v>113</v>
      </c>
      <c r="O1001" s="51" t="s">
        <v>224</v>
      </c>
      <c r="P1001" s="239" t="str">
        <f>IFERROR(VLOOKUP(C1001,TD!$B$33:$F$37,2,0)," ")</f>
        <v>O230117</v>
      </c>
      <c r="Q1001" s="239" t="str">
        <f>IFERROR(VLOOKUP(C1001,TD!$B$33:$F$37,3,0)," ")</f>
        <v>4503</v>
      </c>
      <c r="R1001" s="239">
        <f>IFERROR(VLOOKUP(C1001,TD!$B$33:$F$37,4,0)," ")</f>
        <v>20240255</v>
      </c>
      <c r="S1001" s="51" t="s">
        <v>191</v>
      </c>
      <c r="T1001" s="186" t="str">
        <f>IFERROR(VLOOKUP(S1001,TD!$J$34:$K$44,2,0)," ")</f>
        <v>Servicio de apoyo   logístico  en eventos operativos y/o emergencias.</v>
      </c>
      <c r="U1001" s="187" t="str">
        <f>CONCATENATE(S1001,"-",T1001)</f>
        <v>12-Servicio de apoyo   logístico  en eventos operativos y/o emergencias.</v>
      </c>
      <c r="V1001" s="51" t="s">
        <v>232</v>
      </c>
      <c r="W1001" s="186" t="str">
        <f>IFERROR(VLOOKUP(V1001,TD!$N$34:$O$46,2,0)," ")</f>
        <v>Servicio de atención a emergencias y desastres</v>
      </c>
      <c r="X1001" s="187" t="str">
        <f>CONCATENATE(V1001,"_",W1001)</f>
        <v>004_Servicio de atención a emergencias y desastres</v>
      </c>
      <c r="Y1001" s="187" t="str">
        <f>CONCATENATE(U1001," ",X1001)</f>
        <v>12-Servicio de apoyo   logístico  en eventos operativos y/o emergencias. 004_Servicio de atención a emergencias y desastres</v>
      </c>
      <c r="Z1001" s="239" t="str">
        <f>CONCATENATE(P1001,Q1001,R1001,S1001,V1001)</f>
        <v>O23011745032024025512004</v>
      </c>
      <c r="AA1001" s="239" t="str">
        <f>IFERROR(VLOOKUP(Y1001,TD!$K$47:$L$65,2,0)," ")</f>
        <v>PM/0131/0112/45030040255</v>
      </c>
      <c r="AB1001" s="165" t="s">
        <v>138</v>
      </c>
      <c r="AC1001" s="240" t="s">
        <v>205</v>
      </c>
    </row>
    <row r="1002" spans="2:29" ht="56" x14ac:dyDescent="0.35">
      <c r="B1002" s="161">
        <v>20251057</v>
      </c>
      <c r="C1002" s="166" t="s">
        <v>209</v>
      </c>
      <c r="D1002" s="237" t="s">
        <v>168</v>
      </c>
      <c r="E1002" s="241" t="s">
        <v>603</v>
      </c>
      <c r="F1002" s="237" t="s">
        <v>1227</v>
      </c>
      <c r="G1002" s="237" t="s">
        <v>155</v>
      </c>
      <c r="H1002" s="162">
        <v>80111600</v>
      </c>
      <c r="I1002" s="238">
        <v>11</v>
      </c>
      <c r="J1002" s="238">
        <v>2</v>
      </c>
      <c r="K1002" s="163">
        <v>15</v>
      </c>
      <c r="L1002" s="165">
        <v>23250000</v>
      </c>
      <c r="M1002" s="164" t="s">
        <v>464</v>
      </c>
      <c r="N1002" s="165" t="s">
        <v>113</v>
      </c>
      <c r="O1002" s="51" t="s">
        <v>224</v>
      </c>
      <c r="P1002" s="239" t="str">
        <f>IFERROR(VLOOKUP(C1002,TD!$B$33:$F$37,2,0)," ")</f>
        <v>O230117</v>
      </c>
      <c r="Q1002" s="239" t="str">
        <f>IFERROR(VLOOKUP(C1002,TD!$B$33:$F$37,3,0)," ")</f>
        <v>4503</v>
      </c>
      <c r="R1002" s="239">
        <f>IFERROR(VLOOKUP(C1002,TD!$B$33:$F$37,4,0)," ")</f>
        <v>20240255</v>
      </c>
      <c r="S1002" s="51" t="s">
        <v>187</v>
      </c>
      <c r="T1002" s="186" t="str">
        <f>IFERROR(VLOOKUP(S1002,TD!$J$34:$K$44,2,0)," ")</f>
        <v>Servicio de mantenimiento, dotación (HEA´s y equipo menor) y adquisición de vehiculos   especializados para la atención de emergencias.</v>
      </c>
      <c r="U1002" s="187" t="str">
        <f>CONCATENATE(S1002,"-",T1002)</f>
        <v>09-Servicio de mantenimiento, dotación (HEA´s y equipo menor) y adquisición de vehiculos   especializados para la atención de emergencias.</v>
      </c>
      <c r="V1002" s="51" t="s">
        <v>232</v>
      </c>
      <c r="W1002" s="186" t="str">
        <f>IFERROR(VLOOKUP(V1002,TD!$N$34:$O$46,2,0)," ")</f>
        <v>Servicio de atención a emergencias y desastres</v>
      </c>
      <c r="X1002" s="187" t="str">
        <f>CONCATENATE(V1002,"_",W1002)</f>
        <v>004_Servicio de atención a emergencias y desastres</v>
      </c>
      <c r="Y1002" s="187" t="str">
        <f>CONCATENATE(U1002," ",X1002)</f>
        <v>09-Servicio de mantenimiento, dotación (HEA´s y equipo menor) y adquisición de vehiculos   especializados para la atención de emergencias. 004_Servicio de atención a emergencias y desastres</v>
      </c>
      <c r="Z1002" s="239" t="str">
        <f>CONCATENATE(P1002,Q1002,R1002,S1002,V1002)</f>
        <v>O23011745032024025509004</v>
      </c>
      <c r="AA1002" s="239" t="str">
        <f>IFERROR(VLOOKUP(Y1002,TD!$K$47:$L$65,2,0)," ")</f>
        <v>PM/0131/0109/45030040255</v>
      </c>
      <c r="AB1002" s="165" t="s">
        <v>138</v>
      </c>
      <c r="AC1002" s="240" t="s">
        <v>205</v>
      </c>
    </row>
    <row r="1003" spans="2:29" ht="56" x14ac:dyDescent="0.35">
      <c r="B1003" s="167">
        <v>20251058</v>
      </c>
      <c r="C1003" s="166" t="s">
        <v>209</v>
      </c>
      <c r="D1003" s="237" t="s">
        <v>168</v>
      </c>
      <c r="E1003" s="241" t="s">
        <v>603</v>
      </c>
      <c r="F1003" s="237" t="s">
        <v>1228</v>
      </c>
      <c r="G1003" s="237" t="s">
        <v>155</v>
      </c>
      <c r="H1003" s="162">
        <v>80111600</v>
      </c>
      <c r="I1003" s="238">
        <v>11</v>
      </c>
      <c r="J1003" s="238">
        <v>2</v>
      </c>
      <c r="K1003" s="163">
        <v>15</v>
      </c>
      <c r="L1003" s="165">
        <v>21250000</v>
      </c>
      <c r="M1003" s="164" t="s">
        <v>464</v>
      </c>
      <c r="N1003" s="165" t="s">
        <v>113</v>
      </c>
      <c r="O1003" s="51" t="s">
        <v>224</v>
      </c>
      <c r="P1003" s="239" t="str">
        <f>IFERROR(VLOOKUP(C1003,TD!$B$33:$F$37,2,0)," ")</f>
        <v>O230117</v>
      </c>
      <c r="Q1003" s="239" t="str">
        <f>IFERROR(VLOOKUP(C1003,TD!$B$33:$F$37,3,0)," ")</f>
        <v>4503</v>
      </c>
      <c r="R1003" s="239">
        <f>IFERROR(VLOOKUP(C1003,TD!$B$33:$F$37,4,0)," ")</f>
        <v>20240255</v>
      </c>
      <c r="S1003" s="51" t="s">
        <v>187</v>
      </c>
      <c r="T1003" s="186" t="str">
        <f>IFERROR(VLOOKUP(S1003,TD!$J$34:$K$44,2,0)," ")</f>
        <v>Servicio de mantenimiento, dotación (HEA´s y equipo menor) y adquisición de vehiculos   especializados para la atención de emergencias.</v>
      </c>
      <c r="U1003" s="187" t="str">
        <f>CONCATENATE(S1003,"-",T1003)</f>
        <v>09-Servicio de mantenimiento, dotación (HEA´s y equipo menor) y adquisición de vehiculos   especializados para la atención de emergencias.</v>
      </c>
      <c r="V1003" s="51" t="s">
        <v>232</v>
      </c>
      <c r="W1003" s="186" t="str">
        <f>IFERROR(VLOOKUP(V1003,TD!$N$34:$O$46,2,0)," ")</f>
        <v>Servicio de atención a emergencias y desastres</v>
      </c>
      <c r="X1003" s="187" t="str">
        <f>CONCATENATE(V1003,"_",W1003)</f>
        <v>004_Servicio de atención a emergencias y desastres</v>
      </c>
      <c r="Y1003" s="187" t="str">
        <f>CONCATENATE(U1003," ",X1003)</f>
        <v>09-Servicio de mantenimiento, dotación (HEA´s y equipo menor) y adquisición de vehiculos   especializados para la atención de emergencias. 004_Servicio de atención a emergencias y desastres</v>
      </c>
      <c r="Z1003" s="239" t="str">
        <f>CONCATENATE(P1003,Q1003,R1003,S1003,V1003)</f>
        <v>O23011745032024025509004</v>
      </c>
      <c r="AA1003" s="239" t="str">
        <f>IFERROR(VLOOKUP(Y1003,TD!$K$47:$L$65,2,0)," ")</f>
        <v>PM/0131/0109/45030040255</v>
      </c>
      <c r="AB1003" s="165" t="s">
        <v>138</v>
      </c>
      <c r="AC1003" s="240" t="s">
        <v>205</v>
      </c>
    </row>
    <row r="1004" spans="2:29" ht="70" x14ac:dyDescent="0.35">
      <c r="B1004" s="167">
        <v>20251059</v>
      </c>
      <c r="C1004" s="166" t="s">
        <v>209</v>
      </c>
      <c r="D1004" s="237" t="s">
        <v>168</v>
      </c>
      <c r="E1004" s="241" t="s">
        <v>603</v>
      </c>
      <c r="F1004" s="237" t="s">
        <v>1229</v>
      </c>
      <c r="G1004" s="237" t="s">
        <v>155</v>
      </c>
      <c r="H1004" s="162">
        <v>80111600</v>
      </c>
      <c r="I1004" s="238">
        <v>11</v>
      </c>
      <c r="J1004" s="238">
        <v>2</v>
      </c>
      <c r="K1004" s="163">
        <v>0</v>
      </c>
      <c r="L1004" s="165">
        <v>9000000</v>
      </c>
      <c r="M1004" s="164" t="s">
        <v>464</v>
      </c>
      <c r="N1004" s="165" t="s">
        <v>113</v>
      </c>
      <c r="O1004" s="51" t="s">
        <v>224</v>
      </c>
      <c r="P1004" s="239" t="str">
        <f>IFERROR(VLOOKUP(C1004,TD!$B$33:$F$37,2,0)," ")</f>
        <v>O230117</v>
      </c>
      <c r="Q1004" s="239" t="str">
        <f>IFERROR(VLOOKUP(C1004,TD!$B$33:$F$37,3,0)," ")</f>
        <v>4503</v>
      </c>
      <c r="R1004" s="239">
        <f>IFERROR(VLOOKUP(C1004,TD!$B$33:$F$37,4,0)," ")</f>
        <v>20240255</v>
      </c>
      <c r="S1004" s="51" t="s">
        <v>191</v>
      </c>
      <c r="T1004" s="186" t="str">
        <f>IFERROR(VLOOKUP(S1004,TD!$J$34:$K$44,2,0)," ")</f>
        <v>Servicio de apoyo   logístico  en eventos operativos y/o emergencias.</v>
      </c>
      <c r="U1004" s="187" t="str">
        <f>CONCATENATE(S1004,"-",T1004)</f>
        <v>12-Servicio de apoyo   logístico  en eventos operativos y/o emergencias.</v>
      </c>
      <c r="V1004" s="51" t="s">
        <v>232</v>
      </c>
      <c r="W1004" s="186" t="str">
        <f>IFERROR(VLOOKUP(V1004,TD!$N$34:$O$46,2,0)," ")</f>
        <v>Servicio de atención a emergencias y desastres</v>
      </c>
      <c r="X1004" s="187" t="str">
        <f>CONCATENATE(V1004,"_",W1004)</f>
        <v>004_Servicio de atención a emergencias y desastres</v>
      </c>
      <c r="Y1004" s="187" t="str">
        <f>CONCATENATE(U1004," ",X1004)</f>
        <v>12-Servicio de apoyo   logístico  en eventos operativos y/o emergencias. 004_Servicio de atención a emergencias y desastres</v>
      </c>
      <c r="Z1004" s="239" t="str">
        <f>CONCATENATE(P1004,Q1004,R1004,S1004,V1004)</f>
        <v>O23011745032024025512004</v>
      </c>
      <c r="AA1004" s="239" t="str">
        <f>IFERROR(VLOOKUP(Y1004,TD!$K$47:$L$65,2,0)," ")</f>
        <v>PM/0131/0112/45030040255</v>
      </c>
      <c r="AB1004" s="165" t="s">
        <v>138</v>
      </c>
      <c r="AC1004" s="240" t="s">
        <v>205</v>
      </c>
    </row>
    <row r="1005" spans="2:29" ht="70" x14ac:dyDescent="0.35">
      <c r="B1005" s="167">
        <v>20251060</v>
      </c>
      <c r="C1005" s="166" t="s">
        <v>209</v>
      </c>
      <c r="D1005" s="237" t="s">
        <v>168</v>
      </c>
      <c r="E1005" s="241" t="s">
        <v>603</v>
      </c>
      <c r="F1005" s="237" t="s">
        <v>1230</v>
      </c>
      <c r="G1005" s="237" t="s">
        <v>155</v>
      </c>
      <c r="H1005" s="162">
        <v>80111600</v>
      </c>
      <c r="I1005" s="238">
        <v>11</v>
      </c>
      <c r="J1005" s="238">
        <v>2</v>
      </c>
      <c r="K1005" s="163">
        <v>12</v>
      </c>
      <c r="L1005" s="165">
        <v>19200000</v>
      </c>
      <c r="M1005" s="164" t="s">
        <v>464</v>
      </c>
      <c r="N1005" s="165" t="s">
        <v>113</v>
      </c>
      <c r="O1005" s="51" t="s">
        <v>224</v>
      </c>
      <c r="P1005" s="239" t="str">
        <f>IFERROR(VLOOKUP(C1005,TD!$B$33:$F$37,2,0)," ")</f>
        <v>O230117</v>
      </c>
      <c r="Q1005" s="239" t="str">
        <f>IFERROR(VLOOKUP(C1005,TD!$B$33:$F$37,3,0)," ")</f>
        <v>4503</v>
      </c>
      <c r="R1005" s="239">
        <f>IFERROR(VLOOKUP(C1005,TD!$B$33:$F$37,4,0)," ")</f>
        <v>20240255</v>
      </c>
      <c r="S1005" s="51" t="s">
        <v>187</v>
      </c>
      <c r="T1005" s="186" t="str">
        <f>IFERROR(VLOOKUP(S1005,TD!$J$34:$K$44,2,0)," ")</f>
        <v>Servicio de mantenimiento, dotación (HEA´s y equipo menor) y adquisición de vehiculos   especializados para la atención de emergencias.</v>
      </c>
      <c r="U1005" s="187" t="str">
        <f>CONCATENATE(S1005,"-",T1005)</f>
        <v>09-Servicio de mantenimiento, dotación (HEA´s y equipo menor) y adquisición de vehiculos   especializados para la atención de emergencias.</v>
      </c>
      <c r="V1005" s="51" t="s">
        <v>232</v>
      </c>
      <c r="W1005" s="186" t="str">
        <f>IFERROR(VLOOKUP(V1005,TD!$N$34:$O$46,2,0)," ")</f>
        <v>Servicio de atención a emergencias y desastres</v>
      </c>
      <c r="X1005" s="187" t="str">
        <f>CONCATENATE(V1005,"_",W1005)</f>
        <v>004_Servicio de atención a emergencias y desastres</v>
      </c>
      <c r="Y1005" s="187" t="str">
        <f>CONCATENATE(U1005," ",X1005)</f>
        <v>09-Servicio de mantenimiento, dotación (HEA´s y equipo menor) y adquisición de vehiculos   especializados para la atención de emergencias. 004_Servicio de atención a emergencias y desastres</v>
      </c>
      <c r="Z1005" s="239" t="str">
        <f>CONCATENATE(P1005,Q1005,R1005,S1005,V1005)</f>
        <v>O23011745032024025509004</v>
      </c>
      <c r="AA1005" s="239" t="str">
        <f>IFERROR(VLOOKUP(Y1005,TD!$K$47:$L$65,2,0)," ")</f>
        <v>PM/0131/0109/45030040255</v>
      </c>
      <c r="AB1005" s="165" t="s">
        <v>138</v>
      </c>
      <c r="AC1005" s="240" t="s">
        <v>205</v>
      </c>
    </row>
    <row r="1006" spans="2:29" ht="70" x14ac:dyDescent="0.35">
      <c r="B1006" s="161">
        <v>20251061</v>
      </c>
      <c r="C1006" s="166" t="s">
        <v>209</v>
      </c>
      <c r="D1006" s="237" t="s">
        <v>168</v>
      </c>
      <c r="E1006" s="241" t="s">
        <v>603</v>
      </c>
      <c r="F1006" s="237" t="s">
        <v>1231</v>
      </c>
      <c r="G1006" s="237" t="s">
        <v>155</v>
      </c>
      <c r="H1006" s="162">
        <v>80111600</v>
      </c>
      <c r="I1006" s="238">
        <v>11</v>
      </c>
      <c r="J1006" s="238">
        <v>2</v>
      </c>
      <c r="K1006" s="163">
        <v>0</v>
      </c>
      <c r="L1006" s="165">
        <v>9000000</v>
      </c>
      <c r="M1006" s="164" t="s">
        <v>464</v>
      </c>
      <c r="N1006" s="165" t="s">
        <v>113</v>
      </c>
      <c r="O1006" s="51" t="s">
        <v>224</v>
      </c>
      <c r="P1006" s="239" t="str">
        <f>IFERROR(VLOOKUP(C1006,TD!$B$33:$F$37,2,0)," ")</f>
        <v>O230117</v>
      </c>
      <c r="Q1006" s="239" t="str">
        <f>IFERROR(VLOOKUP(C1006,TD!$B$33:$F$37,3,0)," ")</f>
        <v>4503</v>
      </c>
      <c r="R1006" s="239">
        <f>IFERROR(VLOOKUP(C1006,TD!$B$33:$F$37,4,0)," ")</f>
        <v>20240255</v>
      </c>
      <c r="S1006" s="51" t="s">
        <v>191</v>
      </c>
      <c r="T1006" s="186" t="str">
        <f>IFERROR(VLOOKUP(S1006,TD!$J$34:$K$44,2,0)," ")</f>
        <v>Servicio de apoyo   logístico  en eventos operativos y/o emergencias.</v>
      </c>
      <c r="U1006" s="187" t="str">
        <f>CONCATENATE(S1006,"-",T1006)</f>
        <v>12-Servicio de apoyo   logístico  en eventos operativos y/o emergencias.</v>
      </c>
      <c r="V1006" s="51" t="s">
        <v>232</v>
      </c>
      <c r="W1006" s="186" t="str">
        <f>IFERROR(VLOOKUP(V1006,TD!$N$34:$O$46,2,0)," ")</f>
        <v>Servicio de atención a emergencias y desastres</v>
      </c>
      <c r="X1006" s="187" t="str">
        <f>CONCATENATE(V1006,"_",W1006)</f>
        <v>004_Servicio de atención a emergencias y desastres</v>
      </c>
      <c r="Y1006" s="187" t="str">
        <f>CONCATENATE(U1006," ",X1006)</f>
        <v>12-Servicio de apoyo   logístico  en eventos operativos y/o emergencias. 004_Servicio de atención a emergencias y desastres</v>
      </c>
      <c r="Z1006" s="239" t="str">
        <f>CONCATENATE(P1006,Q1006,R1006,S1006,V1006)</f>
        <v>O23011745032024025512004</v>
      </c>
      <c r="AA1006" s="239" t="str">
        <f>IFERROR(VLOOKUP(Y1006,TD!$K$47:$L$65,2,0)," ")</f>
        <v>PM/0131/0112/45030040255</v>
      </c>
      <c r="AB1006" s="165" t="s">
        <v>138</v>
      </c>
      <c r="AC1006" s="240" t="s">
        <v>205</v>
      </c>
    </row>
    <row r="1007" spans="2:29" ht="84" x14ac:dyDescent="0.35">
      <c r="B1007" s="167">
        <v>20251062</v>
      </c>
      <c r="C1007" s="166" t="s">
        <v>209</v>
      </c>
      <c r="D1007" s="237" t="s">
        <v>168</v>
      </c>
      <c r="E1007" s="241" t="s">
        <v>603</v>
      </c>
      <c r="F1007" s="237" t="s">
        <v>1232</v>
      </c>
      <c r="G1007" s="237" t="s">
        <v>155</v>
      </c>
      <c r="H1007" s="162">
        <v>80111600</v>
      </c>
      <c r="I1007" s="238">
        <v>11</v>
      </c>
      <c r="J1007" s="238">
        <v>2</v>
      </c>
      <c r="K1007" s="163">
        <v>12</v>
      </c>
      <c r="L1007" s="165">
        <v>19200000</v>
      </c>
      <c r="M1007" s="164" t="s">
        <v>464</v>
      </c>
      <c r="N1007" s="165" t="s">
        <v>113</v>
      </c>
      <c r="O1007" s="51" t="s">
        <v>224</v>
      </c>
      <c r="P1007" s="239" t="str">
        <f>IFERROR(VLOOKUP(C1007,TD!$B$33:$F$37,2,0)," ")</f>
        <v>O230117</v>
      </c>
      <c r="Q1007" s="239" t="str">
        <f>IFERROR(VLOOKUP(C1007,TD!$B$33:$F$37,3,0)," ")</f>
        <v>4503</v>
      </c>
      <c r="R1007" s="239">
        <f>IFERROR(VLOOKUP(C1007,TD!$B$33:$F$37,4,0)," ")</f>
        <v>20240255</v>
      </c>
      <c r="S1007" s="51" t="s">
        <v>191</v>
      </c>
      <c r="T1007" s="186" t="str">
        <f>IFERROR(VLOOKUP(S1007,TD!$J$34:$K$44,2,0)," ")</f>
        <v>Servicio de apoyo   logístico  en eventos operativos y/o emergencias.</v>
      </c>
      <c r="U1007" s="187" t="str">
        <f>CONCATENATE(S1007,"-",T1007)</f>
        <v>12-Servicio de apoyo   logístico  en eventos operativos y/o emergencias.</v>
      </c>
      <c r="V1007" s="51" t="s">
        <v>232</v>
      </c>
      <c r="W1007" s="186" t="str">
        <f>IFERROR(VLOOKUP(V1007,TD!$N$34:$O$46,2,0)," ")</f>
        <v>Servicio de atención a emergencias y desastres</v>
      </c>
      <c r="X1007" s="187" t="str">
        <f>CONCATENATE(V1007,"_",W1007)</f>
        <v>004_Servicio de atención a emergencias y desastres</v>
      </c>
      <c r="Y1007" s="187" t="str">
        <f>CONCATENATE(U1007," ",X1007)</f>
        <v>12-Servicio de apoyo   logístico  en eventos operativos y/o emergencias. 004_Servicio de atención a emergencias y desastres</v>
      </c>
      <c r="Z1007" s="239" t="str">
        <f>CONCATENATE(P1007,Q1007,R1007,S1007,V1007)</f>
        <v>O23011745032024025512004</v>
      </c>
      <c r="AA1007" s="239" t="str">
        <f>IFERROR(VLOOKUP(Y1007,TD!$K$47:$L$65,2,0)," ")</f>
        <v>PM/0131/0112/45030040255</v>
      </c>
      <c r="AB1007" s="165" t="s">
        <v>138</v>
      </c>
      <c r="AC1007" s="240" t="s">
        <v>205</v>
      </c>
    </row>
    <row r="1008" spans="2:29" ht="84" x14ac:dyDescent="0.35">
      <c r="B1008" s="167">
        <v>20251063</v>
      </c>
      <c r="C1008" s="166" t="s">
        <v>209</v>
      </c>
      <c r="D1008" s="237" t="s">
        <v>168</v>
      </c>
      <c r="E1008" s="241" t="s">
        <v>603</v>
      </c>
      <c r="F1008" s="237" t="s">
        <v>1233</v>
      </c>
      <c r="G1008" s="237" t="s">
        <v>155</v>
      </c>
      <c r="H1008" s="162">
        <v>80111600</v>
      </c>
      <c r="I1008" s="238">
        <v>11</v>
      </c>
      <c r="J1008" s="238">
        <v>2</v>
      </c>
      <c r="K1008" s="163">
        <v>0</v>
      </c>
      <c r="L1008" s="165">
        <v>13000000</v>
      </c>
      <c r="M1008" s="164" t="s">
        <v>464</v>
      </c>
      <c r="N1008" s="165" t="s">
        <v>113</v>
      </c>
      <c r="O1008" s="51" t="s">
        <v>224</v>
      </c>
      <c r="P1008" s="239" t="str">
        <f>IFERROR(VLOOKUP(C1008,TD!$B$33:$F$37,2,0)," ")</f>
        <v>O230117</v>
      </c>
      <c r="Q1008" s="239" t="str">
        <f>IFERROR(VLOOKUP(C1008,TD!$B$33:$F$37,3,0)," ")</f>
        <v>4503</v>
      </c>
      <c r="R1008" s="239">
        <f>IFERROR(VLOOKUP(C1008,TD!$B$33:$F$37,4,0)," ")</f>
        <v>20240255</v>
      </c>
      <c r="S1008" s="51" t="s">
        <v>191</v>
      </c>
      <c r="T1008" s="186" t="str">
        <f>IFERROR(VLOOKUP(S1008,TD!$J$34:$K$44,2,0)," ")</f>
        <v>Servicio de apoyo   logístico  en eventos operativos y/o emergencias.</v>
      </c>
      <c r="U1008" s="187" t="str">
        <f>CONCATENATE(S1008,"-",T1008)</f>
        <v>12-Servicio de apoyo   logístico  en eventos operativos y/o emergencias.</v>
      </c>
      <c r="V1008" s="51" t="s">
        <v>232</v>
      </c>
      <c r="W1008" s="186" t="str">
        <f>IFERROR(VLOOKUP(V1008,TD!$N$34:$O$46,2,0)," ")</f>
        <v>Servicio de atención a emergencias y desastres</v>
      </c>
      <c r="X1008" s="187" t="str">
        <f>CONCATENATE(V1008,"_",W1008)</f>
        <v>004_Servicio de atención a emergencias y desastres</v>
      </c>
      <c r="Y1008" s="187" t="str">
        <f>CONCATENATE(U1008," ",X1008)</f>
        <v>12-Servicio de apoyo   logístico  en eventos operativos y/o emergencias. 004_Servicio de atención a emergencias y desastres</v>
      </c>
      <c r="Z1008" s="239" t="str">
        <f>CONCATENATE(P1008,Q1008,R1008,S1008,V1008)</f>
        <v>O23011745032024025512004</v>
      </c>
      <c r="AA1008" s="239" t="str">
        <f>IFERROR(VLOOKUP(Y1008,TD!$K$47:$L$65,2,0)," ")</f>
        <v>PM/0131/0112/45030040255</v>
      </c>
      <c r="AB1008" s="165" t="s">
        <v>138</v>
      </c>
      <c r="AC1008" s="240" t="s">
        <v>205</v>
      </c>
    </row>
    <row r="1009" spans="2:29" ht="84" x14ac:dyDescent="0.35">
      <c r="B1009" s="167">
        <v>20251064</v>
      </c>
      <c r="C1009" s="166" t="s">
        <v>209</v>
      </c>
      <c r="D1009" s="237" t="s">
        <v>168</v>
      </c>
      <c r="E1009" s="241" t="s">
        <v>603</v>
      </c>
      <c r="F1009" s="237" t="s">
        <v>1234</v>
      </c>
      <c r="G1009" s="237" t="s">
        <v>155</v>
      </c>
      <c r="H1009" s="162">
        <v>80111600</v>
      </c>
      <c r="I1009" s="238">
        <v>11</v>
      </c>
      <c r="J1009" s="238">
        <v>2</v>
      </c>
      <c r="K1009" s="163">
        <v>6</v>
      </c>
      <c r="L1009" s="165">
        <v>12100000</v>
      </c>
      <c r="M1009" s="164" t="s">
        <v>464</v>
      </c>
      <c r="N1009" s="165" t="s">
        <v>113</v>
      </c>
      <c r="O1009" s="51" t="s">
        <v>224</v>
      </c>
      <c r="P1009" s="239" t="str">
        <f>IFERROR(VLOOKUP(C1009,TD!$B$33:$F$37,2,0)," ")</f>
        <v>O230117</v>
      </c>
      <c r="Q1009" s="239" t="str">
        <f>IFERROR(VLOOKUP(C1009,TD!$B$33:$F$37,3,0)," ")</f>
        <v>4503</v>
      </c>
      <c r="R1009" s="239">
        <f>IFERROR(VLOOKUP(C1009,TD!$B$33:$F$37,4,0)," ")</f>
        <v>20240255</v>
      </c>
      <c r="S1009" s="51" t="s">
        <v>191</v>
      </c>
      <c r="T1009" s="186" t="str">
        <f>IFERROR(VLOOKUP(S1009,TD!$J$34:$K$44,2,0)," ")</f>
        <v>Servicio de apoyo   logístico  en eventos operativos y/o emergencias.</v>
      </c>
      <c r="U1009" s="187" t="str">
        <f>CONCATENATE(S1009,"-",T1009)</f>
        <v>12-Servicio de apoyo   logístico  en eventos operativos y/o emergencias.</v>
      </c>
      <c r="V1009" s="51" t="s">
        <v>232</v>
      </c>
      <c r="W1009" s="186" t="str">
        <f>IFERROR(VLOOKUP(V1009,TD!$N$34:$O$46,2,0)," ")</f>
        <v>Servicio de atención a emergencias y desastres</v>
      </c>
      <c r="X1009" s="187" t="str">
        <f>CONCATENATE(V1009,"_",W1009)</f>
        <v>004_Servicio de atención a emergencias y desastres</v>
      </c>
      <c r="Y1009" s="187" t="str">
        <f>CONCATENATE(U1009," ",X1009)</f>
        <v>12-Servicio de apoyo   logístico  en eventos operativos y/o emergencias. 004_Servicio de atención a emergencias y desastres</v>
      </c>
      <c r="Z1009" s="239" t="str">
        <f>CONCATENATE(P1009,Q1009,R1009,S1009,V1009)</f>
        <v>O23011745032024025512004</v>
      </c>
      <c r="AA1009" s="239" t="str">
        <f>IFERROR(VLOOKUP(Y1009,TD!$K$47:$L$65,2,0)," ")</f>
        <v>PM/0131/0112/45030040255</v>
      </c>
      <c r="AB1009" s="165" t="s">
        <v>138</v>
      </c>
      <c r="AC1009" s="240" t="s">
        <v>205</v>
      </c>
    </row>
    <row r="1010" spans="2:29" ht="84" x14ac:dyDescent="0.35">
      <c r="B1010" s="167">
        <v>20251065</v>
      </c>
      <c r="C1010" s="166" t="s">
        <v>209</v>
      </c>
      <c r="D1010" s="237" t="s">
        <v>168</v>
      </c>
      <c r="E1010" s="241" t="s">
        <v>603</v>
      </c>
      <c r="F1010" s="237" t="s">
        <v>1235</v>
      </c>
      <c r="G1010" s="237" t="s">
        <v>156</v>
      </c>
      <c r="H1010" s="162">
        <v>80111600</v>
      </c>
      <c r="I1010" s="238">
        <v>11</v>
      </c>
      <c r="J1010" s="238">
        <v>2</v>
      </c>
      <c r="K1010" s="163">
        <v>5</v>
      </c>
      <c r="L1010" s="165">
        <v>7800000</v>
      </c>
      <c r="M1010" s="164" t="s">
        <v>464</v>
      </c>
      <c r="N1010" s="165" t="s">
        <v>113</v>
      </c>
      <c r="O1010" s="51" t="s">
        <v>224</v>
      </c>
      <c r="P1010" s="239" t="str">
        <f>IFERROR(VLOOKUP(C1010,TD!$B$33:$F$37,2,0)," ")</f>
        <v>O230117</v>
      </c>
      <c r="Q1010" s="239" t="str">
        <f>IFERROR(VLOOKUP(C1010,TD!$B$33:$F$37,3,0)," ")</f>
        <v>4503</v>
      </c>
      <c r="R1010" s="239">
        <f>IFERROR(VLOOKUP(C1010,TD!$B$33:$F$37,4,0)," ")</f>
        <v>20240255</v>
      </c>
      <c r="S1010" s="51" t="s">
        <v>191</v>
      </c>
      <c r="T1010" s="186" t="str">
        <f>IFERROR(VLOOKUP(S1010,TD!$J$34:$K$44,2,0)," ")</f>
        <v>Servicio de apoyo   logístico  en eventos operativos y/o emergencias.</v>
      </c>
      <c r="U1010" s="187" t="str">
        <f>CONCATENATE(S1010,"-",T1010)</f>
        <v>12-Servicio de apoyo   logístico  en eventos operativos y/o emergencias.</v>
      </c>
      <c r="V1010" s="51" t="s">
        <v>232</v>
      </c>
      <c r="W1010" s="186" t="str">
        <f>IFERROR(VLOOKUP(V1010,TD!$N$34:$O$46,2,0)," ")</f>
        <v>Servicio de atención a emergencias y desastres</v>
      </c>
      <c r="X1010" s="187" t="str">
        <f>CONCATENATE(V1010,"_",W1010)</f>
        <v>004_Servicio de atención a emergencias y desastres</v>
      </c>
      <c r="Y1010" s="187" t="str">
        <f>CONCATENATE(U1010," ",X1010)</f>
        <v>12-Servicio de apoyo   logístico  en eventos operativos y/o emergencias. 004_Servicio de atención a emergencias y desastres</v>
      </c>
      <c r="Z1010" s="239" t="str">
        <f>CONCATENATE(P1010,Q1010,R1010,S1010,V1010)</f>
        <v>O23011745032024025512004</v>
      </c>
      <c r="AA1010" s="239" t="str">
        <f>IFERROR(VLOOKUP(Y1010,TD!$K$47:$L$65,2,0)," ")</f>
        <v>PM/0131/0112/45030040255</v>
      </c>
      <c r="AB1010" s="165" t="s">
        <v>138</v>
      </c>
      <c r="AC1010" s="240" t="s">
        <v>205</v>
      </c>
    </row>
    <row r="1011" spans="2:29" ht="70" x14ac:dyDescent="0.35">
      <c r="B1011" s="167">
        <v>20251066</v>
      </c>
      <c r="C1011" s="166" t="s">
        <v>209</v>
      </c>
      <c r="D1011" s="237" t="s">
        <v>168</v>
      </c>
      <c r="E1011" s="241" t="s">
        <v>603</v>
      </c>
      <c r="F1011" s="237" t="s">
        <v>1236</v>
      </c>
      <c r="G1011" s="237" t="s">
        <v>156</v>
      </c>
      <c r="H1011" s="162">
        <v>80111600</v>
      </c>
      <c r="I1011" s="238">
        <v>11</v>
      </c>
      <c r="J1011" s="238">
        <v>2</v>
      </c>
      <c r="K1011" s="163">
        <v>0</v>
      </c>
      <c r="L1011" s="165">
        <v>7200000</v>
      </c>
      <c r="M1011" s="164" t="s">
        <v>464</v>
      </c>
      <c r="N1011" s="165" t="s">
        <v>113</v>
      </c>
      <c r="O1011" s="51" t="s">
        <v>224</v>
      </c>
      <c r="P1011" s="239" t="str">
        <f>IFERROR(VLOOKUP(C1011,TD!$B$33:$F$37,2,0)," ")</f>
        <v>O230117</v>
      </c>
      <c r="Q1011" s="239" t="str">
        <f>IFERROR(VLOOKUP(C1011,TD!$B$33:$F$37,3,0)," ")</f>
        <v>4503</v>
      </c>
      <c r="R1011" s="239">
        <f>IFERROR(VLOOKUP(C1011,TD!$B$33:$F$37,4,0)," ")</f>
        <v>20240255</v>
      </c>
      <c r="S1011" s="51" t="s">
        <v>191</v>
      </c>
      <c r="T1011" s="186" t="str">
        <f>IFERROR(VLOOKUP(S1011,TD!$J$34:$K$44,2,0)," ")</f>
        <v>Servicio de apoyo   logístico  en eventos operativos y/o emergencias.</v>
      </c>
      <c r="U1011" s="187" t="str">
        <f>CONCATENATE(S1011,"-",T1011)</f>
        <v>12-Servicio de apoyo   logístico  en eventos operativos y/o emergencias.</v>
      </c>
      <c r="V1011" s="51" t="s">
        <v>232</v>
      </c>
      <c r="W1011" s="186" t="str">
        <f>IFERROR(VLOOKUP(V1011,TD!$N$34:$O$46,2,0)," ")</f>
        <v>Servicio de atención a emergencias y desastres</v>
      </c>
      <c r="X1011" s="187" t="str">
        <f>CONCATENATE(V1011,"_",W1011)</f>
        <v>004_Servicio de atención a emergencias y desastres</v>
      </c>
      <c r="Y1011" s="187" t="str">
        <f>CONCATENATE(U1011," ",X1011)</f>
        <v>12-Servicio de apoyo   logístico  en eventos operativos y/o emergencias. 004_Servicio de atención a emergencias y desastres</v>
      </c>
      <c r="Z1011" s="239" t="str">
        <f>CONCATENATE(P1011,Q1011,R1011,S1011,V1011)</f>
        <v>O23011745032024025512004</v>
      </c>
      <c r="AA1011" s="239" t="str">
        <f>IFERROR(VLOOKUP(Y1011,TD!$K$47:$L$65,2,0)," ")</f>
        <v>PM/0131/0112/45030040255</v>
      </c>
      <c r="AB1011" s="165" t="s">
        <v>138</v>
      </c>
      <c r="AC1011" s="240" t="s">
        <v>205</v>
      </c>
    </row>
    <row r="1012" spans="2:29" ht="70" x14ac:dyDescent="0.35">
      <c r="B1012" s="167">
        <v>20251067</v>
      </c>
      <c r="C1012" s="166" t="s">
        <v>209</v>
      </c>
      <c r="D1012" s="237" t="s">
        <v>168</v>
      </c>
      <c r="E1012" s="241" t="s">
        <v>603</v>
      </c>
      <c r="F1012" s="237" t="s">
        <v>1237</v>
      </c>
      <c r="G1012" s="237" t="s">
        <v>155</v>
      </c>
      <c r="H1012" s="162">
        <v>80111600</v>
      </c>
      <c r="I1012" s="238">
        <v>11</v>
      </c>
      <c r="J1012" s="238">
        <v>2</v>
      </c>
      <c r="K1012" s="163">
        <v>0</v>
      </c>
      <c r="L1012" s="165">
        <v>9000000</v>
      </c>
      <c r="M1012" s="164" t="s">
        <v>464</v>
      </c>
      <c r="N1012" s="165" t="s">
        <v>113</v>
      </c>
      <c r="O1012" s="51" t="s">
        <v>224</v>
      </c>
      <c r="P1012" s="239" t="str">
        <f>IFERROR(VLOOKUP(C1012,TD!$B$33:$F$37,2,0)," ")</f>
        <v>O230117</v>
      </c>
      <c r="Q1012" s="239" t="str">
        <f>IFERROR(VLOOKUP(C1012,TD!$B$33:$F$37,3,0)," ")</f>
        <v>4503</v>
      </c>
      <c r="R1012" s="239">
        <f>IFERROR(VLOOKUP(C1012,TD!$B$33:$F$37,4,0)," ")</f>
        <v>20240255</v>
      </c>
      <c r="S1012" s="51" t="s">
        <v>191</v>
      </c>
      <c r="T1012" s="186" t="str">
        <f>IFERROR(VLOOKUP(S1012,TD!$J$34:$K$44,2,0)," ")</f>
        <v>Servicio de apoyo   logístico  en eventos operativos y/o emergencias.</v>
      </c>
      <c r="U1012" s="187" t="str">
        <f>CONCATENATE(S1012,"-",T1012)</f>
        <v>12-Servicio de apoyo   logístico  en eventos operativos y/o emergencias.</v>
      </c>
      <c r="V1012" s="51" t="s">
        <v>232</v>
      </c>
      <c r="W1012" s="186" t="str">
        <f>IFERROR(VLOOKUP(V1012,TD!$N$34:$O$46,2,0)," ")</f>
        <v>Servicio de atención a emergencias y desastres</v>
      </c>
      <c r="X1012" s="187" t="str">
        <f>CONCATENATE(V1012,"_",W1012)</f>
        <v>004_Servicio de atención a emergencias y desastres</v>
      </c>
      <c r="Y1012" s="187" t="str">
        <f>CONCATENATE(U1012," ",X1012)</f>
        <v>12-Servicio de apoyo   logístico  en eventos operativos y/o emergencias. 004_Servicio de atención a emergencias y desastres</v>
      </c>
      <c r="Z1012" s="239" t="str">
        <f>CONCATENATE(P1012,Q1012,R1012,S1012,V1012)</f>
        <v>O23011745032024025512004</v>
      </c>
      <c r="AA1012" s="239" t="str">
        <f>IFERROR(VLOOKUP(Y1012,TD!$K$47:$L$65,2,0)," ")</f>
        <v>PM/0131/0112/45030040255</v>
      </c>
      <c r="AB1012" s="165" t="s">
        <v>138</v>
      </c>
      <c r="AC1012" s="240" t="s">
        <v>205</v>
      </c>
    </row>
    <row r="1013" spans="2:29" ht="70" x14ac:dyDescent="0.35">
      <c r="B1013" s="167">
        <v>20251068</v>
      </c>
      <c r="C1013" s="166" t="s">
        <v>209</v>
      </c>
      <c r="D1013" s="237" t="s">
        <v>168</v>
      </c>
      <c r="E1013" s="241" t="s">
        <v>603</v>
      </c>
      <c r="F1013" s="237" t="s">
        <v>1238</v>
      </c>
      <c r="G1013" s="237" t="s">
        <v>156</v>
      </c>
      <c r="H1013" s="162">
        <v>80111600</v>
      </c>
      <c r="I1013" s="238">
        <v>12</v>
      </c>
      <c r="J1013" s="238">
        <v>1</v>
      </c>
      <c r="K1013" s="163">
        <v>15</v>
      </c>
      <c r="L1013" s="165">
        <v>6750000</v>
      </c>
      <c r="M1013" s="164" t="s">
        <v>464</v>
      </c>
      <c r="N1013" s="165" t="s">
        <v>113</v>
      </c>
      <c r="O1013" s="51" t="s">
        <v>224</v>
      </c>
      <c r="P1013" s="239" t="str">
        <f>IFERROR(VLOOKUP(C1013,TD!$B$33:$F$37,2,0)," ")</f>
        <v>O230117</v>
      </c>
      <c r="Q1013" s="239" t="str">
        <f>IFERROR(VLOOKUP(C1013,TD!$B$33:$F$37,3,0)," ")</f>
        <v>4503</v>
      </c>
      <c r="R1013" s="239">
        <f>IFERROR(VLOOKUP(C1013,TD!$B$33:$F$37,4,0)," ")</f>
        <v>20240255</v>
      </c>
      <c r="S1013" s="51" t="s">
        <v>191</v>
      </c>
      <c r="T1013" s="186" t="str">
        <f>IFERROR(VLOOKUP(S1013,TD!$J$34:$K$44,2,0)," ")</f>
        <v>Servicio de apoyo   logístico  en eventos operativos y/o emergencias.</v>
      </c>
      <c r="U1013" s="187" t="str">
        <f>CONCATENATE(S1013,"-",T1013)</f>
        <v>12-Servicio de apoyo   logístico  en eventos operativos y/o emergencias.</v>
      </c>
      <c r="V1013" s="51" t="s">
        <v>232</v>
      </c>
      <c r="W1013" s="186" t="str">
        <f>IFERROR(VLOOKUP(V1013,TD!$N$34:$O$46,2,0)," ")</f>
        <v>Servicio de atención a emergencias y desastres</v>
      </c>
      <c r="X1013" s="187" t="str">
        <f>CONCATENATE(V1013,"_",W1013)</f>
        <v>004_Servicio de atención a emergencias y desastres</v>
      </c>
      <c r="Y1013" s="187" t="str">
        <f>CONCATENATE(U1013," ",X1013)</f>
        <v>12-Servicio de apoyo   logístico  en eventos operativos y/o emergencias. 004_Servicio de atención a emergencias y desastres</v>
      </c>
      <c r="Z1013" s="239" t="str">
        <f>CONCATENATE(P1013,Q1013,R1013,S1013,V1013)</f>
        <v>O23011745032024025512004</v>
      </c>
      <c r="AA1013" s="239" t="str">
        <f>IFERROR(VLOOKUP(Y1013,TD!$K$47:$L$65,2,0)," ")</f>
        <v>PM/0131/0112/45030040255</v>
      </c>
      <c r="AB1013" s="165" t="s">
        <v>138</v>
      </c>
      <c r="AC1013" s="240" t="s">
        <v>205</v>
      </c>
    </row>
    <row r="1014" spans="2:29" ht="84" x14ac:dyDescent="0.35">
      <c r="B1014" s="167">
        <v>20251069</v>
      </c>
      <c r="C1014" s="166" t="s">
        <v>209</v>
      </c>
      <c r="D1014" s="237" t="s">
        <v>168</v>
      </c>
      <c r="E1014" s="241" t="s">
        <v>603</v>
      </c>
      <c r="F1014" s="237" t="s">
        <v>1239</v>
      </c>
      <c r="G1014" s="237" t="s">
        <v>156</v>
      </c>
      <c r="H1014" s="162">
        <v>80111600</v>
      </c>
      <c r="I1014" s="238">
        <v>12</v>
      </c>
      <c r="J1014" s="238">
        <v>1</v>
      </c>
      <c r="K1014" s="163">
        <v>0</v>
      </c>
      <c r="L1014" s="165">
        <v>3285000</v>
      </c>
      <c r="M1014" s="164" t="s">
        <v>464</v>
      </c>
      <c r="N1014" s="165" t="s">
        <v>113</v>
      </c>
      <c r="O1014" s="51" t="s">
        <v>224</v>
      </c>
      <c r="P1014" s="239" t="str">
        <f>IFERROR(VLOOKUP(C1014,TD!$B$33:$F$37,2,0)," ")</f>
        <v>O230117</v>
      </c>
      <c r="Q1014" s="239" t="str">
        <f>IFERROR(VLOOKUP(C1014,TD!$B$33:$F$37,3,0)," ")</f>
        <v>4503</v>
      </c>
      <c r="R1014" s="239">
        <f>IFERROR(VLOOKUP(C1014,TD!$B$33:$F$37,4,0)," ")</f>
        <v>20240255</v>
      </c>
      <c r="S1014" s="51" t="s">
        <v>191</v>
      </c>
      <c r="T1014" s="186" t="str">
        <f>IFERROR(VLOOKUP(S1014,TD!$J$34:$K$44,2,0)," ")</f>
        <v>Servicio de apoyo   logístico  en eventos operativos y/o emergencias.</v>
      </c>
      <c r="U1014" s="187" t="str">
        <f>CONCATENATE(S1014,"-",T1014)</f>
        <v>12-Servicio de apoyo   logístico  en eventos operativos y/o emergencias.</v>
      </c>
      <c r="V1014" s="51" t="s">
        <v>232</v>
      </c>
      <c r="W1014" s="186" t="str">
        <f>IFERROR(VLOOKUP(V1014,TD!$N$34:$O$46,2,0)," ")</f>
        <v>Servicio de atención a emergencias y desastres</v>
      </c>
      <c r="X1014" s="187" t="str">
        <f>CONCATENATE(V1014,"_",W1014)</f>
        <v>004_Servicio de atención a emergencias y desastres</v>
      </c>
      <c r="Y1014" s="187" t="str">
        <f>CONCATENATE(U1014," ",X1014)</f>
        <v>12-Servicio de apoyo   logístico  en eventos operativos y/o emergencias. 004_Servicio de atención a emergencias y desastres</v>
      </c>
      <c r="Z1014" s="239" t="str">
        <f>CONCATENATE(P1014,Q1014,R1014,S1014,V1014)</f>
        <v>O23011745032024025512004</v>
      </c>
      <c r="AA1014" s="239" t="str">
        <f>IFERROR(VLOOKUP(Y1014,TD!$K$47:$L$65,2,0)," ")</f>
        <v>PM/0131/0112/45030040255</v>
      </c>
      <c r="AB1014" s="165" t="s">
        <v>138</v>
      </c>
      <c r="AC1014" s="240" t="s">
        <v>205</v>
      </c>
    </row>
    <row r="1015" spans="2:29" ht="112" x14ac:dyDescent="0.35">
      <c r="B1015" s="167">
        <v>20251070</v>
      </c>
      <c r="C1015" s="166" t="s">
        <v>209</v>
      </c>
      <c r="D1015" s="237" t="s">
        <v>168</v>
      </c>
      <c r="E1015" s="241" t="s">
        <v>603</v>
      </c>
      <c r="F1015" s="237" t="s">
        <v>1240</v>
      </c>
      <c r="G1015" s="237" t="s">
        <v>155</v>
      </c>
      <c r="H1015" s="162">
        <v>80111600</v>
      </c>
      <c r="I1015" s="238">
        <v>12</v>
      </c>
      <c r="J1015" s="238">
        <v>1</v>
      </c>
      <c r="K1015" s="163">
        <v>12</v>
      </c>
      <c r="L1015" s="165">
        <v>7000000</v>
      </c>
      <c r="M1015" s="164" t="s">
        <v>464</v>
      </c>
      <c r="N1015" s="165" t="s">
        <v>113</v>
      </c>
      <c r="O1015" s="51" t="s">
        <v>224</v>
      </c>
      <c r="P1015" s="239" t="str">
        <f>IFERROR(VLOOKUP(C1015,TD!$B$33:$F$37,2,0)," ")</f>
        <v>O230117</v>
      </c>
      <c r="Q1015" s="239" t="str">
        <f>IFERROR(VLOOKUP(C1015,TD!$B$33:$F$37,3,0)," ")</f>
        <v>4503</v>
      </c>
      <c r="R1015" s="239">
        <f>IFERROR(VLOOKUP(C1015,TD!$B$33:$F$37,4,0)," ")</f>
        <v>20240255</v>
      </c>
      <c r="S1015" s="51" t="s">
        <v>191</v>
      </c>
      <c r="T1015" s="186" t="str">
        <f>IFERROR(VLOOKUP(S1015,TD!$J$34:$K$44,2,0)," ")</f>
        <v>Servicio de apoyo   logístico  en eventos operativos y/o emergencias.</v>
      </c>
      <c r="U1015" s="187" t="str">
        <f>CONCATENATE(S1015,"-",T1015)</f>
        <v>12-Servicio de apoyo   logístico  en eventos operativos y/o emergencias.</v>
      </c>
      <c r="V1015" s="51" t="s">
        <v>232</v>
      </c>
      <c r="W1015" s="186" t="str">
        <f>IFERROR(VLOOKUP(V1015,TD!$N$34:$O$46,2,0)," ")</f>
        <v>Servicio de atención a emergencias y desastres</v>
      </c>
      <c r="X1015" s="187" t="str">
        <f>CONCATENATE(V1015,"_",W1015)</f>
        <v>004_Servicio de atención a emergencias y desastres</v>
      </c>
      <c r="Y1015" s="187" t="str">
        <f>CONCATENATE(U1015," ",X1015)</f>
        <v>12-Servicio de apoyo   logístico  en eventos operativos y/o emergencias. 004_Servicio de atención a emergencias y desastres</v>
      </c>
      <c r="Z1015" s="239" t="str">
        <f>CONCATENATE(P1015,Q1015,R1015,S1015,V1015)</f>
        <v>O23011745032024025512004</v>
      </c>
      <c r="AA1015" s="239" t="str">
        <f>IFERROR(VLOOKUP(Y1015,TD!$K$47:$L$65,2,0)," ")</f>
        <v>PM/0131/0112/45030040255</v>
      </c>
      <c r="AB1015" s="165" t="s">
        <v>138</v>
      </c>
      <c r="AC1015" s="240" t="s">
        <v>205</v>
      </c>
    </row>
    <row r="1016" spans="2:29" ht="70" x14ac:dyDescent="0.35">
      <c r="B1016" s="167">
        <v>20251071</v>
      </c>
      <c r="C1016" s="166" t="s">
        <v>209</v>
      </c>
      <c r="D1016" s="237" t="s">
        <v>168</v>
      </c>
      <c r="E1016" s="241" t="s">
        <v>603</v>
      </c>
      <c r="F1016" s="237" t="s">
        <v>1241</v>
      </c>
      <c r="G1016" s="237" t="s">
        <v>156</v>
      </c>
      <c r="H1016" s="162">
        <v>80111600</v>
      </c>
      <c r="I1016" s="238">
        <v>12</v>
      </c>
      <c r="J1016" s="238">
        <v>1</v>
      </c>
      <c r="K1016" s="163">
        <v>5</v>
      </c>
      <c r="L1016" s="165">
        <v>4200000</v>
      </c>
      <c r="M1016" s="164" t="s">
        <v>464</v>
      </c>
      <c r="N1016" s="165" t="s">
        <v>113</v>
      </c>
      <c r="O1016" s="51" t="s">
        <v>224</v>
      </c>
      <c r="P1016" s="239" t="str">
        <f>IFERROR(VLOOKUP(C1016,TD!$B$33:$F$37,2,0)," ")</f>
        <v>O230117</v>
      </c>
      <c r="Q1016" s="239" t="str">
        <f>IFERROR(VLOOKUP(C1016,TD!$B$33:$F$37,3,0)," ")</f>
        <v>4503</v>
      </c>
      <c r="R1016" s="239">
        <f>IFERROR(VLOOKUP(C1016,TD!$B$33:$F$37,4,0)," ")</f>
        <v>20240255</v>
      </c>
      <c r="S1016" s="51" t="s">
        <v>187</v>
      </c>
      <c r="T1016" s="186" t="str">
        <f>IFERROR(VLOOKUP(S1016,TD!$J$34:$K$44,2,0)," ")</f>
        <v>Servicio de mantenimiento, dotación (HEA´s y equipo menor) y adquisición de vehiculos   especializados para la atención de emergencias.</v>
      </c>
      <c r="U1016" s="187" t="str">
        <f>CONCATENATE(S1016,"-",T1016)</f>
        <v>09-Servicio de mantenimiento, dotación (HEA´s y equipo menor) y adquisición de vehiculos   especializados para la atención de emergencias.</v>
      </c>
      <c r="V1016" s="51" t="s">
        <v>232</v>
      </c>
      <c r="W1016" s="186" t="str">
        <f>IFERROR(VLOOKUP(V1016,TD!$N$34:$O$46,2,0)," ")</f>
        <v>Servicio de atención a emergencias y desastres</v>
      </c>
      <c r="X1016" s="187" t="str">
        <f>CONCATENATE(V1016,"_",W1016)</f>
        <v>004_Servicio de atención a emergencias y desastres</v>
      </c>
      <c r="Y1016" s="187" t="str">
        <f>CONCATENATE(U1016," ",X1016)</f>
        <v>09-Servicio de mantenimiento, dotación (HEA´s y equipo menor) y adquisición de vehiculos   especializados para la atención de emergencias. 004_Servicio de atención a emergencias y desastres</v>
      </c>
      <c r="Z1016" s="239" t="str">
        <f>CONCATENATE(P1016,Q1016,R1016,S1016,V1016)</f>
        <v>O23011745032024025509004</v>
      </c>
      <c r="AA1016" s="239" t="str">
        <f>IFERROR(VLOOKUP(Y1016,TD!$K$47:$L$65,2,0)," ")</f>
        <v>PM/0131/0109/45030040255</v>
      </c>
      <c r="AB1016" s="165" t="s">
        <v>138</v>
      </c>
      <c r="AC1016" s="240" t="s">
        <v>205</v>
      </c>
    </row>
    <row r="1017" spans="2:29" ht="56" x14ac:dyDescent="0.35">
      <c r="B1017" s="167">
        <v>20251072</v>
      </c>
      <c r="C1017" s="166" t="s">
        <v>209</v>
      </c>
      <c r="D1017" s="237" t="s">
        <v>168</v>
      </c>
      <c r="E1017" s="241" t="s">
        <v>603</v>
      </c>
      <c r="F1017" s="237" t="s">
        <v>1242</v>
      </c>
      <c r="G1017" s="237" t="s">
        <v>155</v>
      </c>
      <c r="H1017" s="162">
        <v>80111600</v>
      </c>
      <c r="I1017" s="238">
        <v>12</v>
      </c>
      <c r="J1017" s="238">
        <v>1</v>
      </c>
      <c r="K1017" s="163">
        <v>10</v>
      </c>
      <c r="L1017" s="165">
        <v>8000000</v>
      </c>
      <c r="M1017" s="164" t="s">
        <v>464</v>
      </c>
      <c r="N1017" s="165" t="s">
        <v>113</v>
      </c>
      <c r="O1017" s="51" t="s">
        <v>224</v>
      </c>
      <c r="P1017" s="239" t="str">
        <f>IFERROR(VLOOKUP(C1017,TD!$B$33:$F$37,2,0)," ")</f>
        <v>O230117</v>
      </c>
      <c r="Q1017" s="239" t="str">
        <f>IFERROR(VLOOKUP(C1017,TD!$B$33:$F$37,3,0)," ")</f>
        <v>4503</v>
      </c>
      <c r="R1017" s="239">
        <f>IFERROR(VLOOKUP(C1017,TD!$B$33:$F$37,4,0)," ")</f>
        <v>20240255</v>
      </c>
      <c r="S1017" s="51" t="s">
        <v>191</v>
      </c>
      <c r="T1017" s="186" t="str">
        <f>IFERROR(VLOOKUP(S1017,TD!$J$34:$K$44,2,0)," ")</f>
        <v>Servicio de apoyo   logístico  en eventos operativos y/o emergencias.</v>
      </c>
      <c r="U1017" s="187" t="str">
        <f>CONCATENATE(S1017,"-",T1017)</f>
        <v>12-Servicio de apoyo   logístico  en eventos operativos y/o emergencias.</v>
      </c>
      <c r="V1017" s="51" t="s">
        <v>232</v>
      </c>
      <c r="W1017" s="186" t="str">
        <f>IFERROR(VLOOKUP(V1017,TD!$N$34:$O$46,2,0)," ")</f>
        <v>Servicio de atención a emergencias y desastres</v>
      </c>
      <c r="X1017" s="187" t="str">
        <f>CONCATENATE(V1017,"_",W1017)</f>
        <v>004_Servicio de atención a emergencias y desastres</v>
      </c>
      <c r="Y1017" s="187" t="str">
        <f>CONCATENATE(U1017," ",X1017)</f>
        <v>12-Servicio de apoyo   logístico  en eventos operativos y/o emergencias. 004_Servicio de atención a emergencias y desastres</v>
      </c>
      <c r="Z1017" s="239" t="str">
        <f>CONCATENATE(P1017,Q1017,R1017,S1017,V1017)</f>
        <v>O23011745032024025512004</v>
      </c>
      <c r="AA1017" s="239" t="str">
        <f>IFERROR(VLOOKUP(Y1017,TD!$K$47:$L$65,2,0)," ")</f>
        <v>PM/0131/0112/45030040255</v>
      </c>
      <c r="AB1017" s="165" t="s">
        <v>138</v>
      </c>
      <c r="AC1017" s="240" t="s">
        <v>205</v>
      </c>
    </row>
    <row r="1018" spans="2:29" ht="84" x14ac:dyDescent="0.35">
      <c r="B1018" s="167">
        <v>20251073</v>
      </c>
      <c r="C1018" s="166" t="s">
        <v>209</v>
      </c>
      <c r="D1018" s="237" t="s">
        <v>168</v>
      </c>
      <c r="E1018" s="241" t="s">
        <v>603</v>
      </c>
      <c r="F1018" s="237" t="s">
        <v>1243</v>
      </c>
      <c r="G1018" s="237" t="s">
        <v>155</v>
      </c>
      <c r="H1018" s="162">
        <v>80111600</v>
      </c>
      <c r="I1018" s="238">
        <v>12</v>
      </c>
      <c r="J1018" s="238">
        <v>1</v>
      </c>
      <c r="K1018" s="163">
        <v>0</v>
      </c>
      <c r="L1018" s="165">
        <v>5500000</v>
      </c>
      <c r="M1018" s="164" t="s">
        <v>464</v>
      </c>
      <c r="N1018" s="165" t="s">
        <v>113</v>
      </c>
      <c r="O1018" s="51" t="s">
        <v>224</v>
      </c>
      <c r="P1018" s="239" t="str">
        <f>IFERROR(VLOOKUP(C1018,TD!$B$33:$F$37,2,0)," ")</f>
        <v>O230117</v>
      </c>
      <c r="Q1018" s="239" t="str">
        <f>IFERROR(VLOOKUP(C1018,TD!$B$33:$F$37,3,0)," ")</f>
        <v>4503</v>
      </c>
      <c r="R1018" s="239">
        <f>IFERROR(VLOOKUP(C1018,TD!$B$33:$F$37,4,0)," ")</f>
        <v>20240255</v>
      </c>
      <c r="S1018" s="51" t="s">
        <v>191</v>
      </c>
      <c r="T1018" s="186" t="str">
        <f>IFERROR(VLOOKUP(S1018,TD!$J$34:$K$44,2,0)," ")</f>
        <v>Servicio de apoyo   logístico  en eventos operativos y/o emergencias.</v>
      </c>
      <c r="U1018" s="187" t="str">
        <f>CONCATENATE(S1018,"-",T1018)</f>
        <v>12-Servicio de apoyo   logístico  en eventos operativos y/o emergencias.</v>
      </c>
      <c r="V1018" s="51" t="s">
        <v>232</v>
      </c>
      <c r="W1018" s="186" t="str">
        <f>IFERROR(VLOOKUP(V1018,TD!$N$34:$O$46,2,0)," ")</f>
        <v>Servicio de atención a emergencias y desastres</v>
      </c>
      <c r="X1018" s="187" t="str">
        <f>CONCATENATE(V1018,"_",W1018)</f>
        <v>004_Servicio de atención a emergencias y desastres</v>
      </c>
      <c r="Y1018" s="187" t="str">
        <f>CONCATENATE(U1018," ",X1018)</f>
        <v>12-Servicio de apoyo   logístico  en eventos operativos y/o emergencias. 004_Servicio de atención a emergencias y desastres</v>
      </c>
      <c r="Z1018" s="239" t="str">
        <f>CONCATENATE(P1018,Q1018,R1018,S1018,V1018)</f>
        <v>O23011745032024025512004</v>
      </c>
      <c r="AA1018" s="239" t="str">
        <f>IFERROR(VLOOKUP(Y1018,TD!$K$47:$L$65,2,0)," ")</f>
        <v>PM/0131/0112/45030040255</v>
      </c>
      <c r="AB1018" s="165" t="s">
        <v>138</v>
      </c>
      <c r="AC1018" s="240" t="s">
        <v>205</v>
      </c>
    </row>
    <row r="1019" spans="2:29" ht="84" x14ac:dyDescent="0.35">
      <c r="B1019" s="167">
        <v>20251074</v>
      </c>
      <c r="C1019" s="166" t="s">
        <v>209</v>
      </c>
      <c r="D1019" s="237" t="s">
        <v>168</v>
      </c>
      <c r="E1019" s="241" t="s">
        <v>603</v>
      </c>
      <c r="F1019" s="237" t="s">
        <v>1244</v>
      </c>
      <c r="G1019" s="237" t="s">
        <v>155</v>
      </c>
      <c r="H1019" s="162">
        <v>80111600</v>
      </c>
      <c r="I1019" s="238">
        <v>12</v>
      </c>
      <c r="J1019" s="238">
        <v>1</v>
      </c>
      <c r="K1019" s="163">
        <v>6</v>
      </c>
      <c r="L1019" s="165">
        <v>3936000</v>
      </c>
      <c r="M1019" s="164" t="s">
        <v>464</v>
      </c>
      <c r="N1019" s="165" t="s">
        <v>113</v>
      </c>
      <c r="O1019" s="51" t="s">
        <v>224</v>
      </c>
      <c r="P1019" s="239" t="str">
        <f>IFERROR(VLOOKUP(C1019,TD!$B$33:$F$37,2,0)," ")</f>
        <v>O230117</v>
      </c>
      <c r="Q1019" s="239" t="str">
        <f>IFERROR(VLOOKUP(C1019,TD!$B$33:$F$37,3,0)," ")</f>
        <v>4503</v>
      </c>
      <c r="R1019" s="239">
        <f>IFERROR(VLOOKUP(C1019,TD!$B$33:$F$37,4,0)," ")</f>
        <v>20240255</v>
      </c>
      <c r="S1019" s="51" t="s">
        <v>191</v>
      </c>
      <c r="T1019" s="186" t="str">
        <f>IFERROR(VLOOKUP(S1019,TD!$J$34:$K$44,2,0)," ")</f>
        <v>Servicio de apoyo   logístico  en eventos operativos y/o emergencias.</v>
      </c>
      <c r="U1019" s="187" t="str">
        <f>CONCATENATE(S1019,"-",T1019)</f>
        <v>12-Servicio de apoyo   logístico  en eventos operativos y/o emergencias.</v>
      </c>
      <c r="V1019" s="51" t="s">
        <v>232</v>
      </c>
      <c r="W1019" s="186" t="str">
        <f>IFERROR(VLOOKUP(V1019,TD!$N$34:$O$46,2,0)," ")</f>
        <v>Servicio de atención a emergencias y desastres</v>
      </c>
      <c r="X1019" s="187" t="str">
        <f>CONCATENATE(V1019,"_",W1019)</f>
        <v>004_Servicio de atención a emergencias y desastres</v>
      </c>
      <c r="Y1019" s="187" t="str">
        <f>CONCATENATE(U1019," ",X1019)</f>
        <v>12-Servicio de apoyo   logístico  en eventos operativos y/o emergencias. 004_Servicio de atención a emergencias y desastres</v>
      </c>
      <c r="Z1019" s="239" t="str">
        <f>CONCATENATE(P1019,Q1019,R1019,S1019,V1019)</f>
        <v>O23011745032024025512004</v>
      </c>
      <c r="AA1019" s="239" t="str">
        <f>IFERROR(VLOOKUP(Y1019,TD!$K$47:$L$65,2,0)," ")</f>
        <v>PM/0131/0112/45030040255</v>
      </c>
      <c r="AB1019" s="165" t="s">
        <v>138</v>
      </c>
      <c r="AC1019" s="240" t="s">
        <v>205</v>
      </c>
    </row>
    <row r="1020" spans="2:29" ht="126" x14ac:dyDescent="0.35">
      <c r="B1020" s="167">
        <v>20251075</v>
      </c>
      <c r="C1020" s="166" t="s">
        <v>209</v>
      </c>
      <c r="D1020" s="237" t="s">
        <v>168</v>
      </c>
      <c r="E1020" s="241" t="s">
        <v>603</v>
      </c>
      <c r="F1020" s="237" t="s">
        <v>1245</v>
      </c>
      <c r="G1020" s="237" t="s">
        <v>155</v>
      </c>
      <c r="H1020" s="162">
        <v>80111600</v>
      </c>
      <c r="I1020" s="238">
        <v>12</v>
      </c>
      <c r="J1020" s="238">
        <v>1</v>
      </c>
      <c r="K1020" s="163">
        <v>10</v>
      </c>
      <c r="L1020" s="165">
        <v>12000000</v>
      </c>
      <c r="M1020" s="164" t="s">
        <v>464</v>
      </c>
      <c r="N1020" s="165" t="s">
        <v>113</v>
      </c>
      <c r="O1020" s="51" t="s">
        <v>224</v>
      </c>
      <c r="P1020" s="239" t="str">
        <f>IFERROR(VLOOKUP(C1020,TD!$B$33:$F$37,2,0)," ")</f>
        <v>O230117</v>
      </c>
      <c r="Q1020" s="239" t="str">
        <f>IFERROR(VLOOKUP(C1020,TD!$B$33:$F$37,3,0)," ")</f>
        <v>4503</v>
      </c>
      <c r="R1020" s="239">
        <f>IFERROR(VLOOKUP(C1020,TD!$B$33:$F$37,4,0)," ")</f>
        <v>20240255</v>
      </c>
      <c r="S1020" s="51" t="s">
        <v>191</v>
      </c>
      <c r="T1020" s="186" t="str">
        <f>IFERROR(VLOOKUP(S1020,TD!$J$34:$K$44,2,0)," ")</f>
        <v>Servicio de apoyo   logístico  en eventos operativos y/o emergencias.</v>
      </c>
      <c r="U1020" s="187" t="str">
        <f>CONCATENATE(S1020,"-",T1020)</f>
        <v>12-Servicio de apoyo   logístico  en eventos operativos y/o emergencias.</v>
      </c>
      <c r="V1020" s="51" t="s">
        <v>232</v>
      </c>
      <c r="W1020" s="186" t="str">
        <f>IFERROR(VLOOKUP(V1020,TD!$N$34:$O$46,2,0)," ")</f>
        <v>Servicio de atención a emergencias y desastres</v>
      </c>
      <c r="X1020" s="187" t="str">
        <f>CONCATENATE(V1020,"_",W1020)</f>
        <v>004_Servicio de atención a emergencias y desastres</v>
      </c>
      <c r="Y1020" s="187" t="str">
        <f>CONCATENATE(U1020," ",X1020)</f>
        <v>12-Servicio de apoyo   logístico  en eventos operativos y/o emergencias. 004_Servicio de atención a emergencias y desastres</v>
      </c>
      <c r="Z1020" s="239" t="str">
        <f>CONCATENATE(P1020,Q1020,R1020,S1020,V1020)</f>
        <v>O23011745032024025512004</v>
      </c>
      <c r="AA1020" s="239" t="str">
        <f>IFERROR(VLOOKUP(Y1020,TD!$K$47:$L$65,2,0)," ")</f>
        <v>PM/0131/0112/45030040255</v>
      </c>
      <c r="AB1020" s="165" t="s">
        <v>138</v>
      </c>
      <c r="AC1020" s="240" t="s">
        <v>205</v>
      </c>
    </row>
    <row r="1021" spans="2:29" ht="140" x14ac:dyDescent="0.35">
      <c r="B1021" s="167">
        <v>20251076</v>
      </c>
      <c r="C1021" s="166" t="s">
        <v>209</v>
      </c>
      <c r="D1021" s="237" t="s">
        <v>168</v>
      </c>
      <c r="E1021" s="241" t="s">
        <v>603</v>
      </c>
      <c r="F1021" s="233" t="s">
        <v>1246</v>
      </c>
      <c r="G1021" s="233" t="s">
        <v>156</v>
      </c>
      <c r="H1021" s="170">
        <v>80111600</v>
      </c>
      <c r="I1021" s="234">
        <v>12</v>
      </c>
      <c r="J1021" s="234">
        <v>1</v>
      </c>
      <c r="K1021" s="173">
        <v>0</v>
      </c>
      <c r="L1021" s="177">
        <v>3500000</v>
      </c>
      <c r="M1021" s="175" t="s">
        <v>464</v>
      </c>
      <c r="N1021" s="177" t="s">
        <v>113</v>
      </c>
      <c r="O1021" s="51" t="s">
        <v>224</v>
      </c>
      <c r="P1021" s="235" t="str">
        <f>IFERROR(VLOOKUP(C1021,TD!$B$33:$F$37,2,0)," ")</f>
        <v>O230117</v>
      </c>
      <c r="Q1021" s="235" t="str">
        <f>IFERROR(VLOOKUP(C1021,TD!$B$33:$F$37,3,0)," ")</f>
        <v>4503</v>
      </c>
      <c r="R1021" s="235">
        <f>IFERROR(VLOOKUP(C1021,TD!$B$33:$F$37,4,0)," ")</f>
        <v>20240255</v>
      </c>
      <c r="S1021" s="51" t="s">
        <v>191</v>
      </c>
      <c r="T1021" s="186" t="str">
        <f>IFERROR(VLOOKUP(S1021,TD!$J$34:$K$44,2,0)," ")</f>
        <v>Servicio de apoyo   logístico  en eventos operativos y/o emergencias.</v>
      </c>
      <c r="U1021" s="187" t="str">
        <f>CONCATENATE(S1021,"-",T1021)</f>
        <v>12-Servicio de apoyo   logístico  en eventos operativos y/o emergencias.</v>
      </c>
      <c r="V1021" s="51" t="s">
        <v>232</v>
      </c>
      <c r="W1021" s="186" t="str">
        <f>IFERROR(VLOOKUP(V1021,TD!$N$34:$O$46,2,0)," ")</f>
        <v>Servicio de atención a emergencias y desastres</v>
      </c>
      <c r="X1021" s="206" t="str">
        <f>CONCATENATE(V1021,"_",W1021)</f>
        <v>004_Servicio de atención a emergencias y desastres</v>
      </c>
      <c r="Y1021" s="206" t="str">
        <f>CONCATENATE(U1021," ",X1021)</f>
        <v>12-Servicio de apoyo   logístico  en eventos operativos y/o emergencias. 004_Servicio de atención a emergencias y desastres</v>
      </c>
      <c r="Z1021" s="235" t="str">
        <f>CONCATENATE(P1021,Q1021,R1021,S1021,V1021)</f>
        <v>O23011745032024025512004</v>
      </c>
      <c r="AA1021" s="235" t="str">
        <f>IFERROR(VLOOKUP(Y1021,TD!$K$47:$L$65,2,0)," ")</f>
        <v>PM/0131/0112/45030040255</v>
      </c>
      <c r="AB1021" s="177" t="s">
        <v>138</v>
      </c>
      <c r="AC1021" s="236" t="s">
        <v>205</v>
      </c>
    </row>
    <row r="1022" spans="2:29" ht="112" x14ac:dyDescent="0.35">
      <c r="B1022" s="167">
        <v>20251077</v>
      </c>
      <c r="C1022" s="166" t="s">
        <v>209</v>
      </c>
      <c r="D1022" s="237" t="s">
        <v>168</v>
      </c>
      <c r="E1022" s="241" t="s">
        <v>603</v>
      </c>
      <c r="F1022" s="233" t="s">
        <v>1247</v>
      </c>
      <c r="G1022" s="233" t="s">
        <v>156</v>
      </c>
      <c r="H1022" s="170">
        <v>80111600</v>
      </c>
      <c r="I1022" s="234">
        <v>12</v>
      </c>
      <c r="J1022" s="234">
        <v>1</v>
      </c>
      <c r="K1022" s="173">
        <v>0</v>
      </c>
      <c r="L1022" s="177">
        <v>3800000</v>
      </c>
      <c r="M1022" s="175" t="s">
        <v>464</v>
      </c>
      <c r="N1022" s="177" t="s">
        <v>113</v>
      </c>
      <c r="O1022" s="51" t="s">
        <v>224</v>
      </c>
      <c r="P1022" s="235" t="str">
        <f>IFERROR(VLOOKUP(C1022,TD!$B$33:$F$37,2,0)," ")</f>
        <v>O230117</v>
      </c>
      <c r="Q1022" s="235" t="str">
        <f>IFERROR(VLOOKUP(C1022,TD!$B$33:$F$37,3,0)," ")</f>
        <v>4503</v>
      </c>
      <c r="R1022" s="235">
        <f>IFERROR(VLOOKUP(C1022,TD!$B$33:$F$37,4,0)," ")</f>
        <v>20240255</v>
      </c>
      <c r="S1022" s="51" t="s">
        <v>191</v>
      </c>
      <c r="T1022" s="186" t="str">
        <f>IFERROR(VLOOKUP(S1022,TD!$J$34:$K$44,2,0)," ")</f>
        <v>Servicio de apoyo   logístico  en eventos operativos y/o emergencias.</v>
      </c>
      <c r="U1022" s="187" t="str">
        <f>CONCATENATE(S1022,"-",T1022)</f>
        <v>12-Servicio de apoyo   logístico  en eventos operativos y/o emergencias.</v>
      </c>
      <c r="V1022" s="51" t="s">
        <v>232</v>
      </c>
      <c r="W1022" s="186" t="str">
        <f>IFERROR(VLOOKUP(V1022,TD!$N$34:$O$46,2,0)," ")</f>
        <v>Servicio de atención a emergencias y desastres</v>
      </c>
      <c r="X1022" s="206" t="str">
        <f>CONCATENATE(V1022,"_",W1022)</f>
        <v>004_Servicio de atención a emergencias y desastres</v>
      </c>
      <c r="Y1022" s="206" t="str">
        <f>CONCATENATE(U1022," ",X1022)</f>
        <v>12-Servicio de apoyo   logístico  en eventos operativos y/o emergencias. 004_Servicio de atención a emergencias y desastres</v>
      </c>
      <c r="Z1022" s="235" t="str">
        <f>CONCATENATE(P1022,Q1022,R1022,S1022,V1022)</f>
        <v>O23011745032024025512004</v>
      </c>
      <c r="AA1022" s="235" t="str">
        <f>IFERROR(VLOOKUP(Y1022,TD!$K$47:$L$65,2,0)," ")</f>
        <v>PM/0131/0112/45030040255</v>
      </c>
      <c r="AB1022" s="177" t="s">
        <v>138</v>
      </c>
      <c r="AC1022" s="236" t="s">
        <v>205</v>
      </c>
    </row>
    <row r="1023" spans="2:29" ht="70" x14ac:dyDescent="0.35">
      <c r="B1023" s="167">
        <v>20251078</v>
      </c>
      <c r="C1023" s="166" t="s">
        <v>209</v>
      </c>
      <c r="D1023" s="237" t="s">
        <v>168</v>
      </c>
      <c r="E1023" s="241" t="s">
        <v>603</v>
      </c>
      <c r="F1023" s="237" t="s">
        <v>1248</v>
      </c>
      <c r="G1023" s="237" t="s">
        <v>156</v>
      </c>
      <c r="H1023" s="162">
        <v>80111600</v>
      </c>
      <c r="I1023" s="238">
        <v>12</v>
      </c>
      <c r="J1023" s="238">
        <v>0</v>
      </c>
      <c r="K1023" s="163">
        <v>15</v>
      </c>
      <c r="L1023" s="165">
        <v>1750000</v>
      </c>
      <c r="M1023" s="164" t="s">
        <v>464</v>
      </c>
      <c r="N1023" s="165" t="s">
        <v>113</v>
      </c>
      <c r="O1023" s="51" t="s">
        <v>224</v>
      </c>
      <c r="P1023" s="239" t="str">
        <f>IFERROR(VLOOKUP(C1023,TD!$B$33:$F$37,2,0)," ")</f>
        <v>O230117</v>
      </c>
      <c r="Q1023" s="239" t="str">
        <f>IFERROR(VLOOKUP(C1023,TD!$B$33:$F$37,3,0)," ")</f>
        <v>4503</v>
      </c>
      <c r="R1023" s="239">
        <f>IFERROR(VLOOKUP(C1023,TD!$B$33:$F$37,4,0)," ")</f>
        <v>20240255</v>
      </c>
      <c r="S1023" s="51" t="s">
        <v>191</v>
      </c>
      <c r="T1023" s="186" t="str">
        <f>IFERROR(VLOOKUP(S1023,TD!$J$34:$K$44,2,0)," ")</f>
        <v>Servicio de apoyo   logístico  en eventos operativos y/o emergencias.</v>
      </c>
      <c r="U1023" s="187" t="str">
        <f>CONCATENATE(S1023,"-",T1023)</f>
        <v>12-Servicio de apoyo   logístico  en eventos operativos y/o emergencias.</v>
      </c>
      <c r="V1023" s="51" t="s">
        <v>232</v>
      </c>
      <c r="W1023" s="186" t="str">
        <f>IFERROR(VLOOKUP(V1023,TD!$N$34:$O$46,2,0)," ")</f>
        <v>Servicio de atención a emergencias y desastres</v>
      </c>
      <c r="X1023" s="187" t="str">
        <f>CONCATENATE(V1023,"_",W1023)</f>
        <v>004_Servicio de atención a emergencias y desastres</v>
      </c>
      <c r="Y1023" s="187" t="str">
        <f>CONCATENATE(U1023," ",X1023)</f>
        <v>12-Servicio de apoyo   logístico  en eventos operativos y/o emergencias. 004_Servicio de atención a emergencias y desastres</v>
      </c>
      <c r="Z1023" s="239" t="str">
        <f>CONCATENATE(P1023,Q1023,R1023,S1023,V1023)</f>
        <v>O23011745032024025512004</v>
      </c>
      <c r="AA1023" s="239" t="str">
        <f>IFERROR(VLOOKUP(Y1023,TD!$K$47:$L$65,2,0)," ")</f>
        <v>PM/0131/0112/45030040255</v>
      </c>
      <c r="AB1023" s="165" t="s">
        <v>138</v>
      </c>
      <c r="AC1023" s="240" t="s">
        <v>205</v>
      </c>
    </row>
    <row r="1024" spans="2:29" ht="56" x14ac:dyDescent="0.35">
      <c r="B1024" s="167">
        <v>20251079</v>
      </c>
      <c r="C1024" s="166" t="s">
        <v>209</v>
      </c>
      <c r="D1024" s="237" t="s">
        <v>168</v>
      </c>
      <c r="E1024" s="241" t="s">
        <v>603</v>
      </c>
      <c r="F1024" s="237" t="s">
        <v>1249</v>
      </c>
      <c r="G1024" s="237" t="s">
        <v>155</v>
      </c>
      <c r="H1024" s="162">
        <v>80111600</v>
      </c>
      <c r="I1024" s="238">
        <v>1</v>
      </c>
      <c r="J1024" s="238">
        <v>0</v>
      </c>
      <c r="K1024" s="163">
        <v>20</v>
      </c>
      <c r="L1024" s="165">
        <v>4200000</v>
      </c>
      <c r="M1024" s="164" t="s">
        <v>464</v>
      </c>
      <c r="N1024" s="165" t="s">
        <v>113</v>
      </c>
      <c r="O1024" s="51" t="s">
        <v>224</v>
      </c>
      <c r="P1024" s="239" t="str">
        <f>IFERROR(VLOOKUP(C1024,TD!$B$33:$F$37,2,0)," ")</f>
        <v>O230117</v>
      </c>
      <c r="Q1024" s="239" t="str">
        <f>IFERROR(VLOOKUP(C1024,TD!$B$33:$F$37,3,0)," ")</f>
        <v>4503</v>
      </c>
      <c r="R1024" s="239">
        <f>IFERROR(VLOOKUP(C1024,TD!$B$33:$F$37,4,0)," ")</f>
        <v>20240255</v>
      </c>
      <c r="S1024" s="51" t="s">
        <v>191</v>
      </c>
      <c r="T1024" s="186" t="str">
        <f>IFERROR(VLOOKUP(S1024,TD!$J$34:$K$44,2,0)," ")</f>
        <v>Servicio de apoyo   logístico  en eventos operativos y/o emergencias.</v>
      </c>
      <c r="U1024" s="187" t="str">
        <f>CONCATENATE(S1024,"-",T1024)</f>
        <v>12-Servicio de apoyo   logístico  en eventos operativos y/o emergencias.</v>
      </c>
      <c r="V1024" s="51" t="s">
        <v>232</v>
      </c>
      <c r="W1024" s="186" t="str">
        <f>IFERROR(VLOOKUP(V1024,TD!$N$34:$O$46,2,0)," ")</f>
        <v>Servicio de atención a emergencias y desastres</v>
      </c>
      <c r="X1024" s="187" t="str">
        <f>CONCATENATE(V1024,"_",W1024)</f>
        <v>004_Servicio de atención a emergencias y desastres</v>
      </c>
      <c r="Y1024" s="187" t="str">
        <f>CONCATENATE(U1024," ",X1024)</f>
        <v>12-Servicio de apoyo   logístico  en eventos operativos y/o emergencias. 004_Servicio de atención a emergencias y desastres</v>
      </c>
      <c r="Z1024" s="239" t="str">
        <f>CONCATENATE(P1024,Q1024,R1024,S1024,V1024)</f>
        <v>O23011745032024025512004</v>
      </c>
      <c r="AA1024" s="239" t="str">
        <f>IFERROR(VLOOKUP(Y1024,TD!$K$47:$L$65,2,0)," ")</f>
        <v>PM/0131/0112/45030040255</v>
      </c>
      <c r="AB1024" s="165" t="s">
        <v>138</v>
      </c>
      <c r="AC1024" s="240" t="s">
        <v>205</v>
      </c>
    </row>
    <row r="1025" spans="2:29" ht="56" x14ac:dyDescent="0.35">
      <c r="B1025" s="167">
        <v>20251080</v>
      </c>
      <c r="C1025" s="166" t="s">
        <v>209</v>
      </c>
      <c r="D1025" s="237" t="s">
        <v>168</v>
      </c>
      <c r="E1025" s="241" t="s">
        <v>603</v>
      </c>
      <c r="F1025" s="237" t="s">
        <v>1250</v>
      </c>
      <c r="G1025" s="237" t="s">
        <v>156</v>
      </c>
      <c r="H1025" s="162">
        <v>80111600</v>
      </c>
      <c r="I1025" s="238">
        <v>10</v>
      </c>
      <c r="J1025" s="238">
        <v>2</v>
      </c>
      <c r="K1025" s="163">
        <v>15</v>
      </c>
      <c r="L1025" s="165">
        <v>9000000</v>
      </c>
      <c r="M1025" s="164" t="s">
        <v>464</v>
      </c>
      <c r="N1025" s="165" t="s">
        <v>113</v>
      </c>
      <c r="O1025" s="51" t="s">
        <v>224</v>
      </c>
      <c r="P1025" s="239" t="str">
        <f>IFERROR(VLOOKUP(C1025,TD!$B$33:$F$37,2,0)," ")</f>
        <v>O230117</v>
      </c>
      <c r="Q1025" s="239" t="str">
        <f>IFERROR(VLOOKUP(C1025,TD!$B$33:$F$37,3,0)," ")</f>
        <v>4503</v>
      </c>
      <c r="R1025" s="239">
        <f>IFERROR(VLOOKUP(C1025,TD!$B$33:$F$37,4,0)," ")</f>
        <v>20240255</v>
      </c>
      <c r="S1025" s="51" t="s">
        <v>191</v>
      </c>
      <c r="T1025" s="186" t="str">
        <f>IFERROR(VLOOKUP(S1025,TD!$J$34:$K$44,2,0)," ")</f>
        <v>Servicio de apoyo   logístico  en eventos operativos y/o emergencias.</v>
      </c>
      <c r="U1025" s="187" t="str">
        <f>CONCATENATE(S1025,"-",T1025)</f>
        <v>12-Servicio de apoyo   logístico  en eventos operativos y/o emergencias.</v>
      </c>
      <c r="V1025" s="51" t="s">
        <v>232</v>
      </c>
      <c r="W1025" s="186" t="str">
        <f>IFERROR(VLOOKUP(V1025,TD!$N$34:$O$46,2,0)," ")</f>
        <v>Servicio de atención a emergencias y desastres</v>
      </c>
      <c r="X1025" s="187" t="str">
        <f>CONCATENATE(V1025,"_",W1025)</f>
        <v>004_Servicio de atención a emergencias y desastres</v>
      </c>
      <c r="Y1025" s="187" t="str">
        <f>CONCATENATE(U1025," ",X1025)</f>
        <v>12-Servicio de apoyo   logístico  en eventos operativos y/o emergencias. 004_Servicio de atención a emergencias y desastres</v>
      </c>
      <c r="Z1025" s="239" t="str">
        <f>CONCATENATE(P1025,Q1025,R1025,S1025,V1025)</f>
        <v>O23011745032024025512004</v>
      </c>
      <c r="AA1025" s="239" t="str">
        <f>IFERROR(VLOOKUP(Y1025,TD!$K$47:$L$65,2,0)," ")</f>
        <v>PM/0131/0112/45030040255</v>
      </c>
      <c r="AB1025" s="165" t="s">
        <v>138</v>
      </c>
      <c r="AC1025" s="240" t="s">
        <v>205</v>
      </c>
    </row>
    <row r="1026" spans="2:29" ht="70" x14ac:dyDescent="0.35">
      <c r="B1026" s="167">
        <v>20251081</v>
      </c>
      <c r="C1026" s="166" t="s">
        <v>209</v>
      </c>
      <c r="D1026" s="237" t="s">
        <v>168</v>
      </c>
      <c r="E1026" s="241" t="s">
        <v>603</v>
      </c>
      <c r="F1026" s="237" t="s">
        <v>1251</v>
      </c>
      <c r="G1026" s="237" t="s">
        <v>156</v>
      </c>
      <c r="H1026" s="162">
        <v>80111600</v>
      </c>
      <c r="I1026" s="238">
        <v>11</v>
      </c>
      <c r="J1026" s="238">
        <v>2</v>
      </c>
      <c r="K1026" s="163">
        <v>18</v>
      </c>
      <c r="L1026" s="165">
        <v>10400000</v>
      </c>
      <c r="M1026" s="164" t="s">
        <v>464</v>
      </c>
      <c r="N1026" s="165" t="s">
        <v>113</v>
      </c>
      <c r="O1026" s="51" t="s">
        <v>224</v>
      </c>
      <c r="P1026" s="239" t="str">
        <f>IFERROR(VLOOKUP(C1026,TD!$B$33:$F$37,2,0)," ")</f>
        <v>O230117</v>
      </c>
      <c r="Q1026" s="239" t="str">
        <f>IFERROR(VLOOKUP(C1026,TD!$B$33:$F$37,3,0)," ")</f>
        <v>4503</v>
      </c>
      <c r="R1026" s="239">
        <f>IFERROR(VLOOKUP(C1026,TD!$B$33:$F$37,4,0)," ")</f>
        <v>20240255</v>
      </c>
      <c r="S1026" s="51" t="s">
        <v>191</v>
      </c>
      <c r="T1026" s="186" t="str">
        <f>IFERROR(VLOOKUP(S1026,TD!$J$34:$K$44,2,0)," ")</f>
        <v>Servicio de apoyo   logístico  en eventos operativos y/o emergencias.</v>
      </c>
      <c r="U1026" s="187" t="str">
        <f>CONCATENATE(S1026,"-",T1026)</f>
        <v>12-Servicio de apoyo   logístico  en eventos operativos y/o emergencias.</v>
      </c>
      <c r="V1026" s="51" t="s">
        <v>232</v>
      </c>
      <c r="W1026" s="186" t="str">
        <f>IFERROR(VLOOKUP(V1026,TD!$N$34:$O$46,2,0)," ")</f>
        <v>Servicio de atención a emergencias y desastres</v>
      </c>
      <c r="X1026" s="187" t="str">
        <f>CONCATENATE(V1026,"_",W1026)</f>
        <v>004_Servicio de atención a emergencias y desastres</v>
      </c>
      <c r="Y1026" s="187" t="str">
        <f>CONCATENATE(U1026," ",X1026)</f>
        <v>12-Servicio de apoyo   logístico  en eventos operativos y/o emergencias. 004_Servicio de atención a emergencias y desastres</v>
      </c>
      <c r="Z1026" s="239" t="str">
        <f>CONCATENATE(P1026,Q1026,R1026,S1026,V1026)</f>
        <v>O23011745032024025512004</v>
      </c>
      <c r="AA1026" s="239" t="str">
        <f>IFERROR(VLOOKUP(Y1026,TD!$K$47:$L$65,2,0)," ")</f>
        <v>PM/0131/0112/45030040255</v>
      </c>
      <c r="AB1026" s="165" t="s">
        <v>138</v>
      </c>
      <c r="AC1026" s="240" t="s">
        <v>205</v>
      </c>
    </row>
    <row r="1027" spans="2:29" ht="56" x14ac:dyDescent="0.35">
      <c r="B1027" s="167">
        <v>20251082</v>
      </c>
      <c r="C1027" s="166" t="s">
        <v>208</v>
      </c>
      <c r="D1027" s="237" t="s">
        <v>45</v>
      </c>
      <c r="E1027" s="51" t="s">
        <v>355</v>
      </c>
      <c r="F1027" s="237" t="s">
        <v>1253</v>
      </c>
      <c r="G1027" s="237" t="s">
        <v>155</v>
      </c>
      <c r="H1027" s="162">
        <v>80111600</v>
      </c>
      <c r="I1027" s="238">
        <v>10</v>
      </c>
      <c r="J1027" s="238">
        <v>3</v>
      </c>
      <c r="K1027" s="163">
        <v>0</v>
      </c>
      <c r="L1027" s="165">
        <v>27000000</v>
      </c>
      <c r="M1027" s="164" t="s">
        <v>464</v>
      </c>
      <c r="N1027" s="165" t="s">
        <v>113</v>
      </c>
      <c r="O1027" s="51" t="s">
        <v>219</v>
      </c>
      <c r="P1027" s="239" t="str">
        <f>IFERROR(VLOOKUP(C1027,TD!$B$33:$F$37,2,0)," ")</f>
        <v>O230117</v>
      </c>
      <c r="Q1027" s="239" t="str">
        <f>IFERROR(VLOOKUP(C1027,TD!$B$33:$F$37,3,0)," ")</f>
        <v>4599</v>
      </c>
      <c r="R1027" s="239">
        <f>IFERROR(VLOOKUP(C1027,TD!$B$33:$F$37,4,0)," ")</f>
        <v>20240207</v>
      </c>
      <c r="S1027" s="51" t="s">
        <v>185</v>
      </c>
      <c r="T1027" s="186" t="str">
        <f>IFERROR(VLOOKUP(S1027,TD!$J$34:$K$44,2,0)," ")</f>
        <v>Infraestructura física, mantenimiento y dotación (Sedes construidas, mantenidas reforzadas)</v>
      </c>
      <c r="U1027" s="187" t="str">
        <f>CONCATENATE(S1027,"-",T1027)</f>
        <v>08-Infraestructura física, mantenimiento y dotación (Sedes construidas, mantenidas reforzadas)</v>
      </c>
      <c r="V1027" s="51" t="s">
        <v>238</v>
      </c>
      <c r="W1027" s="186" t="str">
        <f>IFERROR(VLOOKUP(V1027,TD!$N$34:$O$46,2,0)," ")</f>
        <v>Sedes mantenidas</v>
      </c>
      <c r="X1027" s="187" t="str">
        <f>CONCATENATE(V1027,"_",W1027)</f>
        <v>016_Sedes mantenidas</v>
      </c>
      <c r="Y1027" s="187" t="str">
        <f>CONCATENATE(U1027," ",X1027)</f>
        <v>08-Infraestructura física, mantenimiento y dotación (Sedes construidas, mantenidas reforzadas) 016_Sedes mantenidas</v>
      </c>
      <c r="Z1027" s="239" t="str">
        <f>CONCATENATE(P1027,Q1027,R1027,S1027,V1027)</f>
        <v>O23011745992024020708016</v>
      </c>
      <c r="AA1027" s="239" t="str">
        <f>IFERROR(VLOOKUP(Y1027,TD!$K$47:$L$65,2,0)," ")</f>
        <v>PM/0131/0108/45990160207</v>
      </c>
      <c r="AB1027" s="165" t="s">
        <v>120</v>
      </c>
      <c r="AC1027" s="240" t="s">
        <v>205</v>
      </c>
    </row>
    <row r="1028" spans="2:29" ht="70" x14ac:dyDescent="0.35">
      <c r="B1028" s="167">
        <v>20251083</v>
      </c>
      <c r="C1028" s="166" t="s">
        <v>208</v>
      </c>
      <c r="D1028" s="237" t="s">
        <v>45</v>
      </c>
      <c r="E1028" s="51" t="s">
        <v>355</v>
      </c>
      <c r="F1028" s="237" t="s">
        <v>1254</v>
      </c>
      <c r="G1028" s="237" t="s">
        <v>155</v>
      </c>
      <c r="H1028" s="162">
        <v>80111600</v>
      </c>
      <c r="I1028" s="238">
        <v>10</v>
      </c>
      <c r="J1028" s="238">
        <v>3</v>
      </c>
      <c r="K1028" s="163">
        <v>0</v>
      </c>
      <c r="L1028" s="165">
        <v>27000000</v>
      </c>
      <c r="M1028" s="164" t="s">
        <v>464</v>
      </c>
      <c r="N1028" s="165" t="s">
        <v>113</v>
      </c>
      <c r="O1028" s="51" t="s">
        <v>219</v>
      </c>
      <c r="P1028" s="239" t="str">
        <f>IFERROR(VLOOKUP(C1028,TD!$B$33:$F$37,2,0)," ")</f>
        <v>O230117</v>
      </c>
      <c r="Q1028" s="239" t="str">
        <f>IFERROR(VLOOKUP(C1028,TD!$B$33:$F$37,3,0)," ")</f>
        <v>4599</v>
      </c>
      <c r="R1028" s="239">
        <f>IFERROR(VLOOKUP(C1028,TD!$B$33:$F$37,4,0)," ")</f>
        <v>20240207</v>
      </c>
      <c r="S1028" s="51" t="s">
        <v>185</v>
      </c>
      <c r="T1028" s="186" t="str">
        <f>IFERROR(VLOOKUP(S1028,TD!$J$34:$K$44,2,0)," ")</f>
        <v>Infraestructura física, mantenimiento y dotación (Sedes construidas, mantenidas reforzadas)</v>
      </c>
      <c r="U1028" s="187" t="str">
        <f>CONCATENATE(S1028,"-",T1028)</f>
        <v>08-Infraestructura física, mantenimiento y dotación (Sedes construidas, mantenidas reforzadas)</v>
      </c>
      <c r="V1028" s="51" t="s">
        <v>238</v>
      </c>
      <c r="W1028" s="186" t="str">
        <f>IFERROR(VLOOKUP(V1028,TD!$N$34:$O$46,2,0)," ")</f>
        <v>Sedes mantenidas</v>
      </c>
      <c r="X1028" s="187" t="str">
        <f>CONCATENATE(V1028,"_",W1028)</f>
        <v>016_Sedes mantenidas</v>
      </c>
      <c r="Y1028" s="187" t="str">
        <f>CONCATENATE(U1028," ",X1028)</f>
        <v>08-Infraestructura física, mantenimiento y dotación (Sedes construidas, mantenidas reforzadas) 016_Sedes mantenidas</v>
      </c>
      <c r="Z1028" s="239" t="str">
        <f>CONCATENATE(P1028,Q1028,R1028,S1028,V1028)</f>
        <v>O23011745992024020708016</v>
      </c>
      <c r="AA1028" s="239" t="str">
        <f>IFERROR(VLOOKUP(Y1028,TD!$K$47:$L$65,2,0)," ")</f>
        <v>PM/0131/0108/45990160207</v>
      </c>
      <c r="AB1028" s="165" t="s">
        <v>138</v>
      </c>
      <c r="AC1028" s="240" t="s">
        <v>205</v>
      </c>
    </row>
    <row r="1029" spans="2:29" ht="70" x14ac:dyDescent="0.35">
      <c r="B1029" s="167">
        <v>20251084</v>
      </c>
      <c r="C1029" s="166" t="s">
        <v>208</v>
      </c>
      <c r="D1029" s="237" t="s">
        <v>45</v>
      </c>
      <c r="E1029" s="51" t="s">
        <v>355</v>
      </c>
      <c r="F1029" s="237" t="s">
        <v>1255</v>
      </c>
      <c r="G1029" s="237" t="s">
        <v>155</v>
      </c>
      <c r="H1029" s="162">
        <v>80111600</v>
      </c>
      <c r="I1029" s="238">
        <v>10</v>
      </c>
      <c r="J1029" s="238">
        <v>2</v>
      </c>
      <c r="K1029" s="163">
        <v>0</v>
      </c>
      <c r="L1029" s="165">
        <v>15000000</v>
      </c>
      <c r="M1029" s="164" t="s">
        <v>464</v>
      </c>
      <c r="N1029" s="165" t="s">
        <v>113</v>
      </c>
      <c r="O1029" s="51" t="s">
        <v>219</v>
      </c>
      <c r="P1029" s="239" t="str">
        <f>IFERROR(VLOOKUP(C1029,TD!$B$33:$F$37,2,0)," ")</f>
        <v>O230117</v>
      </c>
      <c r="Q1029" s="239" t="str">
        <f>IFERROR(VLOOKUP(C1029,TD!$B$33:$F$37,3,0)," ")</f>
        <v>4599</v>
      </c>
      <c r="R1029" s="239">
        <f>IFERROR(VLOOKUP(C1029,TD!$B$33:$F$37,4,0)," ")</f>
        <v>20240207</v>
      </c>
      <c r="S1029" s="51" t="s">
        <v>185</v>
      </c>
      <c r="T1029" s="186" t="str">
        <f>IFERROR(VLOOKUP(S1029,TD!$J$34:$K$44,2,0)," ")</f>
        <v>Infraestructura física, mantenimiento y dotación (Sedes construidas, mantenidas reforzadas)</v>
      </c>
      <c r="U1029" s="187" t="str">
        <f>CONCATENATE(S1029,"-",T1029)</f>
        <v>08-Infraestructura física, mantenimiento y dotación (Sedes construidas, mantenidas reforzadas)</v>
      </c>
      <c r="V1029" s="51" t="s">
        <v>238</v>
      </c>
      <c r="W1029" s="186" t="str">
        <f>IFERROR(VLOOKUP(V1029,TD!$N$34:$O$46,2,0)," ")</f>
        <v>Sedes mantenidas</v>
      </c>
      <c r="X1029" s="187" t="str">
        <f>CONCATENATE(V1029,"_",W1029)</f>
        <v>016_Sedes mantenidas</v>
      </c>
      <c r="Y1029" s="187" t="str">
        <f>CONCATENATE(U1029," ",X1029)</f>
        <v>08-Infraestructura física, mantenimiento y dotación (Sedes construidas, mantenidas reforzadas) 016_Sedes mantenidas</v>
      </c>
      <c r="Z1029" s="239" t="str">
        <f>CONCATENATE(P1029,Q1029,R1029,S1029,V1029)</f>
        <v>O23011745992024020708016</v>
      </c>
      <c r="AA1029" s="239" t="str">
        <f>IFERROR(VLOOKUP(Y1029,TD!$K$47:$L$65,2,0)," ")</f>
        <v>PM/0131/0108/45990160207</v>
      </c>
      <c r="AB1029" s="165" t="s">
        <v>138</v>
      </c>
      <c r="AC1029" s="240" t="s">
        <v>205</v>
      </c>
    </row>
    <row r="1030" spans="2:29" ht="84" x14ac:dyDescent="0.35">
      <c r="B1030" s="167">
        <v>20251085</v>
      </c>
      <c r="C1030" s="166" t="s">
        <v>208</v>
      </c>
      <c r="D1030" s="184" t="s">
        <v>161</v>
      </c>
      <c r="E1030" s="51" t="s">
        <v>355</v>
      </c>
      <c r="F1030" s="184" t="s">
        <v>1256</v>
      </c>
      <c r="G1030" s="184" t="s">
        <v>155</v>
      </c>
      <c r="H1030" s="93">
        <v>80111600</v>
      </c>
      <c r="I1030" s="185">
        <v>10</v>
      </c>
      <c r="J1030" s="185">
        <v>1</v>
      </c>
      <c r="K1030" s="52">
        <v>20</v>
      </c>
      <c r="L1030" s="53">
        <v>15333333</v>
      </c>
      <c r="M1030" s="136" t="s">
        <v>464</v>
      </c>
      <c r="N1030" s="53" t="s">
        <v>113</v>
      </c>
      <c r="O1030" s="51" t="s">
        <v>220</v>
      </c>
      <c r="P1030" s="186" t="str">
        <f>IFERROR(VLOOKUP(C1030,TD!$B$33:$F$37,2,0)," ")</f>
        <v>O230117</v>
      </c>
      <c r="Q1030" s="186" t="str">
        <f>IFERROR(VLOOKUP(C1030,TD!$B$33:$F$37,3,0)," ")</f>
        <v>4599</v>
      </c>
      <c r="R1030" s="186">
        <f>IFERROR(VLOOKUP(C1030,TD!$B$33:$F$37,4,0)," ")</f>
        <v>20240207</v>
      </c>
      <c r="S1030" s="51" t="s">
        <v>193</v>
      </c>
      <c r="T1030" s="186" t="str">
        <f>IFERROR(VLOOKUP(S1030,TD!$J$34:$K$44,2,0)," ")</f>
        <v>Servicios para la planeación y sistemas de gestión y comunicación estratégica</v>
      </c>
      <c r="U1030" s="187" t="str">
        <f>CONCATENATE(S1030,"-",T1030)</f>
        <v>13-Servicios para la planeación y sistemas de gestión y comunicación estratégica</v>
      </c>
      <c r="V1030" s="51" t="s">
        <v>242</v>
      </c>
      <c r="W1030" s="186" t="str">
        <f>IFERROR(VLOOKUP(V1030,TD!$N$34:$O$46,2,0)," ")</f>
        <v>Documentos de planeación</v>
      </c>
      <c r="X1030" s="187" t="str">
        <f>CONCATENATE(V1030,"_",W1030)</f>
        <v>019_Documentos de planeación</v>
      </c>
      <c r="Y1030" s="187" t="str">
        <f>CONCATENATE(U1030," ",X1030)</f>
        <v>13-Servicios para la planeación y sistemas de gestión y comunicación estratégica 019_Documentos de planeación</v>
      </c>
      <c r="Z1030" s="186" t="str">
        <f>CONCATENATE(P1030,Q1030,R1030,S1030,V1030)</f>
        <v>O23011745992024020713019</v>
      </c>
      <c r="AA1030" s="186" t="str">
        <f>IFERROR(VLOOKUP(Y1030,TD!$K$47:$L$65,2,0)," ")</f>
        <v>PM/0131/0113/45990190207</v>
      </c>
      <c r="AB1030" s="53" t="s">
        <v>138</v>
      </c>
      <c r="AC1030" s="240" t="s">
        <v>205</v>
      </c>
    </row>
    <row r="1031" spans="2:29" ht="56" x14ac:dyDescent="0.35">
      <c r="B1031" s="167">
        <v>20251086</v>
      </c>
      <c r="C1031" s="166" t="s">
        <v>208</v>
      </c>
      <c r="D1031" s="237" t="s">
        <v>45</v>
      </c>
      <c r="E1031" s="51" t="s">
        <v>355</v>
      </c>
      <c r="F1031" s="184" t="s">
        <v>1257</v>
      </c>
      <c r="G1031" s="184" t="s">
        <v>155</v>
      </c>
      <c r="H1031" s="93">
        <v>80111600</v>
      </c>
      <c r="I1031" s="185">
        <v>10</v>
      </c>
      <c r="J1031" s="185">
        <v>2</v>
      </c>
      <c r="K1031" s="52">
        <v>0</v>
      </c>
      <c r="L1031" s="53">
        <v>16000000</v>
      </c>
      <c r="M1031" s="136" t="s">
        <v>464</v>
      </c>
      <c r="N1031" s="53" t="s">
        <v>113</v>
      </c>
      <c r="O1031" s="51" t="s">
        <v>219</v>
      </c>
      <c r="P1031" s="186" t="str">
        <f>IFERROR(VLOOKUP(C1031,TD!$B$33:$F$37,2,0)," ")</f>
        <v>O230117</v>
      </c>
      <c r="Q1031" s="186" t="str">
        <f>IFERROR(VLOOKUP(C1031,TD!$B$33:$F$37,3,0)," ")</f>
        <v>4599</v>
      </c>
      <c r="R1031" s="186">
        <f>IFERROR(VLOOKUP(C1031,TD!$B$33:$F$37,4,0)," ")</f>
        <v>20240207</v>
      </c>
      <c r="S1031" s="51" t="s">
        <v>185</v>
      </c>
      <c r="T1031" s="186" t="str">
        <f>IFERROR(VLOOKUP(S1031,TD!$J$34:$K$44,2,0)," ")</f>
        <v>Infraestructura física, mantenimiento y dotación (Sedes construidas, mantenidas reforzadas)</v>
      </c>
      <c r="U1031" s="187" t="str">
        <f>CONCATENATE(S1031,"-",T1031)</f>
        <v>08-Infraestructura física, mantenimiento y dotación (Sedes construidas, mantenidas reforzadas)</v>
      </c>
      <c r="V1031" s="51" t="s">
        <v>238</v>
      </c>
      <c r="W1031" s="186" t="str">
        <f>IFERROR(VLOOKUP(V1031,TD!$N$34:$O$46,2,0)," ")</f>
        <v>Sedes mantenidas</v>
      </c>
      <c r="X1031" s="187" t="str">
        <f>CONCATENATE(V1031,"_",W1031)</f>
        <v>016_Sedes mantenidas</v>
      </c>
      <c r="Y1031" s="187" t="str">
        <f>CONCATENATE(U1031," ",X1031)</f>
        <v>08-Infraestructura física, mantenimiento y dotación (Sedes construidas, mantenidas reforzadas) 016_Sedes mantenidas</v>
      </c>
      <c r="Z1031" s="186" t="str">
        <f>CONCATENATE(P1031,Q1031,R1031,S1031,V1031)</f>
        <v>O23011745992024020708016</v>
      </c>
      <c r="AA1031" s="186" t="str">
        <f>IFERROR(VLOOKUP(Y1031,TD!$K$47:$L$65,2,0)," ")</f>
        <v>PM/0131/0108/45990160207</v>
      </c>
      <c r="AB1031" s="53" t="s">
        <v>138</v>
      </c>
      <c r="AC1031" s="240" t="s">
        <v>205</v>
      </c>
    </row>
    <row r="1032" spans="2:29" ht="70" x14ac:dyDescent="0.35">
      <c r="B1032" s="167">
        <v>20251087</v>
      </c>
      <c r="C1032" s="166" t="s">
        <v>208</v>
      </c>
      <c r="D1032" s="184" t="s">
        <v>161</v>
      </c>
      <c r="E1032" s="51" t="s">
        <v>355</v>
      </c>
      <c r="F1032" s="184" t="s">
        <v>1258</v>
      </c>
      <c r="G1032" s="184" t="s">
        <v>155</v>
      </c>
      <c r="H1032" s="93">
        <v>80111600</v>
      </c>
      <c r="I1032" s="185">
        <v>11</v>
      </c>
      <c r="J1032" s="185">
        <v>1</v>
      </c>
      <c r="K1032" s="52">
        <v>29</v>
      </c>
      <c r="L1032" s="53">
        <v>13373333</v>
      </c>
      <c r="M1032" s="136" t="s">
        <v>464</v>
      </c>
      <c r="N1032" s="53" t="s">
        <v>113</v>
      </c>
      <c r="O1032" s="51" t="s">
        <v>220</v>
      </c>
      <c r="P1032" s="186" t="str">
        <f>IFERROR(VLOOKUP(C1032,TD!$B$33:$F$37,2,0)," ")</f>
        <v>O230117</v>
      </c>
      <c r="Q1032" s="186" t="str">
        <f>IFERROR(VLOOKUP(C1032,TD!$B$33:$F$37,3,0)," ")</f>
        <v>4599</v>
      </c>
      <c r="R1032" s="186">
        <f>IFERROR(VLOOKUP(C1032,TD!$B$33:$F$37,4,0)," ")</f>
        <v>20240207</v>
      </c>
      <c r="S1032" s="51" t="s">
        <v>193</v>
      </c>
      <c r="T1032" s="186" t="str">
        <f>IFERROR(VLOOKUP(S1032,TD!$J$34:$K$44,2,0)," ")</f>
        <v>Servicios para la planeación y sistemas de gestión y comunicación estratégica</v>
      </c>
      <c r="U1032" s="187" t="str">
        <f>CONCATENATE(S1032,"-",T1032)</f>
        <v>13-Servicios para la planeación y sistemas de gestión y comunicación estratégica</v>
      </c>
      <c r="V1032" s="51" t="s">
        <v>242</v>
      </c>
      <c r="W1032" s="186" t="str">
        <f>IFERROR(VLOOKUP(V1032,TD!$N$34:$O$46,2,0)," ")</f>
        <v>Documentos de planeación</v>
      </c>
      <c r="X1032" s="187" t="str">
        <f>CONCATENATE(V1032,"_",W1032)</f>
        <v>019_Documentos de planeación</v>
      </c>
      <c r="Y1032" s="187" t="str">
        <f>CONCATENATE(U1032," ",X1032)</f>
        <v>13-Servicios para la planeación y sistemas de gestión y comunicación estratégica 019_Documentos de planeación</v>
      </c>
      <c r="Z1032" s="186" t="str">
        <f>CONCATENATE(P1032,Q1032,R1032,S1032,V1032)</f>
        <v>O23011745992024020713019</v>
      </c>
      <c r="AA1032" s="186" t="str">
        <f>IFERROR(VLOOKUP(Y1032,TD!$K$47:$L$65,2,0)," ")</f>
        <v>PM/0131/0113/45990190207</v>
      </c>
      <c r="AB1032" s="53" t="s">
        <v>138</v>
      </c>
      <c r="AC1032" s="240" t="s">
        <v>205</v>
      </c>
    </row>
    <row r="1033" spans="2:29" ht="70" x14ac:dyDescent="0.35">
      <c r="B1033" s="167">
        <v>20251088</v>
      </c>
      <c r="C1033" s="166" t="s">
        <v>208</v>
      </c>
      <c r="D1033" s="184" t="s">
        <v>161</v>
      </c>
      <c r="E1033" s="51" t="s">
        <v>355</v>
      </c>
      <c r="F1033" s="184" t="s">
        <v>1259</v>
      </c>
      <c r="G1033" s="184" t="s">
        <v>155</v>
      </c>
      <c r="H1033" s="93">
        <v>80111600</v>
      </c>
      <c r="I1033" s="185">
        <v>11</v>
      </c>
      <c r="J1033" s="185">
        <v>2</v>
      </c>
      <c r="K1033" s="52">
        <v>0</v>
      </c>
      <c r="L1033" s="53">
        <v>10400000</v>
      </c>
      <c r="M1033" s="136" t="s">
        <v>464</v>
      </c>
      <c r="N1033" s="53" t="s">
        <v>113</v>
      </c>
      <c r="O1033" s="51" t="s">
        <v>220</v>
      </c>
      <c r="P1033" s="186" t="str">
        <f>IFERROR(VLOOKUP(C1033,TD!$B$33:$F$37,2,0)," ")</f>
        <v>O230117</v>
      </c>
      <c r="Q1033" s="186" t="str">
        <f>IFERROR(VLOOKUP(C1033,TD!$B$33:$F$37,3,0)," ")</f>
        <v>4599</v>
      </c>
      <c r="R1033" s="186">
        <f>IFERROR(VLOOKUP(C1033,TD!$B$33:$F$37,4,0)," ")</f>
        <v>20240207</v>
      </c>
      <c r="S1033" s="51" t="s">
        <v>193</v>
      </c>
      <c r="T1033" s="186" t="str">
        <f>IFERROR(VLOOKUP(S1033,TD!$J$34:$K$44,2,0)," ")</f>
        <v>Servicios para la planeación y sistemas de gestión y comunicación estratégica</v>
      </c>
      <c r="U1033" s="187" t="str">
        <f>CONCATENATE(S1033,"-",T1033)</f>
        <v>13-Servicios para la planeación y sistemas de gestión y comunicación estratégica</v>
      </c>
      <c r="V1033" s="51" t="s">
        <v>242</v>
      </c>
      <c r="W1033" s="186" t="str">
        <f>IFERROR(VLOOKUP(V1033,TD!$N$34:$O$46,2,0)," ")</f>
        <v>Documentos de planeación</v>
      </c>
      <c r="X1033" s="187" t="str">
        <f>CONCATENATE(V1033,"_",W1033)</f>
        <v>019_Documentos de planeación</v>
      </c>
      <c r="Y1033" s="187" t="str">
        <f>CONCATENATE(U1033," ",X1033)</f>
        <v>13-Servicios para la planeación y sistemas de gestión y comunicación estratégica 019_Documentos de planeación</v>
      </c>
      <c r="Z1033" s="186" t="str">
        <f>CONCATENATE(P1033,Q1033,R1033,S1033,V1033)</f>
        <v>O23011745992024020713019</v>
      </c>
      <c r="AA1033" s="186" t="str">
        <f>IFERROR(VLOOKUP(Y1033,TD!$K$47:$L$65,2,0)," ")</f>
        <v>PM/0131/0113/45990190207</v>
      </c>
      <c r="AB1033" s="53" t="s">
        <v>138</v>
      </c>
      <c r="AC1033" s="240" t="s">
        <v>205</v>
      </c>
    </row>
    <row r="1034" spans="2:29" ht="70" x14ac:dyDescent="0.35">
      <c r="B1034" s="167">
        <v>20251089</v>
      </c>
      <c r="C1034" s="166" t="s">
        <v>208</v>
      </c>
      <c r="D1034" s="184" t="s">
        <v>161</v>
      </c>
      <c r="E1034" s="51" t="s">
        <v>355</v>
      </c>
      <c r="F1034" s="184" t="s">
        <v>1260</v>
      </c>
      <c r="G1034" s="184" t="s">
        <v>155</v>
      </c>
      <c r="H1034" s="93">
        <v>80111600</v>
      </c>
      <c r="I1034" s="185">
        <v>11</v>
      </c>
      <c r="J1034" s="185">
        <v>2</v>
      </c>
      <c r="K1034" s="52">
        <v>0</v>
      </c>
      <c r="L1034" s="53">
        <v>10400000</v>
      </c>
      <c r="M1034" s="136" t="s">
        <v>464</v>
      </c>
      <c r="N1034" s="53" t="s">
        <v>113</v>
      </c>
      <c r="O1034" s="51" t="s">
        <v>220</v>
      </c>
      <c r="P1034" s="186" t="str">
        <f>IFERROR(VLOOKUP(C1034,TD!$B$33:$F$37,2,0)," ")</f>
        <v>O230117</v>
      </c>
      <c r="Q1034" s="186" t="str">
        <f>IFERROR(VLOOKUP(C1034,TD!$B$33:$F$37,3,0)," ")</f>
        <v>4599</v>
      </c>
      <c r="R1034" s="186">
        <f>IFERROR(VLOOKUP(C1034,TD!$B$33:$F$37,4,0)," ")</f>
        <v>20240207</v>
      </c>
      <c r="S1034" s="51" t="s">
        <v>193</v>
      </c>
      <c r="T1034" s="186" t="str">
        <f>IFERROR(VLOOKUP(S1034,TD!$J$34:$K$44,2,0)," ")</f>
        <v>Servicios para la planeación y sistemas de gestión y comunicación estratégica</v>
      </c>
      <c r="U1034" s="187" t="str">
        <f>CONCATENATE(S1034,"-",T1034)</f>
        <v>13-Servicios para la planeación y sistemas de gestión y comunicación estratégica</v>
      </c>
      <c r="V1034" s="51" t="s">
        <v>242</v>
      </c>
      <c r="W1034" s="186" t="str">
        <f>IFERROR(VLOOKUP(V1034,TD!$N$34:$O$46,2,0)," ")</f>
        <v>Documentos de planeación</v>
      </c>
      <c r="X1034" s="187" t="str">
        <f>CONCATENATE(V1034,"_",W1034)</f>
        <v>019_Documentos de planeación</v>
      </c>
      <c r="Y1034" s="187" t="str">
        <f>CONCATENATE(U1034," ",X1034)</f>
        <v>13-Servicios para la planeación y sistemas de gestión y comunicación estratégica 019_Documentos de planeación</v>
      </c>
      <c r="Z1034" s="186" t="str">
        <f>CONCATENATE(P1034,Q1034,R1034,S1034,V1034)</f>
        <v>O23011745992024020713019</v>
      </c>
      <c r="AA1034" s="186" t="str">
        <f>IFERROR(VLOOKUP(Y1034,TD!$K$47:$L$65,2,0)," ")</f>
        <v>PM/0131/0113/45990190207</v>
      </c>
      <c r="AB1034" s="53" t="s">
        <v>138</v>
      </c>
      <c r="AC1034" s="240" t="s">
        <v>205</v>
      </c>
    </row>
    <row r="1035" spans="2:29" ht="70" x14ac:dyDescent="0.35">
      <c r="B1035" s="167">
        <v>20251090</v>
      </c>
      <c r="C1035" s="166" t="s">
        <v>208</v>
      </c>
      <c r="D1035" s="237" t="s">
        <v>45</v>
      </c>
      <c r="E1035" s="51" t="s">
        <v>355</v>
      </c>
      <c r="F1035" s="184" t="s">
        <v>1261</v>
      </c>
      <c r="G1035" s="184" t="s">
        <v>155</v>
      </c>
      <c r="H1035" s="93">
        <v>80111600</v>
      </c>
      <c r="I1035" s="185">
        <v>1</v>
      </c>
      <c r="J1035" s="185">
        <v>0</v>
      </c>
      <c r="K1035" s="52">
        <v>18</v>
      </c>
      <c r="L1035" s="53">
        <v>3120000</v>
      </c>
      <c r="M1035" s="136" t="s">
        <v>464</v>
      </c>
      <c r="N1035" s="53" t="s">
        <v>113</v>
      </c>
      <c r="O1035" s="51" t="s">
        <v>219</v>
      </c>
      <c r="P1035" s="186" t="str">
        <f>IFERROR(VLOOKUP(C1035,TD!$B$33:$F$37,2,0)," ")</f>
        <v>O230117</v>
      </c>
      <c r="Q1035" s="186" t="str">
        <f>IFERROR(VLOOKUP(C1035,TD!$B$33:$F$37,3,0)," ")</f>
        <v>4599</v>
      </c>
      <c r="R1035" s="186">
        <f>IFERROR(VLOOKUP(C1035,TD!$B$33:$F$37,4,0)," ")</f>
        <v>20240207</v>
      </c>
      <c r="S1035" s="51" t="s">
        <v>185</v>
      </c>
      <c r="T1035" s="186" t="str">
        <f>IFERROR(VLOOKUP(S1035,TD!$J$34:$K$44,2,0)," ")</f>
        <v>Infraestructura física, mantenimiento y dotación (Sedes construidas, mantenidas reforzadas)</v>
      </c>
      <c r="U1035" s="187" t="str">
        <f>CONCATENATE(S1035,"-",T1035)</f>
        <v>08-Infraestructura física, mantenimiento y dotación (Sedes construidas, mantenidas reforzadas)</v>
      </c>
      <c r="V1035" s="51" t="s">
        <v>238</v>
      </c>
      <c r="W1035" s="186" t="str">
        <f>IFERROR(VLOOKUP(V1035,TD!$N$34:$O$46,2,0)," ")</f>
        <v>Sedes mantenidas</v>
      </c>
      <c r="X1035" s="187" t="str">
        <f>CONCATENATE(V1035,"_",W1035)</f>
        <v>016_Sedes mantenidas</v>
      </c>
      <c r="Y1035" s="187" t="str">
        <f>CONCATENATE(U1035," ",X1035)</f>
        <v>08-Infraestructura física, mantenimiento y dotación (Sedes construidas, mantenidas reforzadas) 016_Sedes mantenidas</v>
      </c>
      <c r="Z1035" s="186" t="str">
        <f>CONCATENATE(P1035,Q1035,R1035,S1035,V1035)</f>
        <v>O23011745992024020708016</v>
      </c>
      <c r="AA1035" s="186" t="str">
        <f>IFERROR(VLOOKUP(Y1035,TD!$K$47:$L$65,2,0)," ")</f>
        <v>PM/0131/0108/45990160207</v>
      </c>
      <c r="AB1035" s="53" t="s">
        <v>138</v>
      </c>
      <c r="AC1035" s="240" t="s">
        <v>205</v>
      </c>
    </row>
    <row r="1036" spans="2:29" ht="70" x14ac:dyDescent="0.35">
      <c r="B1036" s="167">
        <v>20251091</v>
      </c>
      <c r="C1036" s="166" t="s">
        <v>208</v>
      </c>
      <c r="D1036" s="184" t="s">
        <v>161</v>
      </c>
      <c r="E1036" s="51" t="s">
        <v>355</v>
      </c>
      <c r="F1036" s="184" t="s">
        <v>1262</v>
      </c>
      <c r="G1036" s="184" t="s">
        <v>155</v>
      </c>
      <c r="H1036" s="93">
        <v>80111600</v>
      </c>
      <c r="I1036" s="185">
        <v>1</v>
      </c>
      <c r="J1036" s="185">
        <v>0</v>
      </c>
      <c r="K1036" s="52">
        <v>20</v>
      </c>
      <c r="L1036" s="53">
        <v>4000000</v>
      </c>
      <c r="M1036" s="136" t="s">
        <v>464</v>
      </c>
      <c r="N1036" s="53" t="s">
        <v>113</v>
      </c>
      <c r="O1036" s="51" t="s">
        <v>220</v>
      </c>
      <c r="P1036" s="186" t="str">
        <f>IFERROR(VLOOKUP(C1036,TD!$B$33:$F$37,2,0)," ")</f>
        <v>O230117</v>
      </c>
      <c r="Q1036" s="186" t="str">
        <f>IFERROR(VLOOKUP(C1036,TD!$B$33:$F$37,3,0)," ")</f>
        <v>4599</v>
      </c>
      <c r="R1036" s="186">
        <f>IFERROR(VLOOKUP(C1036,TD!$B$33:$F$37,4,0)," ")</f>
        <v>20240207</v>
      </c>
      <c r="S1036" s="51" t="s">
        <v>193</v>
      </c>
      <c r="T1036" s="186" t="str">
        <f>IFERROR(VLOOKUP(S1036,TD!$J$34:$K$44,2,0)," ")</f>
        <v>Servicios para la planeación y sistemas de gestión y comunicación estratégica</v>
      </c>
      <c r="U1036" s="187" t="str">
        <f>CONCATENATE(S1036,"-",T1036)</f>
        <v>13-Servicios para la planeación y sistemas de gestión y comunicación estratégica</v>
      </c>
      <c r="V1036" s="51" t="s">
        <v>242</v>
      </c>
      <c r="W1036" s="186" t="str">
        <f>IFERROR(VLOOKUP(V1036,TD!$N$34:$O$46,2,0)," ")</f>
        <v>Documentos de planeación</v>
      </c>
      <c r="X1036" s="187" t="str">
        <f>CONCATENATE(V1036,"_",W1036)</f>
        <v>019_Documentos de planeación</v>
      </c>
      <c r="Y1036" s="187" t="str">
        <f>CONCATENATE(U1036," ",X1036)</f>
        <v>13-Servicios para la planeación y sistemas de gestión y comunicación estratégica 019_Documentos de planeación</v>
      </c>
      <c r="Z1036" s="186" t="str">
        <f>CONCATENATE(P1036,Q1036,R1036,S1036,V1036)</f>
        <v>O23011745992024020713019</v>
      </c>
      <c r="AA1036" s="186" t="str">
        <f>IFERROR(VLOOKUP(Y1036,TD!$K$47:$L$65,2,0)," ")</f>
        <v>PM/0131/0113/45990190207</v>
      </c>
      <c r="AB1036" s="53" t="s">
        <v>138</v>
      </c>
      <c r="AC1036" s="240" t="s">
        <v>205</v>
      </c>
    </row>
    <row r="1037" spans="2:29" ht="56" x14ac:dyDescent="0.35">
      <c r="B1037" s="167">
        <v>20251092</v>
      </c>
      <c r="C1037" s="166" t="s">
        <v>208</v>
      </c>
      <c r="D1037" s="237" t="s">
        <v>45</v>
      </c>
      <c r="E1037" s="51" t="s">
        <v>355</v>
      </c>
      <c r="F1037" s="184" t="s">
        <v>1263</v>
      </c>
      <c r="G1037" s="184" t="s">
        <v>156</v>
      </c>
      <c r="H1037" s="93" t="s">
        <v>1264</v>
      </c>
      <c r="I1037" s="185" t="s">
        <v>450</v>
      </c>
      <c r="J1037" s="185" t="s">
        <v>1265</v>
      </c>
      <c r="K1037" s="52" t="s">
        <v>1266</v>
      </c>
      <c r="L1037" s="53">
        <v>2200000</v>
      </c>
      <c r="M1037" s="136" t="s">
        <v>464</v>
      </c>
      <c r="N1037" s="53" t="s">
        <v>610</v>
      </c>
      <c r="O1037" s="51" t="s">
        <v>219</v>
      </c>
      <c r="P1037" s="186" t="str">
        <f>IFERROR(VLOOKUP(C1037,TD!$B$33:$F$37,2,0)," ")</f>
        <v>O230117</v>
      </c>
      <c r="Q1037" s="186" t="str">
        <f>IFERROR(VLOOKUP(C1037,TD!$B$33:$F$37,3,0)," ")</f>
        <v>4599</v>
      </c>
      <c r="R1037" s="186">
        <f>IFERROR(VLOOKUP(C1037,TD!$B$33:$F$37,4,0)," ")</f>
        <v>20240207</v>
      </c>
      <c r="S1037" s="51" t="s">
        <v>185</v>
      </c>
      <c r="T1037" s="186" t="str">
        <f>IFERROR(VLOOKUP(S1037,TD!$J$34:$K$44,2,0)," ")</f>
        <v>Infraestructura física, mantenimiento y dotación (Sedes construidas, mantenidas reforzadas)</v>
      </c>
      <c r="U1037" s="187" t="str">
        <f>CONCATENATE(S1037,"-",T1037)</f>
        <v>08-Infraestructura física, mantenimiento y dotación (Sedes construidas, mantenidas reforzadas)</v>
      </c>
      <c r="V1037" s="51" t="s">
        <v>238</v>
      </c>
      <c r="W1037" s="186" t="str">
        <f>IFERROR(VLOOKUP(V1037,TD!$N$34:$O$46,2,0)," ")</f>
        <v>Sedes mantenidas</v>
      </c>
      <c r="X1037" s="187" t="str">
        <f>CONCATENATE(V1037,"_",W1037)</f>
        <v>016_Sedes mantenidas</v>
      </c>
      <c r="Y1037" s="187" t="str">
        <f>CONCATENATE(U1037," ",X1037)</f>
        <v>08-Infraestructura física, mantenimiento y dotación (Sedes construidas, mantenidas reforzadas) 016_Sedes mantenidas</v>
      </c>
      <c r="Z1037" s="186" t="str">
        <f>CONCATENATE(P1037,Q1037,R1037,S1037,V1037)</f>
        <v>O23011745992024020708016</v>
      </c>
      <c r="AA1037" s="186" t="str">
        <f>IFERROR(VLOOKUP(Y1037,TD!$K$47:$L$65,2,0)," ")</f>
        <v>PM/0131/0108/45990160207</v>
      </c>
      <c r="AB1037" s="53" t="s">
        <v>665</v>
      </c>
      <c r="AC1037" s="240" t="s">
        <v>205</v>
      </c>
    </row>
    <row r="1038" spans="2:29" ht="84" x14ac:dyDescent="0.35">
      <c r="B1038" s="167">
        <v>20251093</v>
      </c>
      <c r="C1038" s="166" t="s">
        <v>208</v>
      </c>
      <c r="D1038" s="184" t="s">
        <v>161</v>
      </c>
      <c r="E1038" s="51" t="s">
        <v>355</v>
      </c>
      <c r="F1038" s="184" t="s">
        <v>1267</v>
      </c>
      <c r="G1038" s="184" t="s">
        <v>155</v>
      </c>
      <c r="H1038" s="93" t="s">
        <v>1264</v>
      </c>
      <c r="I1038" s="185">
        <v>1</v>
      </c>
      <c r="J1038" s="185">
        <v>0</v>
      </c>
      <c r="K1038" s="52">
        <v>16</v>
      </c>
      <c r="L1038" s="53">
        <v>5600000</v>
      </c>
      <c r="M1038" s="136" t="s">
        <v>464</v>
      </c>
      <c r="N1038" s="53" t="s">
        <v>610</v>
      </c>
      <c r="O1038" s="51" t="s">
        <v>220</v>
      </c>
      <c r="P1038" s="186" t="str">
        <f>IFERROR(VLOOKUP(C1038,TD!$B$33:$F$37,2,0)," ")</f>
        <v>O230117</v>
      </c>
      <c r="Q1038" s="186" t="str">
        <f>IFERROR(VLOOKUP(C1038,TD!$B$33:$F$37,3,0)," ")</f>
        <v>4599</v>
      </c>
      <c r="R1038" s="186">
        <f>IFERROR(VLOOKUP(C1038,TD!$B$33:$F$37,4,0)," ")</f>
        <v>20240207</v>
      </c>
      <c r="S1038" s="51" t="s">
        <v>193</v>
      </c>
      <c r="T1038" s="186" t="str">
        <f>IFERROR(VLOOKUP(S1038,TD!$J$34:$K$44,2,0)," ")</f>
        <v>Servicios para la planeación y sistemas de gestión y comunicación estratégica</v>
      </c>
      <c r="U1038" s="187" t="str">
        <f>CONCATENATE(S1038,"-",T1038)</f>
        <v>13-Servicios para la planeación y sistemas de gestión y comunicación estratégica</v>
      </c>
      <c r="V1038" s="51" t="s">
        <v>242</v>
      </c>
      <c r="W1038" s="186" t="str">
        <f>IFERROR(VLOOKUP(V1038,TD!$N$34:$O$46,2,0)," ")</f>
        <v>Documentos de planeación</v>
      </c>
      <c r="X1038" s="187" t="str">
        <f>CONCATENATE(V1038,"_",W1038)</f>
        <v>019_Documentos de planeación</v>
      </c>
      <c r="Y1038" s="187" t="str">
        <f>CONCATENATE(U1038," ",X1038)</f>
        <v>13-Servicios para la planeación y sistemas de gestión y comunicación estratégica 019_Documentos de planeación</v>
      </c>
      <c r="Z1038" s="186" t="str">
        <f>CONCATENATE(P1038,Q1038,R1038,S1038,V1038)</f>
        <v>O23011745992024020713019</v>
      </c>
      <c r="AA1038" s="186" t="str">
        <f>IFERROR(VLOOKUP(Y1038,TD!$K$47:$L$65,2,0)," ")</f>
        <v>PM/0131/0113/45990190207</v>
      </c>
      <c r="AB1038" s="53" t="s">
        <v>138</v>
      </c>
      <c r="AC1038" s="240" t="s">
        <v>205</v>
      </c>
    </row>
    <row r="1039" spans="2:29" ht="126" x14ac:dyDescent="0.35">
      <c r="B1039" s="167">
        <v>20251094</v>
      </c>
      <c r="C1039" s="50" t="s">
        <v>208</v>
      </c>
      <c r="D1039" s="184" t="s">
        <v>36</v>
      </c>
      <c r="E1039" s="51" t="s">
        <v>378</v>
      </c>
      <c r="F1039" s="184" t="s">
        <v>1270</v>
      </c>
      <c r="G1039" s="184" t="s">
        <v>156</v>
      </c>
      <c r="H1039" s="93">
        <v>80111600</v>
      </c>
      <c r="I1039" s="185">
        <v>10</v>
      </c>
      <c r="J1039" s="185">
        <v>3</v>
      </c>
      <c r="K1039" s="52">
        <v>0</v>
      </c>
      <c r="L1039" s="53">
        <f>11260554-1876759</f>
        <v>9383795</v>
      </c>
      <c r="M1039" s="136" t="s">
        <v>464</v>
      </c>
      <c r="N1039" s="53" t="s">
        <v>113</v>
      </c>
      <c r="O1039" s="51" t="s">
        <v>211</v>
      </c>
      <c r="P1039" s="186" t="str">
        <f>IFERROR(VLOOKUP(C1039,TD!$B$33:$F$37,2,0)," ")</f>
        <v>O230117</v>
      </c>
      <c r="Q1039" s="186" t="str">
        <f>IFERROR(VLOOKUP(C1039,TD!$B$33:$F$37,3,0)," ")</f>
        <v>4599</v>
      </c>
      <c r="R1039" s="186">
        <f>IFERROR(VLOOKUP(C1039,TD!$B$33:$F$37,4,0)," ")</f>
        <v>20240207</v>
      </c>
      <c r="S1039" s="51" t="s">
        <v>193</v>
      </c>
      <c r="T1039" s="186" t="str">
        <f>IFERROR(VLOOKUP(S1039,TD!$J$34:$K$44,2,0)," ")</f>
        <v>Servicios para la planeación y sistemas de gestión y comunicación estratégica</v>
      </c>
      <c r="U1039" s="187" t="str">
        <f>CONCATENATE(S1039,"-",T1039)</f>
        <v>13-Servicios para la planeación y sistemas de gestión y comunicación estratégica</v>
      </c>
      <c r="V1039" s="51" t="s">
        <v>240</v>
      </c>
      <c r="W1039" s="186" t="str">
        <f>IFERROR(VLOOKUP(V1039,TD!$N$34:$O$46,2,0)," ")</f>
        <v>Servicio de asistencia técnica</v>
      </c>
      <c r="X1039" s="187" t="str">
        <f>CONCATENATE(V1039,"_",W1039)</f>
        <v>031_Servicio de asistencia técnica</v>
      </c>
      <c r="Y1039" s="187" t="str">
        <f>CONCATENATE(U1039," ",X1039)</f>
        <v>13-Servicios para la planeación y sistemas de gestión y comunicación estratégica 031_Servicio de asistencia técnica</v>
      </c>
      <c r="Z1039" s="186" t="str">
        <f>CONCATENATE(P1039,Q1039,R1039,S1039,V1039)</f>
        <v>O23011745992024020713031</v>
      </c>
      <c r="AA1039" s="186" t="str">
        <f>IFERROR(VLOOKUP(Y1039,TD!$K$47:$L$65,2,0)," ")</f>
        <v>PM/0131/0113/45990310207</v>
      </c>
      <c r="AB1039" s="53" t="s">
        <v>138</v>
      </c>
      <c r="AC1039" s="188" t="s">
        <v>205</v>
      </c>
    </row>
    <row r="1040" spans="2:29" ht="98" x14ac:dyDescent="0.35">
      <c r="B1040" s="132">
        <v>20251099</v>
      </c>
      <c r="C1040" s="50" t="s">
        <v>209</v>
      </c>
      <c r="D1040" s="184" t="s">
        <v>165</v>
      </c>
      <c r="E1040" s="51" t="s">
        <v>484</v>
      </c>
      <c r="F1040" s="184" t="s">
        <v>1274</v>
      </c>
      <c r="G1040" s="184" t="s">
        <v>155</v>
      </c>
      <c r="H1040" s="93">
        <v>80111600</v>
      </c>
      <c r="I1040" s="185">
        <v>11</v>
      </c>
      <c r="J1040" s="185">
        <v>1.5</v>
      </c>
      <c r="K1040" s="52">
        <v>0</v>
      </c>
      <c r="L1040" s="53">
        <v>10080000</v>
      </c>
      <c r="M1040" s="136" t="s">
        <v>464</v>
      </c>
      <c r="N1040" s="53" t="s">
        <v>113</v>
      </c>
      <c r="O1040" s="51" t="s">
        <v>229</v>
      </c>
      <c r="P1040" s="186" t="str">
        <f>IFERROR(VLOOKUP(C1040,TD!$B$33:$F$37,2,0)," ")</f>
        <v>O230117</v>
      </c>
      <c r="Q1040" s="186" t="str">
        <f>IFERROR(VLOOKUP(C1040,TD!$B$33:$F$37,3,0)," ")</f>
        <v>4503</v>
      </c>
      <c r="R1040" s="186">
        <f>IFERROR(VLOOKUP(C1040,TD!$B$33:$F$37,4,0)," ")</f>
        <v>20240255</v>
      </c>
      <c r="S1040" s="51" t="s">
        <v>183</v>
      </c>
      <c r="T1040" s="186" t="str">
        <f>IFERROR(VLOOKUP(S1040,TD!$J$34:$K$44,2,0)," ")</f>
        <v>Servicio de formación en gestión del riesgo de incendios para el personal UAECOB</v>
      </c>
      <c r="U1040" s="187" t="str">
        <f>CONCATENATE(S1040,"-",T1040)</f>
        <v>07-Servicio de formación en gestión del riesgo de incendios para el personal UAECOB</v>
      </c>
      <c r="V1040" s="51" t="s">
        <v>233</v>
      </c>
      <c r="W1040" s="186" t="str">
        <f>IFERROR(VLOOKUP(V1040,TD!$N$34:$O$46,2,0)," ")</f>
        <v>Servicio de educación informal</v>
      </c>
      <c r="X1040" s="187" t="str">
        <f>CONCATENATE(V1040,"_",W1040)</f>
        <v>002_Servicio de educación informal</v>
      </c>
      <c r="Y1040" s="187" t="str">
        <f>CONCATENATE(U1040," ",X1040)</f>
        <v>07-Servicio de formación en gestión del riesgo de incendios para el personal UAECOB 002_Servicio de educación informal</v>
      </c>
      <c r="Z1040" s="186" t="str">
        <f>CONCATENATE(P1040,Q1040,R1040,S1040,V1040)</f>
        <v>O23011745032024025507002</v>
      </c>
      <c r="AA1040" s="186" t="str">
        <f>IFERROR(VLOOKUP(Y1040,TD!$K$47:$L$65,2,0)," ")</f>
        <v>PM/0131/0107/45030020255</v>
      </c>
      <c r="AB1040" s="53" t="s">
        <v>120</v>
      </c>
      <c r="AC1040" s="188" t="s">
        <v>204</v>
      </c>
    </row>
    <row r="1041" spans="2:29" ht="84" x14ac:dyDescent="0.35">
      <c r="B1041" s="132">
        <v>20251102</v>
      </c>
      <c r="C1041" s="50" t="s">
        <v>209</v>
      </c>
      <c r="D1041" s="184" t="s">
        <v>165</v>
      </c>
      <c r="E1041" s="51" t="s">
        <v>484</v>
      </c>
      <c r="F1041" s="184" t="s">
        <v>1275</v>
      </c>
      <c r="G1041" s="184" t="s">
        <v>156</v>
      </c>
      <c r="H1041" s="93">
        <v>80111600</v>
      </c>
      <c r="I1041" s="185">
        <v>11</v>
      </c>
      <c r="J1041" s="185">
        <v>1</v>
      </c>
      <c r="K1041" s="52">
        <v>0</v>
      </c>
      <c r="L1041" s="53">
        <v>4533334</v>
      </c>
      <c r="M1041" s="136" t="s">
        <v>464</v>
      </c>
      <c r="N1041" s="53" t="s">
        <v>113</v>
      </c>
      <c r="O1041" s="51" t="s">
        <v>229</v>
      </c>
      <c r="P1041" s="186" t="str">
        <f>IFERROR(VLOOKUP(C1041,TD!$B$33:$F$37,2,0)," ")</f>
        <v>O230117</v>
      </c>
      <c r="Q1041" s="186" t="str">
        <f>IFERROR(VLOOKUP(C1041,TD!$B$33:$F$37,3,0)," ")</f>
        <v>4503</v>
      </c>
      <c r="R1041" s="186">
        <f>IFERROR(VLOOKUP(C1041,TD!$B$33:$F$37,4,0)," ")</f>
        <v>20240255</v>
      </c>
      <c r="S1041" s="51" t="s">
        <v>183</v>
      </c>
      <c r="T1041" s="186" t="str">
        <f>IFERROR(VLOOKUP(S1041,TD!$J$34:$K$44,2,0)," ")</f>
        <v>Servicio de formación en gestión del riesgo de incendios para el personal UAECOB</v>
      </c>
      <c r="U1041" s="187" t="str">
        <f>CONCATENATE(S1041,"-",T1041)</f>
        <v>07-Servicio de formación en gestión del riesgo de incendios para el personal UAECOB</v>
      </c>
      <c r="V1041" s="51" t="s">
        <v>233</v>
      </c>
      <c r="W1041" s="186" t="str">
        <f>IFERROR(VLOOKUP(V1041,TD!$N$34:$O$46,2,0)," ")</f>
        <v>Servicio de educación informal</v>
      </c>
      <c r="X1041" s="187" t="str">
        <f>CONCATENATE(V1041,"_",W1041)</f>
        <v>002_Servicio de educación informal</v>
      </c>
      <c r="Y1041" s="187" t="str">
        <f>CONCATENATE(U1041," ",X1041)</f>
        <v>07-Servicio de formación en gestión del riesgo de incendios para el personal UAECOB 002_Servicio de educación informal</v>
      </c>
      <c r="Z1041" s="186" t="str">
        <f>CONCATENATE(P1041,Q1041,R1041,S1041,V1041)</f>
        <v>O23011745032024025507002</v>
      </c>
      <c r="AA1041" s="186" t="str">
        <f>IFERROR(VLOOKUP(Y1041,TD!$K$47:$L$65,2,0)," ")</f>
        <v>PM/0131/0107/45030020255</v>
      </c>
      <c r="AB1041" s="53" t="s">
        <v>138</v>
      </c>
      <c r="AC1041" s="188" t="s">
        <v>204</v>
      </c>
    </row>
    <row r="1042" spans="2:29" ht="70" x14ac:dyDescent="0.35">
      <c r="B1042" s="132">
        <v>20251103</v>
      </c>
      <c r="C1042" s="50" t="s">
        <v>209</v>
      </c>
      <c r="D1042" s="184" t="s">
        <v>165</v>
      </c>
      <c r="E1042" s="51" t="s">
        <v>484</v>
      </c>
      <c r="F1042" s="184" t="s">
        <v>1276</v>
      </c>
      <c r="G1042" s="184" t="s">
        <v>155</v>
      </c>
      <c r="H1042" s="93">
        <v>80111600</v>
      </c>
      <c r="I1042" s="185">
        <v>11</v>
      </c>
      <c r="J1042" s="185">
        <v>2</v>
      </c>
      <c r="K1042" s="52">
        <v>0</v>
      </c>
      <c r="L1042" s="53">
        <v>12600000</v>
      </c>
      <c r="M1042" s="136" t="s">
        <v>464</v>
      </c>
      <c r="N1042" s="53" t="s">
        <v>113</v>
      </c>
      <c r="O1042" s="51" t="s">
        <v>229</v>
      </c>
      <c r="P1042" s="186" t="str">
        <f>IFERROR(VLOOKUP(C1042,TD!$B$33:$F$37,2,0)," ")</f>
        <v>O230117</v>
      </c>
      <c r="Q1042" s="186" t="str">
        <f>IFERROR(VLOOKUP(C1042,TD!$B$33:$F$37,3,0)," ")</f>
        <v>4503</v>
      </c>
      <c r="R1042" s="186">
        <f>IFERROR(VLOOKUP(C1042,TD!$B$33:$F$37,4,0)," ")</f>
        <v>20240255</v>
      </c>
      <c r="S1042" s="51" t="s">
        <v>183</v>
      </c>
      <c r="T1042" s="186" t="str">
        <f>IFERROR(VLOOKUP(S1042,TD!$J$34:$K$44,2,0)," ")</f>
        <v>Servicio de formación en gestión del riesgo de incendios para el personal UAECOB</v>
      </c>
      <c r="U1042" s="187" t="str">
        <f>CONCATENATE(S1042,"-",T1042)</f>
        <v>07-Servicio de formación en gestión del riesgo de incendios para el personal UAECOB</v>
      </c>
      <c r="V1042" s="51" t="s">
        <v>233</v>
      </c>
      <c r="W1042" s="186" t="str">
        <f>IFERROR(VLOOKUP(V1042,TD!$N$34:$O$46,2,0)," ")</f>
        <v>Servicio de educación informal</v>
      </c>
      <c r="X1042" s="187" t="str">
        <f>CONCATENATE(V1042,"_",W1042)</f>
        <v>002_Servicio de educación informal</v>
      </c>
      <c r="Y1042" s="187" t="str">
        <f>CONCATENATE(U1042," ",X1042)</f>
        <v>07-Servicio de formación en gestión del riesgo de incendios para el personal UAECOB 002_Servicio de educación informal</v>
      </c>
      <c r="Z1042" s="186" t="str">
        <f>CONCATENATE(P1042,Q1042,R1042,S1042,V1042)</f>
        <v>O23011745032024025507002</v>
      </c>
      <c r="AA1042" s="186" t="str">
        <f>IFERROR(VLOOKUP(Y1042,TD!$K$47:$L$65,2,0)," ")</f>
        <v>PM/0131/0107/45030020255</v>
      </c>
      <c r="AB1042" s="53" t="s">
        <v>138</v>
      </c>
      <c r="AC1042" s="188" t="s">
        <v>204</v>
      </c>
    </row>
    <row r="1043" spans="2:29" ht="70" x14ac:dyDescent="0.35">
      <c r="B1043" s="132">
        <v>20251105</v>
      </c>
      <c r="C1043" s="50" t="s">
        <v>209</v>
      </c>
      <c r="D1043" s="184" t="s">
        <v>165</v>
      </c>
      <c r="E1043" s="51" t="s">
        <v>484</v>
      </c>
      <c r="F1043" s="184" t="s">
        <v>1277</v>
      </c>
      <c r="G1043" s="184" t="s">
        <v>155</v>
      </c>
      <c r="H1043" s="93">
        <v>80111600</v>
      </c>
      <c r="I1043" s="185">
        <v>11</v>
      </c>
      <c r="J1043" s="185">
        <v>1.5</v>
      </c>
      <c r="K1043" s="52">
        <v>0</v>
      </c>
      <c r="L1043" s="53">
        <v>7050000</v>
      </c>
      <c r="M1043" s="136" t="s">
        <v>464</v>
      </c>
      <c r="N1043" s="53" t="s">
        <v>113</v>
      </c>
      <c r="O1043" s="51" t="s">
        <v>229</v>
      </c>
      <c r="P1043" s="186" t="str">
        <f>IFERROR(VLOOKUP(C1043,TD!$B$33:$F$37,2,0)," ")</f>
        <v>O230117</v>
      </c>
      <c r="Q1043" s="186" t="str">
        <f>IFERROR(VLOOKUP(C1043,TD!$B$33:$F$37,3,0)," ")</f>
        <v>4503</v>
      </c>
      <c r="R1043" s="186">
        <f>IFERROR(VLOOKUP(C1043,TD!$B$33:$F$37,4,0)," ")</f>
        <v>20240255</v>
      </c>
      <c r="S1043" s="51" t="s">
        <v>183</v>
      </c>
      <c r="T1043" s="186" t="str">
        <f>IFERROR(VLOOKUP(S1043,TD!$J$34:$K$44,2,0)," ")</f>
        <v>Servicio de formación en gestión del riesgo de incendios para el personal UAECOB</v>
      </c>
      <c r="U1043" s="187" t="str">
        <f>CONCATENATE(S1043,"-",T1043)</f>
        <v>07-Servicio de formación en gestión del riesgo de incendios para el personal UAECOB</v>
      </c>
      <c r="V1043" s="51" t="s">
        <v>233</v>
      </c>
      <c r="W1043" s="186" t="str">
        <f>IFERROR(VLOOKUP(V1043,TD!$N$34:$O$46,2,0)," ")</f>
        <v>Servicio de educación informal</v>
      </c>
      <c r="X1043" s="187" t="str">
        <f>CONCATENATE(V1043,"_",W1043)</f>
        <v>002_Servicio de educación informal</v>
      </c>
      <c r="Y1043" s="187" t="str">
        <f>CONCATENATE(U1043," ",X1043)</f>
        <v>07-Servicio de formación en gestión del riesgo de incendios para el personal UAECOB 002_Servicio de educación informal</v>
      </c>
      <c r="Z1043" s="186" t="str">
        <f>CONCATENATE(P1043,Q1043,R1043,S1043,V1043)</f>
        <v>O23011745032024025507002</v>
      </c>
      <c r="AA1043" s="186" t="str">
        <f>IFERROR(VLOOKUP(Y1043,TD!$K$47:$L$65,2,0)," ")</f>
        <v>PM/0131/0107/45030020255</v>
      </c>
      <c r="AB1043" s="53" t="s">
        <v>138</v>
      </c>
      <c r="AC1043" s="188" t="s">
        <v>204</v>
      </c>
    </row>
    <row r="1044" spans="2:29" ht="70" x14ac:dyDescent="0.35">
      <c r="B1044" s="132">
        <v>20251106</v>
      </c>
      <c r="C1044" s="50" t="s">
        <v>209</v>
      </c>
      <c r="D1044" s="184" t="s">
        <v>165</v>
      </c>
      <c r="E1044" s="51" t="s">
        <v>484</v>
      </c>
      <c r="F1044" s="184" t="s">
        <v>1278</v>
      </c>
      <c r="G1044" s="184" t="s">
        <v>155</v>
      </c>
      <c r="H1044" s="93">
        <v>80111600</v>
      </c>
      <c r="I1044" s="185">
        <v>10</v>
      </c>
      <c r="J1044" s="185">
        <v>2</v>
      </c>
      <c r="K1044" s="52">
        <v>0</v>
      </c>
      <c r="L1044" s="53">
        <v>11500000</v>
      </c>
      <c r="M1044" s="136" t="s">
        <v>464</v>
      </c>
      <c r="N1044" s="53" t="s">
        <v>113</v>
      </c>
      <c r="O1044" s="51" t="s">
        <v>229</v>
      </c>
      <c r="P1044" s="186" t="str">
        <f>IFERROR(VLOOKUP(C1044,TD!$B$33:$F$37,2,0)," ")</f>
        <v>O230117</v>
      </c>
      <c r="Q1044" s="186" t="str">
        <f>IFERROR(VLOOKUP(C1044,TD!$B$33:$F$37,3,0)," ")</f>
        <v>4503</v>
      </c>
      <c r="R1044" s="186">
        <f>IFERROR(VLOOKUP(C1044,TD!$B$33:$F$37,4,0)," ")</f>
        <v>20240255</v>
      </c>
      <c r="S1044" s="51" t="s">
        <v>183</v>
      </c>
      <c r="T1044" s="186" t="str">
        <f>IFERROR(VLOOKUP(S1044,TD!$J$34:$K$44,2,0)," ")</f>
        <v>Servicio de formación en gestión del riesgo de incendios para el personal UAECOB</v>
      </c>
      <c r="U1044" s="187" t="str">
        <f>CONCATENATE(S1044,"-",T1044)</f>
        <v>07-Servicio de formación en gestión del riesgo de incendios para el personal UAECOB</v>
      </c>
      <c r="V1044" s="51" t="s">
        <v>233</v>
      </c>
      <c r="W1044" s="186" t="str">
        <f>IFERROR(VLOOKUP(V1044,TD!$N$34:$O$46,2,0)," ")</f>
        <v>Servicio de educación informal</v>
      </c>
      <c r="X1044" s="187" t="str">
        <f>CONCATENATE(V1044,"_",W1044)</f>
        <v>002_Servicio de educación informal</v>
      </c>
      <c r="Y1044" s="187" t="str">
        <f>CONCATENATE(U1044," ",X1044)</f>
        <v>07-Servicio de formación en gestión del riesgo de incendios para el personal UAECOB 002_Servicio de educación informal</v>
      </c>
      <c r="Z1044" s="186" t="str">
        <f>CONCATENATE(P1044,Q1044,R1044,S1044,V1044)</f>
        <v>O23011745032024025507002</v>
      </c>
      <c r="AA1044" s="186" t="str">
        <f>IFERROR(VLOOKUP(Y1044,TD!$K$47:$L$65,2,0)," ")</f>
        <v>PM/0131/0107/45030020255</v>
      </c>
      <c r="AB1044" s="53" t="s">
        <v>138</v>
      </c>
      <c r="AC1044" s="188" t="s">
        <v>204</v>
      </c>
    </row>
    <row r="1045" spans="2:29" ht="84" x14ac:dyDescent="0.35">
      <c r="B1045" s="167">
        <v>20251107</v>
      </c>
      <c r="C1045" s="50" t="s">
        <v>209</v>
      </c>
      <c r="D1045" s="184" t="s">
        <v>165</v>
      </c>
      <c r="E1045" s="51" t="s">
        <v>484</v>
      </c>
      <c r="F1045" s="184" t="s">
        <v>1279</v>
      </c>
      <c r="G1045" s="184" t="s">
        <v>156</v>
      </c>
      <c r="H1045" s="93">
        <v>80111600</v>
      </c>
      <c r="I1045" s="185">
        <v>11</v>
      </c>
      <c r="J1045" s="185">
        <v>2</v>
      </c>
      <c r="K1045" s="52">
        <v>0</v>
      </c>
      <c r="L1045" s="53">
        <v>3829334</v>
      </c>
      <c r="M1045" s="136" t="s">
        <v>464</v>
      </c>
      <c r="N1045" s="53" t="s">
        <v>113</v>
      </c>
      <c r="O1045" s="51" t="s">
        <v>229</v>
      </c>
      <c r="P1045" s="186" t="str">
        <f>IFERROR(VLOOKUP(C1045,TD!$B$33:$F$37,2,0)," ")</f>
        <v>O230117</v>
      </c>
      <c r="Q1045" s="186" t="str">
        <f>IFERROR(VLOOKUP(C1045,TD!$B$33:$F$37,3,0)," ")</f>
        <v>4503</v>
      </c>
      <c r="R1045" s="186">
        <f>IFERROR(VLOOKUP(C1045,TD!$B$33:$F$37,4,0)," ")</f>
        <v>20240255</v>
      </c>
      <c r="S1045" s="51" t="s">
        <v>183</v>
      </c>
      <c r="T1045" s="186" t="str">
        <f>IFERROR(VLOOKUP(S1045,TD!$J$34:$K$44,2,0)," ")</f>
        <v>Servicio de formación en gestión del riesgo de incendios para el personal UAECOB</v>
      </c>
      <c r="U1045" s="187" t="str">
        <f>CONCATENATE(S1045,"-",T1045)</f>
        <v>07-Servicio de formación en gestión del riesgo de incendios para el personal UAECOB</v>
      </c>
      <c r="V1045" s="51" t="s">
        <v>233</v>
      </c>
      <c r="W1045" s="186" t="str">
        <f>IFERROR(VLOOKUP(V1045,TD!$N$34:$O$46,2,0)," ")</f>
        <v>Servicio de educación informal</v>
      </c>
      <c r="X1045" s="187" t="str">
        <f>CONCATENATE(V1045,"_",W1045)</f>
        <v>002_Servicio de educación informal</v>
      </c>
      <c r="Y1045" s="187" t="str">
        <f>CONCATENATE(U1045," ",X1045)</f>
        <v>07-Servicio de formación en gestión del riesgo de incendios para el personal UAECOB 002_Servicio de educación informal</v>
      </c>
      <c r="Z1045" s="186" t="str">
        <f>CONCATENATE(P1045,Q1045,R1045,S1045,V1045)</f>
        <v>O23011745032024025507002</v>
      </c>
      <c r="AA1045" s="186" t="str">
        <f>IFERROR(VLOOKUP(Y1045,TD!$K$47:$L$65,2,0)," ")</f>
        <v>PM/0131/0107/45030020255</v>
      </c>
      <c r="AB1045" s="53" t="s">
        <v>138</v>
      </c>
      <c r="AC1045" s="188" t="s">
        <v>204</v>
      </c>
    </row>
    <row r="1046" spans="2:29" ht="126" x14ac:dyDescent="0.35">
      <c r="B1046" s="132">
        <v>20251108</v>
      </c>
      <c r="C1046" s="50" t="s">
        <v>209</v>
      </c>
      <c r="D1046" s="184" t="s">
        <v>165</v>
      </c>
      <c r="E1046" s="51" t="s">
        <v>484</v>
      </c>
      <c r="F1046" s="184" t="s">
        <v>1280</v>
      </c>
      <c r="G1046" s="184" t="s">
        <v>156</v>
      </c>
      <c r="H1046" s="93">
        <v>80111600</v>
      </c>
      <c r="I1046" s="185">
        <v>11</v>
      </c>
      <c r="J1046" s="185">
        <v>1</v>
      </c>
      <c r="K1046" s="52">
        <v>0</v>
      </c>
      <c r="L1046" s="53">
        <v>3990000</v>
      </c>
      <c r="M1046" s="136" t="s">
        <v>464</v>
      </c>
      <c r="N1046" s="53" t="s">
        <v>113</v>
      </c>
      <c r="O1046" s="51" t="s">
        <v>229</v>
      </c>
      <c r="P1046" s="186" t="str">
        <f>IFERROR(VLOOKUP(C1046,TD!$B$33:$F$37,2,0)," ")</f>
        <v>O230117</v>
      </c>
      <c r="Q1046" s="186" t="str">
        <f>IFERROR(VLOOKUP(C1046,TD!$B$33:$F$37,3,0)," ")</f>
        <v>4503</v>
      </c>
      <c r="R1046" s="186">
        <f>IFERROR(VLOOKUP(C1046,TD!$B$33:$F$37,4,0)," ")</f>
        <v>20240255</v>
      </c>
      <c r="S1046" s="51" t="s">
        <v>183</v>
      </c>
      <c r="T1046" s="186" t="str">
        <f>IFERROR(VLOOKUP(S1046,TD!$J$34:$K$44,2,0)," ")</f>
        <v>Servicio de formación en gestión del riesgo de incendios para el personal UAECOB</v>
      </c>
      <c r="U1046" s="187" t="str">
        <f>CONCATENATE(S1046,"-",T1046)</f>
        <v>07-Servicio de formación en gestión del riesgo de incendios para el personal UAECOB</v>
      </c>
      <c r="V1046" s="51" t="s">
        <v>233</v>
      </c>
      <c r="W1046" s="186" t="str">
        <f>IFERROR(VLOOKUP(V1046,TD!$N$34:$O$46,2,0)," ")</f>
        <v>Servicio de educación informal</v>
      </c>
      <c r="X1046" s="187" t="str">
        <f>CONCATENATE(V1046,"_",W1046)</f>
        <v>002_Servicio de educación informal</v>
      </c>
      <c r="Y1046" s="187" t="str">
        <f>CONCATENATE(U1046," ",X1046)</f>
        <v>07-Servicio de formación en gestión del riesgo de incendios para el personal UAECOB 002_Servicio de educación informal</v>
      </c>
      <c r="Z1046" s="186" t="str">
        <f>CONCATENATE(P1046,Q1046,R1046,S1046,V1046)</f>
        <v>O23011745032024025507002</v>
      </c>
      <c r="AA1046" s="186" t="str">
        <f>IFERROR(VLOOKUP(Y1046,TD!$K$47:$L$65,2,0)," ")</f>
        <v>PM/0131/0107/45030020255</v>
      </c>
      <c r="AB1046" s="53" t="s">
        <v>138</v>
      </c>
      <c r="AC1046" s="188" t="s">
        <v>204</v>
      </c>
    </row>
    <row r="1047" spans="2:29" ht="84" x14ac:dyDescent="0.35">
      <c r="B1047" s="132">
        <v>20251109</v>
      </c>
      <c r="C1047" s="50" t="s">
        <v>209</v>
      </c>
      <c r="D1047" s="184" t="s">
        <v>165</v>
      </c>
      <c r="E1047" s="51" t="s">
        <v>484</v>
      </c>
      <c r="F1047" s="184" t="s">
        <v>1281</v>
      </c>
      <c r="G1047" s="184" t="s">
        <v>155</v>
      </c>
      <c r="H1047" s="93">
        <v>80111600</v>
      </c>
      <c r="I1047" s="185">
        <v>11</v>
      </c>
      <c r="J1047" s="185">
        <v>2</v>
      </c>
      <c r="K1047" s="52">
        <v>0</v>
      </c>
      <c r="L1047" s="53">
        <v>11400000</v>
      </c>
      <c r="M1047" s="136" t="s">
        <v>464</v>
      </c>
      <c r="N1047" s="53" t="s">
        <v>113</v>
      </c>
      <c r="O1047" s="51" t="s">
        <v>229</v>
      </c>
      <c r="P1047" s="186" t="str">
        <f>IFERROR(VLOOKUP(C1047,TD!$B$33:$F$37,2,0)," ")</f>
        <v>O230117</v>
      </c>
      <c r="Q1047" s="186" t="str">
        <f>IFERROR(VLOOKUP(C1047,TD!$B$33:$F$37,3,0)," ")</f>
        <v>4503</v>
      </c>
      <c r="R1047" s="186">
        <f>IFERROR(VLOOKUP(C1047,TD!$B$33:$F$37,4,0)," ")</f>
        <v>20240255</v>
      </c>
      <c r="S1047" s="51" t="s">
        <v>183</v>
      </c>
      <c r="T1047" s="186" t="str">
        <f>IFERROR(VLOOKUP(S1047,TD!$J$34:$K$44,2,0)," ")</f>
        <v>Servicio de formación en gestión del riesgo de incendios para el personal UAECOB</v>
      </c>
      <c r="U1047" s="187" t="str">
        <f>CONCATENATE(S1047,"-",T1047)</f>
        <v>07-Servicio de formación en gestión del riesgo de incendios para el personal UAECOB</v>
      </c>
      <c r="V1047" s="51" t="s">
        <v>233</v>
      </c>
      <c r="W1047" s="186" t="str">
        <f>IFERROR(VLOOKUP(V1047,TD!$N$34:$O$46,2,0)," ")</f>
        <v>Servicio de educación informal</v>
      </c>
      <c r="X1047" s="187" t="str">
        <f>CONCATENATE(V1047,"_",W1047)</f>
        <v>002_Servicio de educación informal</v>
      </c>
      <c r="Y1047" s="187" t="str">
        <f>CONCATENATE(U1047," ",X1047)</f>
        <v>07-Servicio de formación en gestión del riesgo de incendios para el personal UAECOB 002_Servicio de educación informal</v>
      </c>
      <c r="Z1047" s="186" t="str">
        <f>CONCATENATE(P1047,Q1047,R1047,S1047,V1047)</f>
        <v>O23011745032024025507002</v>
      </c>
      <c r="AA1047" s="186" t="str">
        <f>IFERROR(VLOOKUP(Y1047,TD!$K$47:$L$65,2,0)," ")</f>
        <v>PM/0131/0107/45030020255</v>
      </c>
      <c r="AB1047" s="53" t="s">
        <v>138</v>
      </c>
      <c r="AC1047" s="188" t="s">
        <v>204</v>
      </c>
    </row>
    <row r="1048" spans="2:29" ht="70" x14ac:dyDescent="0.35">
      <c r="B1048" s="167">
        <v>20251110</v>
      </c>
      <c r="C1048" s="50" t="s">
        <v>209</v>
      </c>
      <c r="D1048" s="184" t="s">
        <v>165</v>
      </c>
      <c r="E1048" s="51" t="s">
        <v>484</v>
      </c>
      <c r="F1048" s="184" t="s">
        <v>1282</v>
      </c>
      <c r="G1048" s="184" t="s">
        <v>155</v>
      </c>
      <c r="H1048" s="93">
        <v>80111600</v>
      </c>
      <c r="I1048" s="185">
        <v>10</v>
      </c>
      <c r="J1048" s="185">
        <v>2</v>
      </c>
      <c r="K1048" s="52">
        <v>0</v>
      </c>
      <c r="L1048" s="53">
        <v>9450000</v>
      </c>
      <c r="M1048" s="136" t="s">
        <v>464</v>
      </c>
      <c r="N1048" s="53" t="s">
        <v>113</v>
      </c>
      <c r="O1048" s="51" t="s">
        <v>229</v>
      </c>
      <c r="P1048" s="186" t="str">
        <f>IFERROR(VLOOKUP(C1048,TD!$B$33:$F$37,2,0)," ")</f>
        <v>O230117</v>
      </c>
      <c r="Q1048" s="186" t="str">
        <f>IFERROR(VLOOKUP(C1048,TD!$B$33:$F$37,3,0)," ")</f>
        <v>4503</v>
      </c>
      <c r="R1048" s="186">
        <f>IFERROR(VLOOKUP(C1048,TD!$B$33:$F$37,4,0)," ")</f>
        <v>20240255</v>
      </c>
      <c r="S1048" s="51" t="s">
        <v>183</v>
      </c>
      <c r="T1048" s="186" t="str">
        <f>IFERROR(VLOOKUP(S1048,TD!$J$34:$K$44,2,0)," ")</f>
        <v>Servicio de formación en gestión del riesgo de incendios para el personal UAECOB</v>
      </c>
      <c r="U1048" s="187" t="str">
        <f>CONCATENATE(S1048,"-",T1048)</f>
        <v>07-Servicio de formación en gestión del riesgo de incendios para el personal UAECOB</v>
      </c>
      <c r="V1048" s="51" t="s">
        <v>233</v>
      </c>
      <c r="W1048" s="186" t="str">
        <f>IFERROR(VLOOKUP(V1048,TD!$N$34:$O$46,2,0)," ")</f>
        <v>Servicio de educación informal</v>
      </c>
      <c r="X1048" s="187" t="str">
        <f>CONCATENATE(V1048,"_",W1048)</f>
        <v>002_Servicio de educación informal</v>
      </c>
      <c r="Y1048" s="187" t="str">
        <f>CONCATENATE(U1048," ",X1048)</f>
        <v>07-Servicio de formación en gestión del riesgo de incendios para el personal UAECOB 002_Servicio de educación informal</v>
      </c>
      <c r="Z1048" s="186" t="str">
        <f>CONCATENATE(P1048,Q1048,R1048,S1048,V1048)</f>
        <v>O23011745032024025507002</v>
      </c>
      <c r="AA1048" s="186" t="str">
        <f>IFERROR(VLOOKUP(Y1048,TD!$K$47:$L$65,2,0)," ")</f>
        <v>PM/0131/0107/45030020255</v>
      </c>
      <c r="AB1048" s="53" t="s">
        <v>138</v>
      </c>
      <c r="AC1048" s="188" t="s">
        <v>204</v>
      </c>
    </row>
    <row r="1049" spans="2:29" ht="126" x14ac:dyDescent="0.35">
      <c r="B1049" s="132">
        <v>20251111</v>
      </c>
      <c r="C1049" s="50" t="s">
        <v>209</v>
      </c>
      <c r="D1049" s="184" t="s">
        <v>165</v>
      </c>
      <c r="E1049" s="51" t="s">
        <v>484</v>
      </c>
      <c r="F1049" s="184" t="s">
        <v>1283</v>
      </c>
      <c r="G1049" s="184" t="s">
        <v>155</v>
      </c>
      <c r="H1049" s="93">
        <v>80111600</v>
      </c>
      <c r="I1049" s="185">
        <v>11</v>
      </c>
      <c r="J1049" s="185">
        <v>2</v>
      </c>
      <c r="K1049" s="52">
        <v>0</v>
      </c>
      <c r="L1049" s="53">
        <v>13600000</v>
      </c>
      <c r="M1049" s="136" t="s">
        <v>464</v>
      </c>
      <c r="N1049" s="53" t="s">
        <v>113</v>
      </c>
      <c r="O1049" s="51" t="s">
        <v>229</v>
      </c>
      <c r="P1049" s="186" t="str">
        <f>IFERROR(VLOOKUP(C1049,TD!$B$33:$F$37,2,0)," ")</f>
        <v>O230117</v>
      </c>
      <c r="Q1049" s="186" t="str">
        <f>IFERROR(VLOOKUP(C1049,TD!$B$33:$F$37,3,0)," ")</f>
        <v>4503</v>
      </c>
      <c r="R1049" s="186">
        <f>IFERROR(VLOOKUP(C1049,TD!$B$33:$F$37,4,0)," ")</f>
        <v>20240255</v>
      </c>
      <c r="S1049" s="51" t="s">
        <v>183</v>
      </c>
      <c r="T1049" s="186" t="str">
        <f>IFERROR(VLOOKUP(S1049,TD!$J$34:$K$44,2,0)," ")</f>
        <v>Servicio de formación en gestión del riesgo de incendios para el personal UAECOB</v>
      </c>
      <c r="U1049" s="187" t="str">
        <f>CONCATENATE(S1049,"-",T1049)</f>
        <v>07-Servicio de formación en gestión del riesgo de incendios para el personal UAECOB</v>
      </c>
      <c r="V1049" s="51" t="s">
        <v>233</v>
      </c>
      <c r="W1049" s="186" t="str">
        <f>IFERROR(VLOOKUP(V1049,TD!$N$34:$O$46,2,0)," ")</f>
        <v>Servicio de educación informal</v>
      </c>
      <c r="X1049" s="187" t="str">
        <f>CONCATENATE(V1049,"_",W1049)</f>
        <v>002_Servicio de educación informal</v>
      </c>
      <c r="Y1049" s="187" t="str">
        <f>CONCATENATE(U1049," ",X1049)</f>
        <v>07-Servicio de formación en gestión del riesgo de incendios para el personal UAECOB 002_Servicio de educación informal</v>
      </c>
      <c r="Z1049" s="186" t="str">
        <f>CONCATENATE(P1049,Q1049,R1049,S1049,V1049)</f>
        <v>O23011745032024025507002</v>
      </c>
      <c r="AA1049" s="186" t="str">
        <f>IFERROR(VLOOKUP(Y1049,TD!$K$47:$L$65,2,0)," ")</f>
        <v>PM/0131/0107/45030020255</v>
      </c>
      <c r="AB1049" s="53" t="s">
        <v>138</v>
      </c>
      <c r="AC1049" s="188" t="s">
        <v>204</v>
      </c>
    </row>
    <row r="1050" spans="2:29" ht="84" x14ac:dyDescent="0.35">
      <c r="B1050" s="132">
        <v>20251112</v>
      </c>
      <c r="C1050" s="50" t="s">
        <v>209</v>
      </c>
      <c r="D1050" s="184" t="s">
        <v>165</v>
      </c>
      <c r="E1050" s="51" t="s">
        <v>484</v>
      </c>
      <c r="F1050" s="184" t="s">
        <v>1284</v>
      </c>
      <c r="G1050" s="184" t="s">
        <v>156</v>
      </c>
      <c r="H1050" s="93">
        <v>80111600</v>
      </c>
      <c r="I1050" s="185">
        <v>11</v>
      </c>
      <c r="J1050" s="185">
        <v>2</v>
      </c>
      <c r="K1050" s="52">
        <v>0</v>
      </c>
      <c r="L1050" s="53">
        <v>6000000</v>
      </c>
      <c r="M1050" s="136" t="s">
        <v>464</v>
      </c>
      <c r="N1050" s="53" t="s">
        <v>113</v>
      </c>
      <c r="O1050" s="51" t="s">
        <v>229</v>
      </c>
      <c r="P1050" s="186" t="str">
        <f>IFERROR(VLOOKUP(C1050,TD!$B$33:$F$37,2,0)," ")</f>
        <v>O230117</v>
      </c>
      <c r="Q1050" s="186" t="str">
        <f>IFERROR(VLOOKUP(C1050,TD!$B$33:$F$37,3,0)," ")</f>
        <v>4503</v>
      </c>
      <c r="R1050" s="186">
        <f>IFERROR(VLOOKUP(C1050,TD!$B$33:$F$37,4,0)," ")</f>
        <v>20240255</v>
      </c>
      <c r="S1050" s="51" t="s">
        <v>183</v>
      </c>
      <c r="T1050" s="186" t="str">
        <f>IFERROR(VLOOKUP(S1050,TD!$J$34:$K$44,2,0)," ")</f>
        <v>Servicio de formación en gestión del riesgo de incendios para el personal UAECOB</v>
      </c>
      <c r="U1050" s="187" t="str">
        <f>CONCATENATE(S1050,"-",T1050)</f>
        <v>07-Servicio de formación en gestión del riesgo de incendios para el personal UAECOB</v>
      </c>
      <c r="V1050" s="51" t="s">
        <v>233</v>
      </c>
      <c r="W1050" s="186" t="str">
        <f>IFERROR(VLOOKUP(V1050,TD!$N$34:$O$46,2,0)," ")</f>
        <v>Servicio de educación informal</v>
      </c>
      <c r="X1050" s="187" t="str">
        <f>CONCATENATE(V1050,"_",W1050)</f>
        <v>002_Servicio de educación informal</v>
      </c>
      <c r="Y1050" s="187" t="str">
        <f>CONCATENATE(U1050," ",X1050)</f>
        <v>07-Servicio de formación en gestión del riesgo de incendios para el personal UAECOB 002_Servicio de educación informal</v>
      </c>
      <c r="Z1050" s="186" t="str">
        <f>CONCATENATE(P1050,Q1050,R1050,S1050,V1050)</f>
        <v>O23011745032024025507002</v>
      </c>
      <c r="AA1050" s="186" t="str">
        <f>IFERROR(VLOOKUP(Y1050,TD!$K$47:$L$65,2,0)," ")</f>
        <v>PM/0131/0107/45030020255</v>
      </c>
      <c r="AB1050" s="53" t="s">
        <v>138</v>
      </c>
      <c r="AC1050" s="188" t="s">
        <v>204</v>
      </c>
    </row>
    <row r="1051" spans="2:29" ht="56" x14ac:dyDescent="0.35">
      <c r="B1051" s="167">
        <v>20251113</v>
      </c>
      <c r="C1051" s="50" t="s">
        <v>209</v>
      </c>
      <c r="D1051" s="184" t="s">
        <v>165</v>
      </c>
      <c r="E1051" s="51" t="s">
        <v>484</v>
      </c>
      <c r="F1051" s="184" t="s">
        <v>1285</v>
      </c>
      <c r="G1051" s="184" t="s">
        <v>155</v>
      </c>
      <c r="H1051" s="93">
        <v>80111600</v>
      </c>
      <c r="I1051" s="185">
        <v>11</v>
      </c>
      <c r="J1051" s="185">
        <v>2</v>
      </c>
      <c r="K1051" s="52">
        <v>0</v>
      </c>
      <c r="L1051" s="53">
        <v>9000000</v>
      </c>
      <c r="M1051" s="136" t="s">
        <v>464</v>
      </c>
      <c r="N1051" s="53" t="s">
        <v>113</v>
      </c>
      <c r="O1051" s="51" t="s">
        <v>229</v>
      </c>
      <c r="P1051" s="186" t="str">
        <f>IFERROR(VLOOKUP(C1051,TD!$B$33:$F$37,2,0)," ")</f>
        <v>O230117</v>
      </c>
      <c r="Q1051" s="186" t="str">
        <f>IFERROR(VLOOKUP(C1051,TD!$B$33:$F$37,3,0)," ")</f>
        <v>4503</v>
      </c>
      <c r="R1051" s="186">
        <f>IFERROR(VLOOKUP(C1051,TD!$B$33:$F$37,4,0)," ")</f>
        <v>20240255</v>
      </c>
      <c r="S1051" s="51" t="s">
        <v>183</v>
      </c>
      <c r="T1051" s="186" t="str">
        <f>IFERROR(VLOOKUP(S1051,TD!$J$34:$K$44,2,0)," ")</f>
        <v>Servicio de formación en gestión del riesgo de incendios para el personal UAECOB</v>
      </c>
      <c r="U1051" s="187" t="str">
        <f>CONCATENATE(S1051,"-",T1051)</f>
        <v>07-Servicio de formación en gestión del riesgo de incendios para el personal UAECOB</v>
      </c>
      <c r="V1051" s="51" t="s">
        <v>233</v>
      </c>
      <c r="W1051" s="186" t="str">
        <f>IFERROR(VLOOKUP(V1051,TD!$N$34:$O$46,2,0)," ")</f>
        <v>Servicio de educación informal</v>
      </c>
      <c r="X1051" s="187" t="str">
        <f>CONCATENATE(V1051,"_",W1051)</f>
        <v>002_Servicio de educación informal</v>
      </c>
      <c r="Y1051" s="187" t="str">
        <f>CONCATENATE(U1051," ",X1051)</f>
        <v>07-Servicio de formación en gestión del riesgo de incendios para el personal UAECOB 002_Servicio de educación informal</v>
      </c>
      <c r="Z1051" s="186" t="str">
        <f>CONCATENATE(P1051,Q1051,R1051,S1051,V1051)</f>
        <v>O23011745032024025507002</v>
      </c>
      <c r="AA1051" s="186" t="str">
        <f>IFERROR(VLOOKUP(Y1051,TD!$K$47:$L$65,2,0)," ")</f>
        <v>PM/0131/0107/45030020255</v>
      </c>
      <c r="AB1051" s="53" t="s">
        <v>138</v>
      </c>
      <c r="AC1051" s="188" t="s">
        <v>204</v>
      </c>
    </row>
    <row r="1052" spans="2:29" ht="70" x14ac:dyDescent="0.35">
      <c r="B1052" s="132">
        <v>20251114</v>
      </c>
      <c r="C1052" s="50" t="s">
        <v>209</v>
      </c>
      <c r="D1052" s="184" t="s">
        <v>165</v>
      </c>
      <c r="E1052" s="51" t="s">
        <v>484</v>
      </c>
      <c r="F1052" s="184" t="s">
        <v>1286</v>
      </c>
      <c r="G1052" s="184" t="s">
        <v>155</v>
      </c>
      <c r="H1052" s="93">
        <v>80111600</v>
      </c>
      <c r="I1052" s="185">
        <v>11</v>
      </c>
      <c r="J1052" s="185">
        <v>1.5</v>
      </c>
      <c r="K1052" s="52">
        <v>0</v>
      </c>
      <c r="L1052" s="53">
        <v>9180000</v>
      </c>
      <c r="M1052" s="136" t="s">
        <v>464</v>
      </c>
      <c r="N1052" s="53" t="s">
        <v>113</v>
      </c>
      <c r="O1052" s="51" t="s">
        <v>229</v>
      </c>
      <c r="P1052" s="186" t="str">
        <f>IFERROR(VLOOKUP(C1052,TD!$B$33:$F$37,2,0)," ")</f>
        <v>O230117</v>
      </c>
      <c r="Q1052" s="186" t="str">
        <f>IFERROR(VLOOKUP(C1052,TD!$B$33:$F$37,3,0)," ")</f>
        <v>4503</v>
      </c>
      <c r="R1052" s="186">
        <f>IFERROR(VLOOKUP(C1052,TD!$B$33:$F$37,4,0)," ")</f>
        <v>20240255</v>
      </c>
      <c r="S1052" s="51" t="s">
        <v>183</v>
      </c>
      <c r="T1052" s="186" t="str">
        <f>IFERROR(VLOOKUP(S1052,TD!$J$34:$K$44,2,0)," ")</f>
        <v>Servicio de formación en gestión del riesgo de incendios para el personal UAECOB</v>
      </c>
      <c r="U1052" s="187" t="str">
        <f>CONCATENATE(S1052,"-",T1052)</f>
        <v>07-Servicio de formación en gestión del riesgo de incendios para el personal UAECOB</v>
      </c>
      <c r="V1052" s="51" t="s">
        <v>233</v>
      </c>
      <c r="W1052" s="186" t="str">
        <f>IFERROR(VLOOKUP(V1052,TD!$N$34:$O$46,2,0)," ")</f>
        <v>Servicio de educación informal</v>
      </c>
      <c r="X1052" s="187" t="str">
        <f>CONCATENATE(V1052,"_",W1052)</f>
        <v>002_Servicio de educación informal</v>
      </c>
      <c r="Y1052" s="187" t="str">
        <f>CONCATENATE(U1052," ",X1052)</f>
        <v>07-Servicio de formación en gestión del riesgo de incendios para el personal UAECOB 002_Servicio de educación informal</v>
      </c>
      <c r="Z1052" s="186" t="str">
        <f>CONCATENATE(P1052,Q1052,R1052,S1052,V1052)</f>
        <v>O23011745032024025507002</v>
      </c>
      <c r="AA1052" s="186" t="str">
        <f>IFERROR(VLOOKUP(Y1052,TD!$K$47:$L$65,2,0)," ")</f>
        <v>PM/0131/0107/45030020255</v>
      </c>
      <c r="AB1052" s="53" t="s">
        <v>138</v>
      </c>
      <c r="AC1052" s="188" t="s">
        <v>204</v>
      </c>
    </row>
    <row r="1053" spans="2:29" ht="98" x14ac:dyDescent="0.35">
      <c r="B1053" s="132">
        <v>20251115</v>
      </c>
      <c r="C1053" s="50" t="s">
        <v>209</v>
      </c>
      <c r="D1053" s="184" t="s">
        <v>165</v>
      </c>
      <c r="E1053" s="51" t="s">
        <v>484</v>
      </c>
      <c r="F1053" s="184" t="s">
        <v>1287</v>
      </c>
      <c r="G1053" s="184" t="s">
        <v>155</v>
      </c>
      <c r="H1053" s="93">
        <v>80111600</v>
      </c>
      <c r="I1053" s="185">
        <v>10</v>
      </c>
      <c r="J1053" s="185">
        <v>2.4666666666666668</v>
      </c>
      <c r="K1053" s="52">
        <v>0</v>
      </c>
      <c r="L1053" s="53">
        <v>20473333</v>
      </c>
      <c r="M1053" s="136" t="s">
        <v>464</v>
      </c>
      <c r="N1053" s="53" t="s">
        <v>113</v>
      </c>
      <c r="O1053" s="51" t="s">
        <v>229</v>
      </c>
      <c r="P1053" s="186" t="str">
        <f>IFERROR(VLOOKUP(C1053,TD!$B$33:$F$37,2,0)," ")</f>
        <v>O230117</v>
      </c>
      <c r="Q1053" s="186" t="str">
        <f>IFERROR(VLOOKUP(C1053,TD!$B$33:$F$37,3,0)," ")</f>
        <v>4503</v>
      </c>
      <c r="R1053" s="186">
        <f>IFERROR(VLOOKUP(C1053,TD!$B$33:$F$37,4,0)," ")</f>
        <v>20240255</v>
      </c>
      <c r="S1053" s="51" t="s">
        <v>183</v>
      </c>
      <c r="T1053" s="186" t="str">
        <f>IFERROR(VLOOKUP(S1053,TD!$J$34:$K$44,2,0)," ")</f>
        <v>Servicio de formación en gestión del riesgo de incendios para el personal UAECOB</v>
      </c>
      <c r="U1053" s="187" t="str">
        <f>CONCATENATE(S1053,"-",T1053)</f>
        <v>07-Servicio de formación en gestión del riesgo de incendios para el personal UAECOB</v>
      </c>
      <c r="V1053" s="51" t="s">
        <v>233</v>
      </c>
      <c r="W1053" s="186" t="str">
        <f>IFERROR(VLOOKUP(V1053,TD!$N$34:$O$46,2,0)," ")</f>
        <v>Servicio de educación informal</v>
      </c>
      <c r="X1053" s="187" t="str">
        <f>CONCATENATE(V1053,"_",W1053)</f>
        <v>002_Servicio de educación informal</v>
      </c>
      <c r="Y1053" s="187" t="str">
        <f>CONCATENATE(U1053," ",X1053)</f>
        <v>07-Servicio de formación en gestión del riesgo de incendios para el personal UAECOB 002_Servicio de educación informal</v>
      </c>
      <c r="Z1053" s="186" t="str">
        <f>CONCATENATE(P1053,Q1053,R1053,S1053,V1053)</f>
        <v>O23011745032024025507002</v>
      </c>
      <c r="AA1053" s="186" t="str">
        <f>IFERROR(VLOOKUP(Y1053,TD!$K$47:$L$65,2,0)," ")</f>
        <v>PM/0131/0107/45030020255</v>
      </c>
      <c r="AB1053" s="53" t="s">
        <v>138</v>
      </c>
      <c r="AC1053" s="188" t="s">
        <v>204</v>
      </c>
    </row>
    <row r="1054" spans="2:29" ht="98" x14ac:dyDescent="0.35">
      <c r="B1054" s="132">
        <v>20251117</v>
      </c>
      <c r="C1054" s="50" t="s">
        <v>209</v>
      </c>
      <c r="D1054" s="184" t="s">
        <v>165</v>
      </c>
      <c r="E1054" s="51" t="s">
        <v>484</v>
      </c>
      <c r="F1054" s="184" t="s">
        <v>1289</v>
      </c>
      <c r="G1054" s="184" t="s">
        <v>155</v>
      </c>
      <c r="H1054" s="93">
        <v>80111600</v>
      </c>
      <c r="I1054" s="185">
        <v>11</v>
      </c>
      <c r="J1054" s="185">
        <v>2</v>
      </c>
      <c r="K1054" s="52">
        <v>0</v>
      </c>
      <c r="L1054" s="53">
        <v>14000000</v>
      </c>
      <c r="M1054" s="136" t="s">
        <v>464</v>
      </c>
      <c r="N1054" s="53" t="s">
        <v>113</v>
      </c>
      <c r="O1054" s="51" t="s">
        <v>229</v>
      </c>
      <c r="P1054" s="186" t="str">
        <f>IFERROR(VLOOKUP(C1054,TD!$B$33:$F$37,2,0)," ")</f>
        <v>O230117</v>
      </c>
      <c r="Q1054" s="186" t="str">
        <f>IFERROR(VLOOKUP(C1054,TD!$B$33:$F$37,3,0)," ")</f>
        <v>4503</v>
      </c>
      <c r="R1054" s="186">
        <f>IFERROR(VLOOKUP(C1054,TD!$B$33:$F$37,4,0)," ")</f>
        <v>20240255</v>
      </c>
      <c r="S1054" s="51" t="s">
        <v>183</v>
      </c>
      <c r="T1054" s="186" t="str">
        <f>IFERROR(VLOOKUP(S1054,TD!$J$34:$K$44,2,0)," ")</f>
        <v>Servicio de formación en gestión del riesgo de incendios para el personal UAECOB</v>
      </c>
      <c r="U1054" s="187" t="str">
        <f>CONCATENATE(S1054,"-",T1054)</f>
        <v>07-Servicio de formación en gestión del riesgo de incendios para el personal UAECOB</v>
      </c>
      <c r="V1054" s="51" t="s">
        <v>233</v>
      </c>
      <c r="W1054" s="186" t="str">
        <f>IFERROR(VLOOKUP(V1054,TD!$N$34:$O$46,2,0)," ")</f>
        <v>Servicio de educación informal</v>
      </c>
      <c r="X1054" s="187" t="str">
        <f>CONCATENATE(V1054,"_",W1054)</f>
        <v>002_Servicio de educación informal</v>
      </c>
      <c r="Y1054" s="187" t="str">
        <f>CONCATENATE(U1054," ",X1054)</f>
        <v>07-Servicio de formación en gestión del riesgo de incendios para el personal UAECOB 002_Servicio de educación informal</v>
      </c>
      <c r="Z1054" s="186" t="str">
        <f>CONCATENATE(P1054,Q1054,R1054,S1054,V1054)</f>
        <v>O23011745032024025507002</v>
      </c>
      <c r="AA1054" s="186" t="str">
        <f>IFERROR(VLOOKUP(Y1054,TD!$K$47:$L$65,2,0)," ")</f>
        <v>PM/0131/0107/45030020255</v>
      </c>
      <c r="AB1054" s="53" t="s">
        <v>138</v>
      </c>
      <c r="AC1054" s="188" t="s">
        <v>204</v>
      </c>
    </row>
    <row r="1055" spans="2:29" ht="98" x14ac:dyDescent="0.35">
      <c r="B1055" s="132">
        <v>20251118</v>
      </c>
      <c r="C1055" s="50" t="s">
        <v>209</v>
      </c>
      <c r="D1055" s="184" t="s">
        <v>165</v>
      </c>
      <c r="E1055" s="51" t="s">
        <v>484</v>
      </c>
      <c r="F1055" s="184" t="s">
        <v>1290</v>
      </c>
      <c r="G1055" s="184" t="s">
        <v>155</v>
      </c>
      <c r="H1055" s="93">
        <v>80111600</v>
      </c>
      <c r="I1055" s="185">
        <v>12</v>
      </c>
      <c r="J1055" s="185">
        <v>1.5</v>
      </c>
      <c r="K1055" s="52">
        <v>0</v>
      </c>
      <c r="L1055" s="53">
        <v>10237500</v>
      </c>
      <c r="M1055" s="136" t="s">
        <v>464</v>
      </c>
      <c r="N1055" s="53" t="s">
        <v>113</v>
      </c>
      <c r="O1055" s="51" t="s">
        <v>229</v>
      </c>
      <c r="P1055" s="186" t="str">
        <f>IFERROR(VLOOKUP(C1055,TD!$B$33:$F$37,2,0)," ")</f>
        <v>O230117</v>
      </c>
      <c r="Q1055" s="186" t="str">
        <f>IFERROR(VLOOKUP(C1055,TD!$B$33:$F$37,3,0)," ")</f>
        <v>4503</v>
      </c>
      <c r="R1055" s="186">
        <f>IFERROR(VLOOKUP(C1055,TD!$B$33:$F$37,4,0)," ")</f>
        <v>20240255</v>
      </c>
      <c r="S1055" s="51" t="s">
        <v>183</v>
      </c>
      <c r="T1055" s="186" t="str">
        <f>IFERROR(VLOOKUP(S1055,TD!$J$34:$K$44,2,0)," ")</f>
        <v>Servicio de formación en gestión del riesgo de incendios para el personal UAECOB</v>
      </c>
      <c r="U1055" s="187" t="str">
        <f>CONCATENATE(S1055,"-",T1055)</f>
        <v>07-Servicio de formación en gestión del riesgo de incendios para el personal UAECOB</v>
      </c>
      <c r="V1055" s="51" t="s">
        <v>233</v>
      </c>
      <c r="W1055" s="186" t="str">
        <f>IFERROR(VLOOKUP(V1055,TD!$N$34:$O$46,2,0)," ")</f>
        <v>Servicio de educación informal</v>
      </c>
      <c r="X1055" s="187" t="str">
        <f>CONCATENATE(V1055,"_",W1055)</f>
        <v>002_Servicio de educación informal</v>
      </c>
      <c r="Y1055" s="187" t="str">
        <f>CONCATENATE(U1055," ",X1055)</f>
        <v>07-Servicio de formación en gestión del riesgo de incendios para el personal UAECOB 002_Servicio de educación informal</v>
      </c>
      <c r="Z1055" s="186" t="str">
        <f>CONCATENATE(P1055,Q1055,R1055,S1055,V1055)</f>
        <v>O23011745032024025507002</v>
      </c>
      <c r="AA1055" s="186" t="str">
        <f>IFERROR(VLOOKUP(Y1055,TD!$K$47:$L$65,2,0)," ")</f>
        <v>PM/0131/0107/45030020255</v>
      </c>
      <c r="AB1055" s="53" t="s">
        <v>138</v>
      </c>
      <c r="AC1055" s="188" t="s">
        <v>204</v>
      </c>
    </row>
    <row r="1056" spans="2:29" ht="112" x14ac:dyDescent="0.35">
      <c r="B1056" s="167">
        <v>20251119</v>
      </c>
      <c r="C1056" s="50" t="s">
        <v>209</v>
      </c>
      <c r="D1056" s="184" t="s">
        <v>165</v>
      </c>
      <c r="E1056" s="51" t="s">
        <v>484</v>
      </c>
      <c r="F1056" s="184" t="s">
        <v>1291</v>
      </c>
      <c r="G1056" s="184" t="s">
        <v>155</v>
      </c>
      <c r="H1056" s="93">
        <v>80111600</v>
      </c>
      <c r="I1056" s="185">
        <v>11</v>
      </c>
      <c r="J1056" s="185">
        <v>1</v>
      </c>
      <c r="K1056" s="52">
        <v>0</v>
      </c>
      <c r="L1056" s="53">
        <v>7475000</v>
      </c>
      <c r="M1056" s="136" t="s">
        <v>464</v>
      </c>
      <c r="N1056" s="53" t="s">
        <v>113</v>
      </c>
      <c r="O1056" s="51" t="s">
        <v>229</v>
      </c>
      <c r="P1056" s="186" t="str">
        <f>IFERROR(VLOOKUP(C1056,TD!$B$33:$F$37,2,0)," ")</f>
        <v>O230117</v>
      </c>
      <c r="Q1056" s="186" t="str">
        <f>IFERROR(VLOOKUP(C1056,TD!$B$33:$F$37,3,0)," ")</f>
        <v>4503</v>
      </c>
      <c r="R1056" s="186">
        <f>IFERROR(VLOOKUP(C1056,TD!$B$33:$F$37,4,0)," ")</f>
        <v>20240255</v>
      </c>
      <c r="S1056" s="51" t="s">
        <v>183</v>
      </c>
      <c r="T1056" s="186" t="str">
        <f>IFERROR(VLOOKUP(S1056,TD!$J$34:$K$44,2,0)," ")</f>
        <v>Servicio de formación en gestión del riesgo de incendios para el personal UAECOB</v>
      </c>
      <c r="U1056" s="187" t="str">
        <f>CONCATENATE(S1056,"-",T1056)</f>
        <v>07-Servicio de formación en gestión del riesgo de incendios para el personal UAECOB</v>
      </c>
      <c r="V1056" s="51" t="s">
        <v>233</v>
      </c>
      <c r="W1056" s="186" t="str">
        <f>IFERROR(VLOOKUP(V1056,TD!$N$34:$O$46,2,0)," ")</f>
        <v>Servicio de educación informal</v>
      </c>
      <c r="X1056" s="187" t="str">
        <f>CONCATENATE(V1056,"_",W1056)</f>
        <v>002_Servicio de educación informal</v>
      </c>
      <c r="Y1056" s="187" t="str">
        <f>CONCATENATE(U1056," ",X1056)</f>
        <v>07-Servicio de formación en gestión del riesgo de incendios para el personal UAECOB 002_Servicio de educación informal</v>
      </c>
      <c r="Z1056" s="186" t="str">
        <f>CONCATENATE(P1056,Q1056,R1056,S1056,V1056)</f>
        <v>O23011745032024025507002</v>
      </c>
      <c r="AA1056" s="186" t="str">
        <f>IFERROR(VLOOKUP(Y1056,TD!$K$47:$L$65,2,0)," ")</f>
        <v>PM/0131/0107/45030020255</v>
      </c>
      <c r="AB1056" s="53" t="s">
        <v>138</v>
      </c>
      <c r="AC1056" s="188" t="s">
        <v>204</v>
      </c>
    </row>
    <row r="1057" spans="2:29" ht="70" x14ac:dyDescent="0.35">
      <c r="B1057" s="132">
        <v>20251120</v>
      </c>
      <c r="C1057" s="50" t="s">
        <v>209</v>
      </c>
      <c r="D1057" s="184" t="s">
        <v>165</v>
      </c>
      <c r="E1057" s="51" t="s">
        <v>484</v>
      </c>
      <c r="F1057" s="184" t="s">
        <v>1292</v>
      </c>
      <c r="G1057" s="184" t="s">
        <v>155</v>
      </c>
      <c r="H1057" s="93">
        <v>80111600</v>
      </c>
      <c r="I1057" s="185">
        <v>11</v>
      </c>
      <c r="J1057" s="185">
        <v>1.5</v>
      </c>
      <c r="K1057" s="52">
        <v>0</v>
      </c>
      <c r="L1057" s="53">
        <v>8625000</v>
      </c>
      <c r="M1057" s="136" t="s">
        <v>464</v>
      </c>
      <c r="N1057" s="53" t="s">
        <v>113</v>
      </c>
      <c r="O1057" s="51" t="s">
        <v>229</v>
      </c>
      <c r="P1057" s="186" t="str">
        <f>IFERROR(VLOOKUP(C1057,TD!$B$33:$F$37,2,0)," ")</f>
        <v>O230117</v>
      </c>
      <c r="Q1057" s="186" t="str">
        <f>IFERROR(VLOOKUP(C1057,TD!$B$33:$F$37,3,0)," ")</f>
        <v>4503</v>
      </c>
      <c r="R1057" s="186">
        <f>IFERROR(VLOOKUP(C1057,TD!$B$33:$F$37,4,0)," ")</f>
        <v>20240255</v>
      </c>
      <c r="S1057" s="51" t="s">
        <v>183</v>
      </c>
      <c r="T1057" s="186" t="str">
        <f>IFERROR(VLOOKUP(S1057,TD!$J$34:$K$44,2,0)," ")</f>
        <v>Servicio de formación en gestión del riesgo de incendios para el personal UAECOB</v>
      </c>
      <c r="U1057" s="187" t="str">
        <f>CONCATENATE(S1057,"-",T1057)</f>
        <v>07-Servicio de formación en gestión del riesgo de incendios para el personal UAECOB</v>
      </c>
      <c r="V1057" s="51" t="s">
        <v>233</v>
      </c>
      <c r="W1057" s="186" t="str">
        <f>IFERROR(VLOOKUP(V1057,TD!$N$34:$O$46,2,0)," ")</f>
        <v>Servicio de educación informal</v>
      </c>
      <c r="X1057" s="187" t="str">
        <f>CONCATENATE(V1057,"_",W1057)</f>
        <v>002_Servicio de educación informal</v>
      </c>
      <c r="Y1057" s="187" t="str">
        <f>CONCATENATE(U1057," ",X1057)</f>
        <v>07-Servicio de formación en gestión del riesgo de incendios para el personal UAECOB 002_Servicio de educación informal</v>
      </c>
      <c r="Z1057" s="186" t="str">
        <f>CONCATENATE(P1057,Q1057,R1057,S1057,V1057)</f>
        <v>O23011745032024025507002</v>
      </c>
      <c r="AA1057" s="186" t="str">
        <f>IFERROR(VLOOKUP(Y1057,TD!$K$47:$L$65,2,0)," ")</f>
        <v>PM/0131/0107/45030020255</v>
      </c>
      <c r="AB1057" s="53" t="s">
        <v>138</v>
      </c>
      <c r="AC1057" s="188" t="s">
        <v>204</v>
      </c>
    </row>
    <row r="1058" spans="2:29" ht="70" x14ac:dyDescent="0.35">
      <c r="B1058" s="132">
        <v>20251121</v>
      </c>
      <c r="C1058" s="50" t="s">
        <v>209</v>
      </c>
      <c r="D1058" s="184" t="s">
        <v>165</v>
      </c>
      <c r="E1058" s="51" t="s">
        <v>484</v>
      </c>
      <c r="F1058" s="184" t="s">
        <v>1293</v>
      </c>
      <c r="G1058" s="184" t="s">
        <v>156</v>
      </c>
      <c r="H1058" s="93">
        <v>80111600</v>
      </c>
      <c r="I1058" s="185">
        <v>11</v>
      </c>
      <c r="J1058" s="185">
        <v>1.5</v>
      </c>
      <c r="K1058" s="52">
        <v>0</v>
      </c>
      <c r="L1058" s="53">
        <v>6020666</v>
      </c>
      <c r="M1058" s="136" t="s">
        <v>464</v>
      </c>
      <c r="N1058" s="53" t="s">
        <v>113</v>
      </c>
      <c r="O1058" s="51" t="s">
        <v>229</v>
      </c>
      <c r="P1058" s="186" t="str">
        <f>IFERROR(VLOOKUP(C1058,TD!$B$33:$F$37,2,0)," ")</f>
        <v>O230117</v>
      </c>
      <c r="Q1058" s="186" t="str">
        <f>IFERROR(VLOOKUP(C1058,TD!$B$33:$F$37,3,0)," ")</f>
        <v>4503</v>
      </c>
      <c r="R1058" s="186">
        <f>IFERROR(VLOOKUP(C1058,TD!$B$33:$F$37,4,0)," ")</f>
        <v>20240255</v>
      </c>
      <c r="S1058" s="51" t="s">
        <v>183</v>
      </c>
      <c r="T1058" s="186" t="str">
        <f>IFERROR(VLOOKUP(S1058,TD!$J$34:$K$44,2,0)," ")</f>
        <v>Servicio de formación en gestión del riesgo de incendios para el personal UAECOB</v>
      </c>
      <c r="U1058" s="187" t="str">
        <f>CONCATENATE(S1058,"-",T1058)</f>
        <v>07-Servicio de formación en gestión del riesgo de incendios para el personal UAECOB</v>
      </c>
      <c r="V1058" s="51" t="s">
        <v>233</v>
      </c>
      <c r="W1058" s="186" t="str">
        <f>IFERROR(VLOOKUP(V1058,TD!$N$34:$O$46,2,0)," ")</f>
        <v>Servicio de educación informal</v>
      </c>
      <c r="X1058" s="187" t="str">
        <f>CONCATENATE(V1058,"_",W1058)</f>
        <v>002_Servicio de educación informal</v>
      </c>
      <c r="Y1058" s="187" t="str">
        <f>CONCATENATE(U1058," ",X1058)</f>
        <v>07-Servicio de formación en gestión del riesgo de incendios para el personal UAECOB 002_Servicio de educación informal</v>
      </c>
      <c r="Z1058" s="186" t="str">
        <f>CONCATENATE(P1058,Q1058,R1058,S1058,V1058)</f>
        <v>O23011745032024025507002</v>
      </c>
      <c r="AA1058" s="186" t="str">
        <f>IFERROR(VLOOKUP(Y1058,TD!$K$47:$L$65,2,0)," ")</f>
        <v>PM/0131/0107/45030020255</v>
      </c>
      <c r="AB1058" s="53" t="s">
        <v>138</v>
      </c>
      <c r="AC1058" s="188" t="s">
        <v>204</v>
      </c>
    </row>
    <row r="1059" spans="2:29" ht="98" x14ac:dyDescent="0.35">
      <c r="B1059" s="167">
        <v>20251122</v>
      </c>
      <c r="C1059" s="50" t="s">
        <v>209</v>
      </c>
      <c r="D1059" s="184" t="s">
        <v>165</v>
      </c>
      <c r="E1059" s="51" t="s">
        <v>484</v>
      </c>
      <c r="F1059" s="184" t="s">
        <v>1294</v>
      </c>
      <c r="G1059" s="184" t="s">
        <v>155</v>
      </c>
      <c r="H1059" s="93">
        <v>80111600</v>
      </c>
      <c r="I1059" s="185">
        <v>12</v>
      </c>
      <c r="J1059" s="185">
        <v>1.5</v>
      </c>
      <c r="K1059" s="52">
        <v>0</v>
      </c>
      <c r="L1059" s="53">
        <v>10950000</v>
      </c>
      <c r="M1059" s="136" t="s">
        <v>464</v>
      </c>
      <c r="N1059" s="53" t="s">
        <v>113</v>
      </c>
      <c r="O1059" s="51" t="s">
        <v>229</v>
      </c>
      <c r="P1059" s="186" t="str">
        <f>IFERROR(VLOOKUP(C1059,TD!$B$33:$F$37,2,0)," ")</f>
        <v>O230117</v>
      </c>
      <c r="Q1059" s="186" t="str">
        <f>IFERROR(VLOOKUP(C1059,TD!$B$33:$F$37,3,0)," ")</f>
        <v>4503</v>
      </c>
      <c r="R1059" s="186">
        <f>IFERROR(VLOOKUP(C1059,TD!$B$33:$F$37,4,0)," ")</f>
        <v>20240255</v>
      </c>
      <c r="S1059" s="51" t="s">
        <v>183</v>
      </c>
      <c r="T1059" s="186" t="str">
        <f>IFERROR(VLOOKUP(S1059,TD!$J$34:$K$44,2,0)," ")</f>
        <v>Servicio de formación en gestión del riesgo de incendios para el personal UAECOB</v>
      </c>
      <c r="U1059" s="187" t="str">
        <f>CONCATENATE(S1059,"-",T1059)</f>
        <v>07-Servicio de formación en gestión del riesgo de incendios para el personal UAECOB</v>
      </c>
      <c r="V1059" s="51" t="s">
        <v>233</v>
      </c>
      <c r="W1059" s="186" t="str">
        <f>IFERROR(VLOOKUP(V1059,TD!$N$34:$O$46,2,0)," ")</f>
        <v>Servicio de educación informal</v>
      </c>
      <c r="X1059" s="187" t="str">
        <f>CONCATENATE(V1059,"_",W1059)</f>
        <v>002_Servicio de educación informal</v>
      </c>
      <c r="Y1059" s="187" t="str">
        <f>CONCATENATE(U1059," ",X1059)</f>
        <v>07-Servicio de formación en gestión del riesgo de incendios para el personal UAECOB 002_Servicio de educación informal</v>
      </c>
      <c r="Z1059" s="186" t="str">
        <f>CONCATENATE(P1059,Q1059,R1059,S1059,V1059)</f>
        <v>O23011745032024025507002</v>
      </c>
      <c r="AA1059" s="186" t="str">
        <f>IFERROR(VLOOKUP(Y1059,TD!$K$47:$L$65,2,0)," ")</f>
        <v>PM/0131/0107/45030020255</v>
      </c>
      <c r="AB1059" s="53" t="s">
        <v>138</v>
      </c>
      <c r="AC1059" s="188" t="s">
        <v>204</v>
      </c>
    </row>
    <row r="1060" spans="2:29" ht="84" x14ac:dyDescent="0.35">
      <c r="B1060" s="132">
        <v>20251123</v>
      </c>
      <c r="C1060" s="50" t="s">
        <v>209</v>
      </c>
      <c r="D1060" s="184" t="s">
        <v>165</v>
      </c>
      <c r="E1060" s="51" t="s">
        <v>484</v>
      </c>
      <c r="F1060" s="184" t="s">
        <v>1295</v>
      </c>
      <c r="G1060" s="184" t="s">
        <v>155</v>
      </c>
      <c r="H1060" s="93">
        <v>80111600</v>
      </c>
      <c r="I1060" s="185">
        <v>12</v>
      </c>
      <c r="J1060" s="185">
        <v>0.5</v>
      </c>
      <c r="K1060" s="52">
        <v>0</v>
      </c>
      <c r="L1060" s="53">
        <v>3166666</v>
      </c>
      <c r="M1060" s="136" t="s">
        <v>464</v>
      </c>
      <c r="N1060" s="53" t="s">
        <v>113</v>
      </c>
      <c r="O1060" s="51" t="s">
        <v>229</v>
      </c>
      <c r="P1060" s="186" t="str">
        <f>IFERROR(VLOOKUP(C1060,TD!$B$33:$F$37,2,0)," ")</f>
        <v>O230117</v>
      </c>
      <c r="Q1060" s="186" t="str">
        <f>IFERROR(VLOOKUP(C1060,TD!$B$33:$F$37,3,0)," ")</f>
        <v>4503</v>
      </c>
      <c r="R1060" s="186">
        <f>IFERROR(VLOOKUP(C1060,TD!$B$33:$F$37,4,0)," ")</f>
        <v>20240255</v>
      </c>
      <c r="S1060" s="51" t="s">
        <v>183</v>
      </c>
      <c r="T1060" s="186" t="str">
        <f>IFERROR(VLOOKUP(S1060,TD!$J$34:$K$44,2,0)," ")</f>
        <v>Servicio de formación en gestión del riesgo de incendios para el personal UAECOB</v>
      </c>
      <c r="U1060" s="187" t="str">
        <f>CONCATENATE(S1060,"-",T1060)</f>
        <v>07-Servicio de formación en gestión del riesgo de incendios para el personal UAECOB</v>
      </c>
      <c r="V1060" s="51" t="s">
        <v>233</v>
      </c>
      <c r="W1060" s="186" t="str">
        <f>IFERROR(VLOOKUP(V1060,TD!$N$34:$O$46,2,0)," ")</f>
        <v>Servicio de educación informal</v>
      </c>
      <c r="X1060" s="187" t="str">
        <f>CONCATENATE(V1060,"_",W1060)</f>
        <v>002_Servicio de educación informal</v>
      </c>
      <c r="Y1060" s="187" t="str">
        <f>CONCATENATE(U1060," ",X1060)</f>
        <v>07-Servicio de formación en gestión del riesgo de incendios para el personal UAECOB 002_Servicio de educación informal</v>
      </c>
      <c r="Z1060" s="186" t="str">
        <f>CONCATENATE(P1060,Q1060,R1060,S1060,V1060)</f>
        <v>O23011745032024025507002</v>
      </c>
      <c r="AA1060" s="186" t="str">
        <f>IFERROR(VLOOKUP(Y1060,TD!$K$47:$L$65,2,0)," ")</f>
        <v>PM/0131/0107/45030020255</v>
      </c>
      <c r="AB1060" s="53" t="s">
        <v>138</v>
      </c>
      <c r="AC1060" s="188" t="s">
        <v>204</v>
      </c>
    </row>
    <row r="1061" spans="2:29" ht="84" x14ac:dyDescent="0.35">
      <c r="B1061" s="77">
        <v>20251124</v>
      </c>
      <c r="C1061" s="50" t="s">
        <v>209</v>
      </c>
      <c r="D1061" s="184" t="s">
        <v>165</v>
      </c>
      <c r="E1061" s="51" t="s">
        <v>484</v>
      </c>
      <c r="F1061" s="184" t="s">
        <v>1296</v>
      </c>
      <c r="G1061" s="184" t="s">
        <v>155</v>
      </c>
      <c r="H1061" s="93">
        <v>80111600</v>
      </c>
      <c r="I1061" s="185">
        <v>11</v>
      </c>
      <c r="J1061" s="185">
        <v>1</v>
      </c>
      <c r="K1061" s="52">
        <v>0</v>
      </c>
      <c r="L1061" s="53">
        <v>5866667</v>
      </c>
      <c r="M1061" s="136" t="s">
        <v>464</v>
      </c>
      <c r="N1061" s="53" t="s">
        <v>113</v>
      </c>
      <c r="O1061" s="51" t="s">
        <v>229</v>
      </c>
      <c r="P1061" s="186" t="str">
        <f>IFERROR(VLOOKUP(C1061,TD!$B$33:$F$37,2,0)," ")</f>
        <v>O230117</v>
      </c>
      <c r="Q1061" s="186" t="str">
        <f>IFERROR(VLOOKUP(C1061,TD!$B$33:$F$37,3,0)," ")</f>
        <v>4503</v>
      </c>
      <c r="R1061" s="186">
        <f>IFERROR(VLOOKUP(C1061,TD!$B$33:$F$37,4,0)," ")</f>
        <v>20240255</v>
      </c>
      <c r="S1061" s="51" t="s">
        <v>183</v>
      </c>
      <c r="T1061" s="186" t="str">
        <f>IFERROR(VLOOKUP(S1061,TD!$J$34:$K$44,2,0)," ")</f>
        <v>Servicio de formación en gestión del riesgo de incendios para el personal UAECOB</v>
      </c>
      <c r="U1061" s="187" t="str">
        <f>CONCATENATE(S1061,"-",T1061)</f>
        <v>07-Servicio de formación en gestión del riesgo de incendios para el personal UAECOB</v>
      </c>
      <c r="V1061" s="51" t="s">
        <v>233</v>
      </c>
      <c r="W1061" s="186" t="str">
        <f>IFERROR(VLOOKUP(V1061,TD!$N$34:$O$46,2,0)," ")</f>
        <v>Servicio de educación informal</v>
      </c>
      <c r="X1061" s="187" t="str">
        <f>CONCATENATE(V1061,"_",W1061)</f>
        <v>002_Servicio de educación informal</v>
      </c>
      <c r="Y1061" s="187" t="str">
        <f>CONCATENATE(U1061," ",X1061)</f>
        <v>07-Servicio de formación en gestión del riesgo de incendios para el personal UAECOB 002_Servicio de educación informal</v>
      </c>
      <c r="Z1061" s="186" t="str">
        <f>CONCATENATE(P1061,Q1061,R1061,S1061,V1061)</f>
        <v>O23011745032024025507002</v>
      </c>
      <c r="AA1061" s="186" t="str">
        <f>IFERROR(VLOOKUP(Y1061,TD!$K$47:$L$65,2,0)," ")</f>
        <v>PM/0131/0107/45030020255</v>
      </c>
      <c r="AB1061" s="53" t="s">
        <v>138</v>
      </c>
      <c r="AC1061" s="188" t="s">
        <v>204</v>
      </c>
    </row>
    <row r="1062" spans="2:29" ht="84" x14ac:dyDescent="0.35">
      <c r="B1062" s="161">
        <v>20251125</v>
      </c>
      <c r="C1062" s="50" t="s">
        <v>209</v>
      </c>
      <c r="D1062" s="184" t="s">
        <v>165</v>
      </c>
      <c r="E1062" s="51" t="s">
        <v>484</v>
      </c>
      <c r="F1062" s="184" t="s">
        <v>1297</v>
      </c>
      <c r="G1062" s="184" t="s">
        <v>155</v>
      </c>
      <c r="H1062" s="93">
        <v>80111600</v>
      </c>
      <c r="I1062" s="185">
        <v>12</v>
      </c>
      <c r="J1062" s="185">
        <v>0.5</v>
      </c>
      <c r="K1062" s="52">
        <v>0</v>
      </c>
      <c r="L1062" s="53">
        <v>4408334</v>
      </c>
      <c r="M1062" s="136" t="s">
        <v>464</v>
      </c>
      <c r="N1062" s="53" t="s">
        <v>113</v>
      </c>
      <c r="O1062" s="51" t="s">
        <v>229</v>
      </c>
      <c r="P1062" s="186" t="str">
        <f>IFERROR(VLOOKUP(C1062,TD!$B$33:$F$37,2,0)," ")</f>
        <v>O230117</v>
      </c>
      <c r="Q1062" s="186" t="str">
        <f>IFERROR(VLOOKUP(C1062,TD!$B$33:$F$37,3,0)," ")</f>
        <v>4503</v>
      </c>
      <c r="R1062" s="186">
        <f>IFERROR(VLOOKUP(C1062,TD!$B$33:$F$37,4,0)," ")</f>
        <v>20240255</v>
      </c>
      <c r="S1062" s="51" t="s">
        <v>183</v>
      </c>
      <c r="T1062" s="186" t="str">
        <f>IFERROR(VLOOKUP(S1062,TD!$J$34:$K$44,2,0)," ")</f>
        <v>Servicio de formación en gestión del riesgo de incendios para el personal UAECOB</v>
      </c>
      <c r="U1062" s="187" t="str">
        <f>CONCATENATE(S1062,"-",T1062)</f>
        <v>07-Servicio de formación en gestión del riesgo de incendios para el personal UAECOB</v>
      </c>
      <c r="V1062" s="51" t="s">
        <v>233</v>
      </c>
      <c r="W1062" s="186" t="str">
        <f>IFERROR(VLOOKUP(V1062,TD!$N$34:$O$46,2,0)," ")</f>
        <v>Servicio de educación informal</v>
      </c>
      <c r="X1062" s="187" t="str">
        <f>CONCATENATE(V1062,"_",W1062)</f>
        <v>002_Servicio de educación informal</v>
      </c>
      <c r="Y1062" s="187" t="str">
        <f>CONCATENATE(U1062," ",X1062)</f>
        <v>07-Servicio de formación en gestión del riesgo de incendios para el personal UAECOB 002_Servicio de educación informal</v>
      </c>
      <c r="Z1062" s="186" t="str">
        <f>CONCATENATE(P1062,Q1062,R1062,S1062,V1062)</f>
        <v>O23011745032024025507002</v>
      </c>
      <c r="AA1062" s="186" t="str">
        <f>IFERROR(VLOOKUP(Y1062,TD!$K$47:$L$65,2,0)," ")</f>
        <v>PM/0131/0107/45030020255</v>
      </c>
      <c r="AB1062" s="53" t="s">
        <v>138</v>
      </c>
      <c r="AC1062" s="188" t="s">
        <v>204</v>
      </c>
    </row>
    <row r="1063" spans="2:29" ht="70" x14ac:dyDescent="0.35">
      <c r="B1063" s="77">
        <v>20251126</v>
      </c>
      <c r="C1063" s="50" t="s">
        <v>209</v>
      </c>
      <c r="D1063" s="184" t="s">
        <v>165</v>
      </c>
      <c r="E1063" s="51" t="s">
        <v>484</v>
      </c>
      <c r="F1063" s="184" t="s">
        <v>1298</v>
      </c>
      <c r="G1063" s="184" t="s">
        <v>155</v>
      </c>
      <c r="H1063" s="93">
        <v>80111600</v>
      </c>
      <c r="I1063" s="185">
        <v>11</v>
      </c>
      <c r="J1063" s="185">
        <v>1</v>
      </c>
      <c r="K1063" s="52">
        <v>0</v>
      </c>
      <c r="L1063" s="53">
        <v>9722134</v>
      </c>
      <c r="M1063" s="136" t="s">
        <v>464</v>
      </c>
      <c r="N1063" s="53" t="s">
        <v>113</v>
      </c>
      <c r="O1063" s="51" t="s">
        <v>229</v>
      </c>
      <c r="P1063" s="186" t="str">
        <f>IFERROR(VLOOKUP(C1063,TD!$B$33:$F$37,2,0)," ")</f>
        <v>O230117</v>
      </c>
      <c r="Q1063" s="186" t="str">
        <f>IFERROR(VLOOKUP(C1063,TD!$B$33:$F$37,3,0)," ")</f>
        <v>4503</v>
      </c>
      <c r="R1063" s="186">
        <f>IFERROR(VLOOKUP(C1063,TD!$B$33:$F$37,4,0)," ")</f>
        <v>20240255</v>
      </c>
      <c r="S1063" s="51" t="s">
        <v>183</v>
      </c>
      <c r="T1063" s="186" t="str">
        <f>IFERROR(VLOOKUP(S1063,TD!$J$34:$K$44,2,0)," ")</f>
        <v>Servicio de formación en gestión del riesgo de incendios para el personal UAECOB</v>
      </c>
      <c r="U1063" s="187" t="str">
        <f>CONCATENATE(S1063,"-",T1063)</f>
        <v>07-Servicio de formación en gestión del riesgo de incendios para el personal UAECOB</v>
      </c>
      <c r="V1063" s="51" t="s">
        <v>233</v>
      </c>
      <c r="W1063" s="186" t="str">
        <f>IFERROR(VLOOKUP(V1063,TD!$N$34:$O$46,2,0)," ")</f>
        <v>Servicio de educación informal</v>
      </c>
      <c r="X1063" s="187" t="str">
        <f>CONCATENATE(V1063,"_",W1063)</f>
        <v>002_Servicio de educación informal</v>
      </c>
      <c r="Y1063" s="187" t="str">
        <f>CONCATENATE(U1063," ",X1063)</f>
        <v>07-Servicio de formación en gestión del riesgo de incendios para el personal UAECOB 002_Servicio de educación informal</v>
      </c>
      <c r="Z1063" s="186" t="str">
        <f>CONCATENATE(P1063,Q1063,R1063,S1063,V1063)</f>
        <v>O23011745032024025507002</v>
      </c>
      <c r="AA1063" s="186" t="str">
        <f>IFERROR(VLOOKUP(Y1063,TD!$K$47:$L$65,2,0)," ")</f>
        <v>PM/0131/0107/45030020255</v>
      </c>
      <c r="AB1063" s="53" t="s">
        <v>138</v>
      </c>
      <c r="AC1063" s="188" t="s">
        <v>204</v>
      </c>
    </row>
    <row r="1064" spans="2:29" ht="56" x14ac:dyDescent="0.35">
      <c r="B1064" s="132">
        <v>20251127</v>
      </c>
      <c r="C1064" s="50" t="s">
        <v>209</v>
      </c>
      <c r="D1064" s="184" t="s">
        <v>165</v>
      </c>
      <c r="E1064" s="51" t="s">
        <v>484</v>
      </c>
      <c r="F1064" s="202" t="s">
        <v>1299</v>
      </c>
      <c r="G1064" s="202" t="s">
        <v>155</v>
      </c>
      <c r="H1064" s="134">
        <v>80111600</v>
      </c>
      <c r="I1064" s="203">
        <v>11</v>
      </c>
      <c r="J1064" s="203">
        <v>1.5</v>
      </c>
      <c r="K1064" s="135">
        <v>15</v>
      </c>
      <c r="L1064" s="131">
        <v>11460800</v>
      </c>
      <c r="M1064" s="136" t="s">
        <v>464</v>
      </c>
      <c r="N1064" s="53" t="s">
        <v>113</v>
      </c>
      <c r="O1064" s="51" t="s">
        <v>229</v>
      </c>
      <c r="P1064" s="204" t="str">
        <f>IFERROR(VLOOKUP(C1064,TD!$B$33:$F$37,2,0)," ")</f>
        <v>O230117</v>
      </c>
      <c r="Q1064" s="204" t="str">
        <f>IFERROR(VLOOKUP(C1064,TD!$B$33:$F$37,3,0)," ")</f>
        <v>4503</v>
      </c>
      <c r="R1064" s="204">
        <f>IFERROR(VLOOKUP(C1064,TD!$B$33:$F$37,4,0)," ")</f>
        <v>20240255</v>
      </c>
      <c r="S1064" s="51" t="s">
        <v>183</v>
      </c>
      <c r="T1064" s="186" t="str">
        <f>IFERROR(VLOOKUP(S1064,TD!$J$34:$K$44,2,0)," ")</f>
        <v>Servicio de formación en gestión del riesgo de incendios para el personal UAECOB</v>
      </c>
      <c r="U1064" s="187" t="str">
        <f>CONCATENATE(S1064,"-",T1064)</f>
        <v>07-Servicio de formación en gestión del riesgo de incendios para el personal UAECOB</v>
      </c>
      <c r="V1064" s="51" t="s">
        <v>233</v>
      </c>
      <c r="W1064" s="186" t="str">
        <f>IFERROR(VLOOKUP(V1064,TD!$N$34:$O$46,2,0)," ")</f>
        <v>Servicio de educación informal</v>
      </c>
      <c r="X1064" s="206" t="str">
        <f>CONCATENATE(V1064,"_",W1064)</f>
        <v>002_Servicio de educación informal</v>
      </c>
      <c r="Y1064" s="206" t="str">
        <f>CONCATENATE(U1064," ",X1064)</f>
        <v>07-Servicio de formación en gestión del riesgo de incendios para el personal UAECOB 002_Servicio de educación informal</v>
      </c>
      <c r="Z1064" s="204" t="str">
        <f>CONCATENATE(P1064,Q1064,R1064,S1064,V1064)</f>
        <v>O23011745032024025507002</v>
      </c>
      <c r="AA1064" s="204" t="str">
        <f>IFERROR(VLOOKUP(Y1064,TD!$K$47:$L$65,2,0)," ")</f>
        <v>PM/0131/0107/45030020255</v>
      </c>
      <c r="AB1064" s="53" t="s">
        <v>138</v>
      </c>
      <c r="AC1064" s="188" t="s">
        <v>204</v>
      </c>
    </row>
    <row r="1065" spans="2:29" ht="56" x14ac:dyDescent="0.35">
      <c r="B1065" s="167">
        <v>20251128</v>
      </c>
      <c r="C1065" s="50" t="s">
        <v>209</v>
      </c>
      <c r="D1065" s="184" t="s">
        <v>165</v>
      </c>
      <c r="E1065" s="51" t="s">
        <v>484</v>
      </c>
      <c r="F1065" s="202" t="s">
        <v>1300</v>
      </c>
      <c r="G1065" s="202" t="s">
        <v>155</v>
      </c>
      <c r="H1065" s="134">
        <v>80111600</v>
      </c>
      <c r="I1065" s="203">
        <v>11</v>
      </c>
      <c r="J1065" s="203">
        <v>1.5</v>
      </c>
      <c r="K1065" s="135">
        <v>0</v>
      </c>
      <c r="L1065" s="131">
        <v>8250000</v>
      </c>
      <c r="M1065" s="136" t="s">
        <v>464</v>
      </c>
      <c r="N1065" s="53" t="s">
        <v>113</v>
      </c>
      <c r="O1065" s="51" t="s">
        <v>229</v>
      </c>
      <c r="P1065" s="204" t="str">
        <f>IFERROR(VLOOKUP(C1065,TD!$B$33:$F$37,2,0)," ")</f>
        <v>O230117</v>
      </c>
      <c r="Q1065" s="204" t="str">
        <f>IFERROR(VLOOKUP(C1065,TD!$B$33:$F$37,3,0)," ")</f>
        <v>4503</v>
      </c>
      <c r="R1065" s="204">
        <f>IFERROR(VLOOKUP(C1065,TD!$B$33:$F$37,4,0)," ")</f>
        <v>20240255</v>
      </c>
      <c r="S1065" s="51" t="s">
        <v>183</v>
      </c>
      <c r="T1065" s="186" t="str">
        <f>IFERROR(VLOOKUP(S1065,TD!$J$34:$K$44,2,0)," ")</f>
        <v>Servicio de formación en gestión del riesgo de incendios para el personal UAECOB</v>
      </c>
      <c r="U1065" s="187" t="str">
        <f>CONCATENATE(S1065,"-",T1065)</f>
        <v>07-Servicio de formación en gestión del riesgo de incendios para el personal UAECOB</v>
      </c>
      <c r="V1065" s="51" t="s">
        <v>233</v>
      </c>
      <c r="W1065" s="186" t="str">
        <f>IFERROR(VLOOKUP(V1065,TD!$N$34:$O$46,2,0)," ")</f>
        <v>Servicio de educación informal</v>
      </c>
      <c r="X1065" s="206" t="str">
        <f>CONCATENATE(V1065,"_",W1065)</f>
        <v>002_Servicio de educación informal</v>
      </c>
      <c r="Y1065" s="206" t="str">
        <f>CONCATENATE(U1065," ",X1065)</f>
        <v>07-Servicio de formación en gestión del riesgo de incendios para el personal UAECOB 002_Servicio de educación informal</v>
      </c>
      <c r="Z1065" s="204" t="str">
        <f>CONCATENATE(P1065,Q1065,R1065,S1065,V1065)</f>
        <v>O23011745032024025507002</v>
      </c>
      <c r="AA1065" s="204" t="str">
        <f>IFERROR(VLOOKUP(Y1065,TD!$K$47:$L$65,2,0)," ")</f>
        <v>PM/0131/0107/45030020255</v>
      </c>
      <c r="AB1065" s="53" t="s">
        <v>138</v>
      </c>
      <c r="AC1065" s="188" t="s">
        <v>204</v>
      </c>
    </row>
    <row r="1066" spans="2:29" ht="84" x14ac:dyDescent="0.35">
      <c r="B1066" s="132">
        <v>20251129</v>
      </c>
      <c r="C1066" s="50" t="s">
        <v>209</v>
      </c>
      <c r="D1066" s="184" t="s">
        <v>165</v>
      </c>
      <c r="E1066" s="51" t="s">
        <v>484</v>
      </c>
      <c r="F1066" s="202" t="s">
        <v>1301</v>
      </c>
      <c r="G1066" s="202" t="s">
        <v>155</v>
      </c>
      <c r="H1066" s="134">
        <v>80111600</v>
      </c>
      <c r="I1066" s="203">
        <v>11</v>
      </c>
      <c r="J1066" s="203">
        <v>2.6333333333333333</v>
      </c>
      <c r="K1066" s="135">
        <v>0</v>
      </c>
      <c r="L1066" s="131">
        <v>17380000</v>
      </c>
      <c r="M1066" s="136" t="s">
        <v>464</v>
      </c>
      <c r="N1066" s="131" t="s">
        <v>113</v>
      </c>
      <c r="O1066" s="51" t="s">
        <v>229</v>
      </c>
      <c r="P1066" s="204" t="str">
        <f>IFERROR(VLOOKUP(C1066,TD!$B$33:$F$37,2,0)," ")</f>
        <v>O230117</v>
      </c>
      <c r="Q1066" s="204" t="str">
        <f>IFERROR(VLOOKUP(C1066,TD!$B$33:$F$37,3,0)," ")</f>
        <v>4503</v>
      </c>
      <c r="R1066" s="204">
        <f>IFERROR(VLOOKUP(C1066,TD!$B$33:$F$37,4,0)," ")</f>
        <v>20240255</v>
      </c>
      <c r="S1066" s="51" t="s">
        <v>183</v>
      </c>
      <c r="T1066" s="186" t="str">
        <f>IFERROR(VLOOKUP(S1066,TD!$J$34:$K$44,2,0)," ")</f>
        <v>Servicio de formación en gestión del riesgo de incendios para el personal UAECOB</v>
      </c>
      <c r="U1066" s="187" t="str">
        <f>CONCATENATE(S1066,"-",T1066)</f>
        <v>07-Servicio de formación en gestión del riesgo de incendios para el personal UAECOB</v>
      </c>
      <c r="V1066" s="51" t="s">
        <v>233</v>
      </c>
      <c r="W1066" s="186" t="str">
        <f>IFERROR(VLOOKUP(V1066,TD!$N$34:$O$46,2,0)," ")</f>
        <v>Servicio de educación informal</v>
      </c>
      <c r="X1066" s="206" t="str">
        <f>CONCATENATE(V1066,"_",W1066)</f>
        <v>002_Servicio de educación informal</v>
      </c>
      <c r="Y1066" s="206" t="str">
        <f>CONCATENATE(U1066," ",X1066)</f>
        <v>07-Servicio de formación en gestión del riesgo de incendios para el personal UAECOB 002_Servicio de educación informal</v>
      </c>
      <c r="Z1066" s="204" t="str">
        <f>CONCATENATE(P1066,Q1066,R1066,S1066,V1066)</f>
        <v>O23011745032024025507002</v>
      </c>
      <c r="AA1066" s="204" t="str">
        <f>IFERROR(VLOOKUP(Y1066,TD!$K$47:$L$65,2,0)," ")</f>
        <v>PM/0131/0107/45030020255</v>
      </c>
      <c r="AB1066" s="131" t="s">
        <v>138</v>
      </c>
      <c r="AC1066" s="207" t="s">
        <v>204</v>
      </c>
    </row>
    <row r="1067" spans="2:29" ht="98" x14ac:dyDescent="0.35">
      <c r="B1067" s="132">
        <v>20251130</v>
      </c>
      <c r="C1067" s="50" t="s">
        <v>209</v>
      </c>
      <c r="D1067" s="184" t="s">
        <v>165</v>
      </c>
      <c r="E1067" s="51" t="s">
        <v>484</v>
      </c>
      <c r="F1067" s="202" t="s">
        <v>1302</v>
      </c>
      <c r="G1067" s="202" t="s">
        <v>155</v>
      </c>
      <c r="H1067" s="134">
        <v>80111600</v>
      </c>
      <c r="I1067" s="203">
        <v>11</v>
      </c>
      <c r="J1067" s="203">
        <v>1</v>
      </c>
      <c r="K1067" s="135">
        <v>0</v>
      </c>
      <c r="L1067" s="131">
        <v>11616667</v>
      </c>
      <c r="M1067" s="136" t="s">
        <v>464</v>
      </c>
      <c r="N1067" s="131" t="s">
        <v>113</v>
      </c>
      <c r="O1067" s="51" t="s">
        <v>229</v>
      </c>
      <c r="P1067" s="204" t="str">
        <f>IFERROR(VLOOKUP(C1067,TD!$B$33:$F$37,2,0)," ")</f>
        <v>O230117</v>
      </c>
      <c r="Q1067" s="204" t="str">
        <f>IFERROR(VLOOKUP(C1067,TD!$B$33:$F$37,3,0)," ")</f>
        <v>4503</v>
      </c>
      <c r="R1067" s="204">
        <f>IFERROR(VLOOKUP(C1067,TD!$B$33:$F$37,4,0)," ")</f>
        <v>20240255</v>
      </c>
      <c r="S1067" s="51" t="s">
        <v>183</v>
      </c>
      <c r="T1067" s="186" t="str">
        <f>IFERROR(VLOOKUP(S1067,TD!$J$34:$K$44,2,0)," ")</f>
        <v>Servicio de formación en gestión del riesgo de incendios para el personal UAECOB</v>
      </c>
      <c r="U1067" s="187" t="str">
        <f>CONCATENATE(S1067,"-",T1067)</f>
        <v>07-Servicio de formación en gestión del riesgo de incendios para el personal UAECOB</v>
      </c>
      <c r="V1067" s="51" t="s">
        <v>233</v>
      </c>
      <c r="W1067" s="186" t="str">
        <f>IFERROR(VLOOKUP(V1067,TD!$N$34:$O$46,2,0)," ")</f>
        <v>Servicio de educación informal</v>
      </c>
      <c r="X1067" s="206" t="str">
        <f>CONCATENATE(V1067,"_",W1067)</f>
        <v>002_Servicio de educación informal</v>
      </c>
      <c r="Y1067" s="206" t="str">
        <f>CONCATENATE(U1067," ",X1067)</f>
        <v>07-Servicio de formación en gestión del riesgo de incendios para el personal UAECOB 002_Servicio de educación informal</v>
      </c>
      <c r="Z1067" s="204" t="str">
        <f>CONCATENATE(P1067,Q1067,R1067,S1067,V1067)</f>
        <v>O23011745032024025507002</v>
      </c>
      <c r="AA1067" s="204" t="str">
        <f>IFERROR(VLOOKUP(Y1067,TD!$K$47:$L$65,2,0)," ")</f>
        <v>PM/0131/0107/45030020255</v>
      </c>
      <c r="AB1067" s="131" t="s">
        <v>138</v>
      </c>
      <c r="AC1067" s="207" t="s">
        <v>204</v>
      </c>
    </row>
    <row r="1068" spans="2:29" ht="112" x14ac:dyDescent="0.35">
      <c r="B1068" s="167">
        <v>20251131</v>
      </c>
      <c r="C1068" s="133" t="s">
        <v>209</v>
      </c>
      <c r="D1068" s="184" t="s">
        <v>165</v>
      </c>
      <c r="E1068" s="51" t="s">
        <v>484</v>
      </c>
      <c r="F1068" s="202" t="s">
        <v>1303</v>
      </c>
      <c r="G1068" s="202" t="s">
        <v>156</v>
      </c>
      <c r="H1068" s="134">
        <v>80111600</v>
      </c>
      <c r="I1068" s="203">
        <v>11</v>
      </c>
      <c r="J1068" s="203">
        <v>1.5</v>
      </c>
      <c r="K1068" s="135">
        <v>0</v>
      </c>
      <c r="L1068" s="131">
        <v>6906667</v>
      </c>
      <c r="M1068" s="142" t="s">
        <v>464</v>
      </c>
      <c r="N1068" s="131" t="s">
        <v>113</v>
      </c>
      <c r="O1068" s="51" t="s">
        <v>229</v>
      </c>
      <c r="P1068" s="204" t="str">
        <f>IFERROR(VLOOKUP(C1068,TD!$B$33:$F$37,2,0)," ")</f>
        <v>O230117</v>
      </c>
      <c r="Q1068" s="204" t="str">
        <f>IFERROR(VLOOKUP(C1068,TD!$B$33:$F$37,3,0)," ")</f>
        <v>4503</v>
      </c>
      <c r="R1068" s="204">
        <f>IFERROR(VLOOKUP(C1068,TD!$B$33:$F$37,4,0)," ")</f>
        <v>20240255</v>
      </c>
      <c r="S1068" s="51" t="s">
        <v>183</v>
      </c>
      <c r="T1068" s="186" t="str">
        <f>IFERROR(VLOOKUP(S1068,TD!$J$34:$K$44,2,0)," ")</f>
        <v>Servicio de formación en gestión del riesgo de incendios para el personal UAECOB</v>
      </c>
      <c r="U1068" s="187" t="str">
        <f>CONCATENATE(S1068,"-",T1068)</f>
        <v>07-Servicio de formación en gestión del riesgo de incendios para el personal UAECOB</v>
      </c>
      <c r="V1068" s="51" t="s">
        <v>233</v>
      </c>
      <c r="W1068" s="186" t="str">
        <f>IFERROR(VLOOKUP(V1068,TD!$N$34:$O$46,2,0)," ")</f>
        <v>Servicio de educación informal</v>
      </c>
      <c r="X1068" s="206" t="str">
        <f>CONCATENATE(V1068,"_",W1068)</f>
        <v>002_Servicio de educación informal</v>
      </c>
      <c r="Y1068" s="206" t="str">
        <f>CONCATENATE(U1068," ",X1068)</f>
        <v>07-Servicio de formación en gestión del riesgo de incendios para el personal UAECOB 002_Servicio de educación informal</v>
      </c>
      <c r="Z1068" s="204" t="str">
        <f>CONCATENATE(P1068,Q1068,R1068,S1068,V1068)</f>
        <v>O23011745032024025507002</v>
      </c>
      <c r="AA1068" s="204" t="str">
        <f>IFERROR(VLOOKUP(Y1068,TD!$K$47:$L$65,2,0)," ")</f>
        <v>PM/0131/0107/45030020255</v>
      </c>
      <c r="AB1068" s="131" t="s">
        <v>138</v>
      </c>
      <c r="AC1068" s="207" t="s">
        <v>204</v>
      </c>
    </row>
    <row r="1069" spans="2:29" ht="84" x14ac:dyDescent="0.35">
      <c r="B1069" s="77">
        <v>20251132</v>
      </c>
      <c r="C1069" s="50" t="s">
        <v>209</v>
      </c>
      <c r="D1069" s="184" t="s">
        <v>165</v>
      </c>
      <c r="E1069" s="51" t="s">
        <v>484</v>
      </c>
      <c r="F1069" s="184" t="s">
        <v>1304</v>
      </c>
      <c r="G1069" s="184" t="s">
        <v>156</v>
      </c>
      <c r="H1069" s="93">
        <v>80111600</v>
      </c>
      <c r="I1069" s="185">
        <v>11</v>
      </c>
      <c r="J1069" s="185">
        <v>1.5</v>
      </c>
      <c r="K1069" s="52">
        <v>0</v>
      </c>
      <c r="L1069" s="53">
        <v>5911200</v>
      </c>
      <c r="M1069" s="136" t="s">
        <v>464</v>
      </c>
      <c r="N1069" s="53" t="s">
        <v>113</v>
      </c>
      <c r="O1069" s="51" t="s">
        <v>229</v>
      </c>
      <c r="P1069" s="186" t="str">
        <f>IFERROR(VLOOKUP(C1069,TD!$B$33:$F$37,2,0)," ")</f>
        <v>O230117</v>
      </c>
      <c r="Q1069" s="186" t="str">
        <f>IFERROR(VLOOKUP(C1069,TD!$B$33:$F$37,3,0)," ")</f>
        <v>4503</v>
      </c>
      <c r="R1069" s="186">
        <f>IFERROR(VLOOKUP(C1069,TD!$B$33:$F$37,4,0)," ")</f>
        <v>20240255</v>
      </c>
      <c r="S1069" s="51" t="s">
        <v>183</v>
      </c>
      <c r="T1069" s="186" t="str">
        <f>IFERROR(VLOOKUP(S1069,TD!$J$34:$K$44,2,0)," ")</f>
        <v>Servicio de formación en gestión del riesgo de incendios para el personal UAECOB</v>
      </c>
      <c r="U1069" s="187" t="str">
        <f>CONCATENATE(S1069,"-",T1069)</f>
        <v>07-Servicio de formación en gestión del riesgo de incendios para el personal UAECOB</v>
      </c>
      <c r="V1069" s="51" t="s">
        <v>233</v>
      </c>
      <c r="W1069" s="186" t="str">
        <f>IFERROR(VLOOKUP(V1069,TD!$N$34:$O$46,2,0)," ")</f>
        <v>Servicio de educación informal</v>
      </c>
      <c r="X1069" s="187" t="str">
        <f>CONCATENATE(V1069,"_",W1069)</f>
        <v>002_Servicio de educación informal</v>
      </c>
      <c r="Y1069" s="187" t="str">
        <f>CONCATENATE(U1069," ",X1069)</f>
        <v>07-Servicio de formación en gestión del riesgo de incendios para el personal UAECOB 002_Servicio de educación informal</v>
      </c>
      <c r="Z1069" s="186" t="str">
        <f>CONCATENATE(P1069,Q1069,R1069,S1069,V1069)</f>
        <v>O23011745032024025507002</v>
      </c>
      <c r="AA1069" s="186" t="str">
        <f>IFERROR(VLOOKUP(Y1069,TD!$K$47:$L$65,2,0)," ")</f>
        <v>PM/0131/0107/45030020255</v>
      </c>
      <c r="AB1069" s="53" t="s">
        <v>138</v>
      </c>
      <c r="AC1069" s="188" t="s">
        <v>204</v>
      </c>
    </row>
    <row r="1070" spans="2:29" ht="84" x14ac:dyDescent="0.35">
      <c r="B1070" s="132">
        <v>20251133</v>
      </c>
      <c r="C1070" s="50" t="s">
        <v>209</v>
      </c>
      <c r="D1070" s="184" t="s">
        <v>165</v>
      </c>
      <c r="E1070" s="51" t="s">
        <v>484</v>
      </c>
      <c r="F1070" s="202" t="s">
        <v>1305</v>
      </c>
      <c r="G1070" s="202" t="s">
        <v>155</v>
      </c>
      <c r="H1070" s="134">
        <v>80111600</v>
      </c>
      <c r="I1070" s="203">
        <v>11</v>
      </c>
      <c r="J1070" s="203">
        <v>2</v>
      </c>
      <c r="K1070" s="135">
        <v>0</v>
      </c>
      <c r="L1070" s="131">
        <v>19600000</v>
      </c>
      <c r="M1070" s="136" t="s">
        <v>464</v>
      </c>
      <c r="N1070" s="53" t="s">
        <v>113</v>
      </c>
      <c r="O1070" s="51" t="s">
        <v>229</v>
      </c>
      <c r="P1070" s="204" t="str">
        <f>IFERROR(VLOOKUP(C1070,TD!$B$33:$F$37,2,0)," ")</f>
        <v>O230117</v>
      </c>
      <c r="Q1070" s="204" t="str">
        <f>IFERROR(VLOOKUP(C1070,TD!$B$33:$F$37,3,0)," ")</f>
        <v>4503</v>
      </c>
      <c r="R1070" s="204">
        <f>IFERROR(VLOOKUP(C1070,TD!$B$33:$F$37,4,0)," ")</f>
        <v>20240255</v>
      </c>
      <c r="S1070" s="51" t="s">
        <v>183</v>
      </c>
      <c r="T1070" s="186" t="str">
        <f>IFERROR(VLOOKUP(S1070,TD!$J$34:$K$44,2,0)," ")</f>
        <v>Servicio de formación en gestión del riesgo de incendios para el personal UAECOB</v>
      </c>
      <c r="U1070" s="187" t="str">
        <f>CONCATENATE(S1070,"-",T1070)</f>
        <v>07-Servicio de formación en gestión del riesgo de incendios para el personal UAECOB</v>
      </c>
      <c r="V1070" s="51" t="s">
        <v>233</v>
      </c>
      <c r="W1070" s="186" t="str">
        <f>IFERROR(VLOOKUP(V1070,TD!$N$34:$O$46,2,0)," ")</f>
        <v>Servicio de educación informal</v>
      </c>
      <c r="X1070" s="206" t="str">
        <f>CONCATENATE(V1070,"_",W1070)</f>
        <v>002_Servicio de educación informal</v>
      </c>
      <c r="Y1070" s="206" t="str">
        <f>CONCATENATE(U1070," ",X1070)</f>
        <v>07-Servicio de formación en gestión del riesgo de incendios para el personal UAECOB 002_Servicio de educación informal</v>
      </c>
      <c r="Z1070" s="204" t="str">
        <f>CONCATENATE(P1070,Q1070,R1070,S1070,V1070)</f>
        <v>O23011745032024025507002</v>
      </c>
      <c r="AA1070" s="204" t="str">
        <f>IFERROR(VLOOKUP(Y1070,TD!$K$47:$L$65,2,0)," ")</f>
        <v>PM/0131/0107/45030020255</v>
      </c>
      <c r="AB1070" s="131" t="s">
        <v>120</v>
      </c>
      <c r="AC1070" s="188" t="s">
        <v>204</v>
      </c>
    </row>
    <row r="1071" spans="2:29" ht="70" x14ac:dyDescent="0.35">
      <c r="B1071" s="167">
        <v>20251134</v>
      </c>
      <c r="C1071" s="50" t="s">
        <v>209</v>
      </c>
      <c r="D1071" s="184" t="s">
        <v>165</v>
      </c>
      <c r="E1071" s="51" t="s">
        <v>484</v>
      </c>
      <c r="F1071" s="202" t="s">
        <v>1306</v>
      </c>
      <c r="G1071" s="202" t="s">
        <v>155</v>
      </c>
      <c r="H1071" s="134">
        <v>80111600</v>
      </c>
      <c r="I1071" s="203">
        <v>11</v>
      </c>
      <c r="J1071" s="203">
        <v>1</v>
      </c>
      <c r="K1071" s="135">
        <v>0</v>
      </c>
      <c r="L1071" s="131">
        <v>7150000</v>
      </c>
      <c r="M1071" s="136" t="s">
        <v>464</v>
      </c>
      <c r="N1071" s="53" t="s">
        <v>113</v>
      </c>
      <c r="O1071" s="51" t="s">
        <v>229</v>
      </c>
      <c r="P1071" s="204" t="str">
        <f>IFERROR(VLOOKUP(C1071,TD!$B$33:$F$37,2,0)," ")</f>
        <v>O230117</v>
      </c>
      <c r="Q1071" s="204" t="str">
        <f>IFERROR(VLOOKUP(C1071,TD!$B$33:$F$37,3,0)," ")</f>
        <v>4503</v>
      </c>
      <c r="R1071" s="204">
        <f>IFERROR(VLOOKUP(C1071,TD!$B$33:$F$37,4,0)," ")</f>
        <v>20240255</v>
      </c>
      <c r="S1071" s="51" t="s">
        <v>183</v>
      </c>
      <c r="T1071" s="186" t="str">
        <f>IFERROR(VLOOKUP(S1071,TD!$J$34:$K$44,2,0)," ")</f>
        <v>Servicio de formación en gestión del riesgo de incendios para el personal UAECOB</v>
      </c>
      <c r="U1071" s="187" t="str">
        <f>CONCATENATE(S1071,"-",T1071)</f>
        <v>07-Servicio de formación en gestión del riesgo de incendios para el personal UAECOB</v>
      </c>
      <c r="V1071" s="51" t="s">
        <v>233</v>
      </c>
      <c r="W1071" s="186" t="str">
        <f>IFERROR(VLOOKUP(V1071,TD!$N$34:$O$46,2,0)," ")</f>
        <v>Servicio de educación informal</v>
      </c>
      <c r="X1071" s="206" t="str">
        <f>CONCATENATE(V1071,"_",W1071)</f>
        <v>002_Servicio de educación informal</v>
      </c>
      <c r="Y1071" s="206" t="str">
        <f>CONCATENATE(U1071," ",X1071)</f>
        <v>07-Servicio de formación en gestión del riesgo de incendios para el personal UAECOB 002_Servicio de educación informal</v>
      </c>
      <c r="Z1071" s="204" t="str">
        <f>CONCATENATE(P1071,Q1071,R1071,S1071,V1071)</f>
        <v>O23011745032024025507002</v>
      </c>
      <c r="AA1071" s="204" t="str">
        <f>IFERROR(VLOOKUP(Y1071,TD!$K$47:$L$65,2,0)," ")</f>
        <v>PM/0131/0107/45030020255</v>
      </c>
      <c r="AB1071" s="131" t="s">
        <v>138</v>
      </c>
      <c r="AC1071" s="188" t="s">
        <v>204</v>
      </c>
    </row>
    <row r="1072" spans="2:29" ht="56" x14ac:dyDescent="0.35">
      <c r="B1072" s="132">
        <v>20251135</v>
      </c>
      <c r="C1072" s="50" t="s">
        <v>209</v>
      </c>
      <c r="D1072" s="184" t="s">
        <v>165</v>
      </c>
      <c r="E1072" s="51" t="s">
        <v>484</v>
      </c>
      <c r="F1072" s="202" t="s">
        <v>1307</v>
      </c>
      <c r="G1072" s="202" t="s">
        <v>155</v>
      </c>
      <c r="H1072" s="134">
        <v>80111600</v>
      </c>
      <c r="I1072" s="203">
        <v>11</v>
      </c>
      <c r="J1072" s="203">
        <v>2</v>
      </c>
      <c r="K1072" s="135">
        <v>0</v>
      </c>
      <c r="L1072" s="131">
        <v>16000000.000000002</v>
      </c>
      <c r="M1072" s="136" t="s">
        <v>464</v>
      </c>
      <c r="N1072" s="53" t="s">
        <v>113</v>
      </c>
      <c r="O1072" s="51" t="s">
        <v>229</v>
      </c>
      <c r="P1072" s="204" t="str">
        <f>IFERROR(VLOOKUP(C1072,TD!$B$33:$F$37,2,0)," ")</f>
        <v>O230117</v>
      </c>
      <c r="Q1072" s="204" t="str">
        <f>IFERROR(VLOOKUP(C1072,TD!$B$33:$F$37,3,0)," ")</f>
        <v>4503</v>
      </c>
      <c r="R1072" s="204">
        <f>IFERROR(VLOOKUP(C1072,TD!$B$33:$F$37,4,0)," ")</f>
        <v>20240255</v>
      </c>
      <c r="S1072" s="51" t="s">
        <v>183</v>
      </c>
      <c r="T1072" s="186" t="str">
        <f>IFERROR(VLOOKUP(S1072,TD!$J$34:$K$44,2,0)," ")</f>
        <v>Servicio de formación en gestión del riesgo de incendios para el personal UAECOB</v>
      </c>
      <c r="U1072" s="187" t="str">
        <f>CONCATENATE(S1072,"-",T1072)</f>
        <v>07-Servicio de formación en gestión del riesgo de incendios para el personal UAECOB</v>
      </c>
      <c r="V1072" s="51" t="s">
        <v>233</v>
      </c>
      <c r="W1072" s="186" t="str">
        <f>IFERROR(VLOOKUP(V1072,TD!$N$34:$O$46,2,0)," ")</f>
        <v>Servicio de educación informal</v>
      </c>
      <c r="X1072" s="206" t="str">
        <f>CONCATENATE(V1072,"_",W1072)</f>
        <v>002_Servicio de educación informal</v>
      </c>
      <c r="Y1072" s="206" t="str">
        <f>CONCATENATE(U1072," ",X1072)</f>
        <v>07-Servicio de formación en gestión del riesgo de incendios para el personal UAECOB 002_Servicio de educación informal</v>
      </c>
      <c r="Z1072" s="204" t="str">
        <f>CONCATENATE(P1072,Q1072,R1072,S1072,V1072)</f>
        <v>O23011745032024025507002</v>
      </c>
      <c r="AA1072" s="204" t="str">
        <f>IFERROR(VLOOKUP(Y1072,TD!$K$47:$L$65,2,0)," ")</f>
        <v>PM/0131/0107/45030020255</v>
      </c>
      <c r="AB1072" s="131" t="s">
        <v>138</v>
      </c>
      <c r="AC1072" s="188" t="s">
        <v>204</v>
      </c>
    </row>
    <row r="1073" spans="2:29" ht="56" x14ac:dyDescent="0.35">
      <c r="B1073" s="132">
        <v>20251136</v>
      </c>
      <c r="C1073" s="50" t="s">
        <v>209</v>
      </c>
      <c r="D1073" s="184" t="s">
        <v>165</v>
      </c>
      <c r="E1073" s="51" t="s">
        <v>484</v>
      </c>
      <c r="F1073" s="202" t="s">
        <v>1308</v>
      </c>
      <c r="G1073" s="202" t="s">
        <v>155</v>
      </c>
      <c r="H1073" s="134">
        <v>80111600</v>
      </c>
      <c r="I1073" s="203">
        <v>11</v>
      </c>
      <c r="J1073" s="203">
        <v>1.5</v>
      </c>
      <c r="K1073" s="135">
        <v>0</v>
      </c>
      <c r="L1073" s="131">
        <v>10966667</v>
      </c>
      <c r="M1073" s="136" t="s">
        <v>464</v>
      </c>
      <c r="N1073" s="53" t="s">
        <v>113</v>
      </c>
      <c r="O1073" s="51" t="s">
        <v>229</v>
      </c>
      <c r="P1073" s="204" t="str">
        <f>IFERROR(VLOOKUP(C1073,TD!$B$33:$F$37,2,0)," ")</f>
        <v>O230117</v>
      </c>
      <c r="Q1073" s="204" t="str">
        <f>IFERROR(VLOOKUP(C1073,TD!$B$33:$F$37,3,0)," ")</f>
        <v>4503</v>
      </c>
      <c r="R1073" s="204">
        <f>IFERROR(VLOOKUP(C1073,TD!$B$33:$F$37,4,0)," ")</f>
        <v>20240255</v>
      </c>
      <c r="S1073" s="51" t="s">
        <v>183</v>
      </c>
      <c r="T1073" s="186" t="str">
        <f>IFERROR(VLOOKUP(S1073,TD!$J$34:$K$44,2,0)," ")</f>
        <v>Servicio de formación en gestión del riesgo de incendios para el personal UAECOB</v>
      </c>
      <c r="U1073" s="187" t="str">
        <f>CONCATENATE(S1073,"-",T1073)</f>
        <v>07-Servicio de formación en gestión del riesgo de incendios para el personal UAECOB</v>
      </c>
      <c r="V1073" s="51" t="s">
        <v>233</v>
      </c>
      <c r="W1073" s="186" t="str">
        <f>IFERROR(VLOOKUP(V1073,TD!$N$34:$O$46,2,0)," ")</f>
        <v>Servicio de educación informal</v>
      </c>
      <c r="X1073" s="206" t="str">
        <f>CONCATENATE(V1073,"_",W1073)</f>
        <v>002_Servicio de educación informal</v>
      </c>
      <c r="Y1073" s="206" t="str">
        <f>CONCATENATE(U1073," ",X1073)</f>
        <v>07-Servicio de formación en gestión del riesgo de incendios para el personal UAECOB 002_Servicio de educación informal</v>
      </c>
      <c r="Z1073" s="204" t="str">
        <f>CONCATENATE(P1073,Q1073,R1073,S1073,V1073)</f>
        <v>O23011745032024025507002</v>
      </c>
      <c r="AA1073" s="204" t="str">
        <f>IFERROR(VLOOKUP(Y1073,TD!$K$47:$L$65,2,0)," ")</f>
        <v>PM/0131/0107/45030020255</v>
      </c>
      <c r="AB1073" s="131" t="s">
        <v>138</v>
      </c>
      <c r="AC1073" s="188" t="s">
        <v>204</v>
      </c>
    </row>
    <row r="1074" spans="2:29" ht="56" x14ac:dyDescent="0.35">
      <c r="B1074" s="137">
        <v>20251137</v>
      </c>
      <c r="C1074" s="129" t="s">
        <v>208</v>
      </c>
      <c r="D1074" s="189" t="s">
        <v>162</v>
      </c>
      <c r="E1074" s="190" t="s">
        <v>355</v>
      </c>
      <c r="F1074" s="208" t="s">
        <v>1310</v>
      </c>
      <c r="G1074" s="208" t="s">
        <v>155</v>
      </c>
      <c r="H1074" s="139">
        <v>80111600</v>
      </c>
      <c r="I1074" s="210">
        <v>10</v>
      </c>
      <c r="J1074" s="210">
        <v>3</v>
      </c>
      <c r="K1074" s="140">
        <v>0</v>
      </c>
      <c r="L1074" s="141">
        <v>9000000</v>
      </c>
      <c r="M1074" s="189" t="s">
        <v>464</v>
      </c>
      <c r="N1074" s="125" t="s">
        <v>113</v>
      </c>
      <c r="O1074" s="190" t="s">
        <v>217</v>
      </c>
      <c r="P1074" s="211" t="s">
        <v>198</v>
      </c>
      <c r="Q1074" s="211" t="s">
        <v>200</v>
      </c>
      <c r="R1074" s="211">
        <v>20240207</v>
      </c>
      <c r="S1074" s="190" t="s">
        <v>179</v>
      </c>
      <c r="T1074" s="192" t="str">
        <f>IFERROR(VLOOKUP(S1074,TD!$J$34:$K$44,2,0)," ")</f>
        <v>Infraestructura Tecnológica   (Sistemas de Información y Tecnologia)</v>
      </c>
      <c r="U1074" s="187" t="str">
        <f>CONCATENATE(S1074,"-",T1074)</f>
        <v>11-Infraestructura Tecnológica   (Sistemas de Información y Tecnologia)</v>
      </c>
      <c r="V1074" s="190" t="s">
        <v>239</v>
      </c>
      <c r="W1074" s="192" t="str">
        <f>IFERROR(VLOOKUP(V1074,TD!$N$34:$O$46,2,0)," ")</f>
        <v>Servicios tecnológicos</v>
      </c>
      <c r="X1074" s="206" t="str">
        <f>CONCATENATE(V1074,"_",W1074)</f>
        <v>007_Servicios tecnológicos</v>
      </c>
      <c r="Y1074" s="206" t="str">
        <f>CONCATENATE(U1074," ",X1074)</f>
        <v>11-Infraestructura Tecnológica   (Sistemas de Información y Tecnologia) 007_Servicios tecnológicos</v>
      </c>
      <c r="Z1074" s="211" t="str">
        <f>CONCATENATE(P1074,Q1074,R1074,S1074,V1074)</f>
        <v>O23011745992024020711007</v>
      </c>
      <c r="AA1074" s="211" t="str">
        <f>IFERROR(VLOOKUP(Y1074,TD!$K$47:$L$65,2,0)," ")</f>
        <v>PM/0131/0111/45990070207</v>
      </c>
      <c r="AB1074" s="141" t="s">
        <v>138</v>
      </c>
      <c r="AC1074" s="193" t="s">
        <v>204</v>
      </c>
    </row>
    <row r="1075" spans="2:29" ht="56" x14ac:dyDescent="0.35">
      <c r="B1075" s="137">
        <v>20251138</v>
      </c>
      <c r="C1075" s="129" t="s">
        <v>346</v>
      </c>
      <c r="D1075" s="189" t="s">
        <v>162</v>
      </c>
      <c r="E1075" s="190" t="s">
        <v>355</v>
      </c>
      <c r="F1075" s="208" t="s">
        <v>1311</v>
      </c>
      <c r="G1075" s="208" t="s">
        <v>149</v>
      </c>
      <c r="H1075" s="139" t="s">
        <v>1312</v>
      </c>
      <c r="I1075" s="210">
        <v>10</v>
      </c>
      <c r="J1075" s="210">
        <v>12</v>
      </c>
      <c r="K1075" s="140">
        <v>0</v>
      </c>
      <c r="L1075" s="141">
        <v>31174511</v>
      </c>
      <c r="M1075" s="189" t="s">
        <v>172</v>
      </c>
      <c r="N1075" s="125" t="s">
        <v>113</v>
      </c>
      <c r="O1075" s="190" t="s">
        <v>347</v>
      </c>
      <c r="P1075" s="211" t="str">
        <f>IFERROR(VLOOKUP(C1075,TD!$B$33:$F$37,2,0)," ")</f>
        <v>NA</v>
      </c>
      <c r="Q1075" s="211" t="str">
        <f>IFERROR(VLOOKUP(C1075,TD!$B$33:$F$37,3,0)," ")</f>
        <v>NA</v>
      </c>
      <c r="R1075" s="211" t="str">
        <f>IFERROR(VLOOKUP(C1075,TD!$B$33:$F$37,4,0)," ")</f>
        <v>NA</v>
      </c>
      <c r="S1075" s="190" t="s">
        <v>406</v>
      </c>
      <c r="T1075" s="192" t="str">
        <f>IFERROR(VLOOKUP(S1075,TD!$J$34:$K$44,2,0)," ")</f>
        <v>N/A</v>
      </c>
      <c r="U1075" s="187" t="str">
        <f>CONCATENATE(S1075,"-",T1075)</f>
        <v>N/A-N/A</v>
      </c>
      <c r="V1075" s="190" t="s">
        <v>406</v>
      </c>
      <c r="W1075" s="192" t="str">
        <f>IFERROR(VLOOKUP(V1075,TD!$N$34:$O$46,2,0)," ")</f>
        <v>N/A</v>
      </c>
      <c r="X1075" s="206" t="str">
        <f>CONCATENATE(V1075,"_",W1075)</f>
        <v>N/A_N/A</v>
      </c>
      <c r="Y1075" s="206" t="str">
        <f>CONCATENATE(U1075," ",X1075)</f>
        <v>N/A-N/A N/A_N/A</v>
      </c>
      <c r="Z1075" s="211" t="str">
        <f>CONCATENATE(P1075,Q1075,R1075,S1075,V1075)</f>
        <v>NANANAN/AN/A</v>
      </c>
      <c r="AA1075" s="211" t="str">
        <f>IFERROR(VLOOKUP(Y1075,TD!$K$47:$L$65,2,0)," ")</f>
        <v>N/A</v>
      </c>
      <c r="AB1075" s="141" t="s">
        <v>444</v>
      </c>
      <c r="AC1075" s="193" t="s">
        <v>204</v>
      </c>
    </row>
    <row r="1076" spans="2:29" ht="84" x14ac:dyDescent="0.35">
      <c r="B1076" s="323">
        <v>20251141</v>
      </c>
      <c r="C1076" s="50" t="s">
        <v>208</v>
      </c>
      <c r="D1076" s="244" t="s">
        <v>166</v>
      </c>
      <c r="E1076" s="51" t="s">
        <v>558</v>
      </c>
      <c r="F1076" s="202" t="s">
        <v>1316</v>
      </c>
      <c r="G1076" s="331" t="s">
        <v>155</v>
      </c>
      <c r="H1076" s="338" t="s">
        <v>609</v>
      </c>
      <c r="I1076" s="341">
        <v>10</v>
      </c>
      <c r="J1076" s="341">
        <v>3</v>
      </c>
      <c r="K1076" s="344">
        <v>0</v>
      </c>
      <c r="L1076" s="347">
        <v>21000000</v>
      </c>
      <c r="M1076" s="244" t="s">
        <v>464</v>
      </c>
      <c r="N1076" s="245" t="s">
        <v>113</v>
      </c>
      <c r="O1076" s="51" t="s">
        <v>218</v>
      </c>
      <c r="P1076" s="357" t="str">
        <f>IFERROR(VLOOKUP(C1076,TD!$B$33:$F$37,2,0)," ")</f>
        <v>O230117</v>
      </c>
      <c r="Q1076" s="357" t="str">
        <f>IFERROR(VLOOKUP(C1076,TD!$B$33:$F$37,3,0)," ")</f>
        <v>4599</v>
      </c>
      <c r="R1076" s="357">
        <f>IFERROR(VLOOKUP(C1076,TD!$B$33:$F$37,4,0)," ")</f>
        <v>20240207</v>
      </c>
      <c r="S1076" s="190" t="s">
        <v>185</v>
      </c>
      <c r="T1076" s="192" t="str">
        <f>IFERROR(VLOOKUP(S1076,TD!$J$34:$K$44,2,0)," ")</f>
        <v>Infraestructura física, mantenimiento y dotación (Sedes construidas, mantenidas reforzadas)</v>
      </c>
      <c r="U1076" s="187" t="str">
        <f>CONCATENATE(S1076,"-",T1076)</f>
        <v>08-Infraestructura física, mantenimiento y dotación (Sedes construidas, mantenidas reforzadas)</v>
      </c>
      <c r="V1076" s="190" t="s">
        <v>238</v>
      </c>
      <c r="W1076" s="192" t="str">
        <f>IFERROR(VLOOKUP(V1076,TD!$N$34:$O$46,2,0)," ")</f>
        <v>Sedes mantenidas</v>
      </c>
      <c r="X1076" s="206" t="str">
        <f>CONCATENATE(V1076,"_",W1076)</f>
        <v>016_Sedes mantenidas</v>
      </c>
      <c r="Y1076" s="206" t="str">
        <f>CONCATENATE(U1076," ",X1076)</f>
        <v>08-Infraestructura física, mantenimiento y dotación (Sedes construidas, mantenidas reforzadas) 016_Sedes mantenidas</v>
      </c>
      <c r="Z1076" s="357" t="str">
        <f>CONCATENATE(P1076,Q1076,R1076,S1076,V1076)</f>
        <v>O23011745992024020708016</v>
      </c>
      <c r="AA1076" s="357" t="str">
        <f>IFERROR(VLOOKUP(Y1076,TD!$K$47:$L$65,2,0)," ")</f>
        <v>PM/0131/0108/45990160207</v>
      </c>
      <c r="AB1076" s="347" t="s">
        <v>138</v>
      </c>
      <c r="AC1076" s="247" t="s">
        <v>204</v>
      </c>
    </row>
    <row r="1077" spans="2:29" ht="84" x14ac:dyDescent="0.35">
      <c r="B1077" s="132">
        <v>20251142</v>
      </c>
      <c r="C1077" s="243" t="s">
        <v>208</v>
      </c>
      <c r="D1077" s="244" t="s">
        <v>166</v>
      </c>
      <c r="E1077" s="51" t="s">
        <v>558</v>
      </c>
      <c r="F1077" s="202" t="s">
        <v>1317</v>
      </c>
      <c r="G1077" s="202" t="s">
        <v>155</v>
      </c>
      <c r="H1077" s="134" t="s">
        <v>609</v>
      </c>
      <c r="I1077" s="203">
        <v>10</v>
      </c>
      <c r="J1077" s="203">
        <v>3</v>
      </c>
      <c r="K1077" s="135">
        <v>0</v>
      </c>
      <c r="L1077" s="131">
        <v>21000000</v>
      </c>
      <c r="M1077" s="244" t="s">
        <v>464</v>
      </c>
      <c r="N1077" s="245" t="s">
        <v>113</v>
      </c>
      <c r="O1077" s="246" t="s">
        <v>218</v>
      </c>
      <c r="P1077" s="204" t="str">
        <f>IFERROR(VLOOKUP(C1077,TD!$B$33:$F$37,2,0)," ")</f>
        <v>O230117</v>
      </c>
      <c r="Q1077" s="204" t="str">
        <f>IFERROR(VLOOKUP(C1077,TD!$B$33:$F$37,3,0)," ")</f>
        <v>4599</v>
      </c>
      <c r="R1077" s="204">
        <f>IFERROR(VLOOKUP(C1077,TD!$B$33:$F$37,4,0)," ")</f>
        <v>20240207</v>
      </c>
      <c r="S1077" s="190" t="s">
        <v>185</v>
      </c>
      <c r="T1077" s="192" t="str">
        <f>IFERROR(VLOOKUP(S1077,TD!$J$34:$K$44,2,0)," ")</f>
        <v>Infraestructura física, mantenimiento y dotación (Sedes construidas, mantenidas reforzadas)</v>
      </c>
      <c r="U1077" s="187" t="str">
        <f>CONCATENATE(S1077,"-",T1077)</f>
        <v>08-Infraestructura física, mantenimiento y dotación (Sedes construidas, mantenidas reforzadas)</v>
      </c>
      <c r="V1077" s="190" t="s">
        <v>238</v>
      </c>
      <c r="W1077" s="192" t="str">
        <f>IFERROR(VLOOKUP(V1077,TD!$N$34:$O$46,2,0)," ")</f>
        <v>Sedes mantenidas</v>
      </c>
      <c r="X1077" s="206" t="str">
        <f>CONCATENATE(V1077,"_",W1077)</f>
        <v>016_Sedes mantenidas</v>
      </c>
      <c r="Y1077" s="206" t="str">
        <f>CONCATENATE(U1077," ",X1077)</f>
        <v>08-Infraestructura física, mantenimiento y dotación (Sedes construidas, mantenidas reforzadas) 016_Sedes mantenidas</v>
      </c>
      <c r="Z1077" s="204" t="str">
        <f>CONCATENATE(P1077,Q1077,R1077,S1077,V1077)</f>
        <v>O23011745992024020708016</v>
      </c>
      <c r="AA1077" s="204" t="str">
        <f>IFERROR(VLOOKUP(Y1077,TD!$K$47:$L$65,2,0)," ")</f>
        <v>PM/0131/0108/45990160207</v>
      </c>
      <c r="AB1077" s="347" t="s">
        <v>138</v>
      </c>
      <c r="AC1077" s="247" t="s">
        <v>204</v>
      </c>
    </row>
    <row r="1078" spans="2:29" ht="84" x14ac:dyDescent="0.35">
      <c r="B1078" s="132">
        <v>20251143</v>
      </c>
      <c r="C1078" s="243" t="s">
        <v>208</v>
      </c>
      <c r="D1078" s="244" t="s">
        <v>166</v>
      </c>
      <c r="E1078" s="51" t="s">
        <v>558</v>
      </c>
      <c r="F1078" s="202" t="s">
        <v>1318</v>
      </c>
      <c r="G1078" s="202" t="s">
        <v>155</v>
      </c>
      <c r="H1078" s="134" t="s">
        <v>609</v>
      </c>
      <c r="I1078" s="203">
        <v>10</v>
      </c>
      <c r="J1078" s="203">
        <v>3</v>
      </c>
      <c r="K1078" s="135">
        <v>0</v>
      </c>
      <c r="L1078" s="131">
        <v>21000000</v>
      </c>
      <c r="M1078" s="244" t="s">
        <v>464</v>
      </c>
      <c r="N1078" s="245" t="s">
        <v>113</v>
      </c>
      <c r="O1078" s="246" t="s">
        <v>219</v>
      </c>
      <c r="P1078" s="204" t="str">
        <f>IFERROR(VLOOKUP(C1078,TD!$B$33:$F$37,2,0)," ")</f>
        <v>O230117</v>
      </c>
      <c r="Q1078" s="204" t="str">
        <f>IFERROR(VLOOKUP(C1078,TD!$B$33:$F$37,3,0)," ")</f>
        <v>4599</v>
      </c>
      <c r="R1078" s="204">
        <f>IFERROR(VLOOKUP(C1078,TD!$B$33:$F$37,4,0)," ")</f>
        <v>20240207</v>
      </c>
      <c r="S1078" s="190" t="s">
        <v>185</v>
      </c>
      <c r="T1078" s="192" t="str">
        <f>IFERROR(VLOOKUP(S1078,TD!$J$34:$K$44,2,0)," ")</f>
        <v>Infraestructura física, mantenimiento y dotación (Sedes construidas, mantenidas reforzadas)</v>
      </c>
      <c r="U1078" s="187" t="str">
        <f>CONCATENATE(S1078,"-",T1078)</f>
        <v>08-Infraestructura física, mantenimiento y dotación (Sedes construidas, mantenidas reforzadas)</v>
      </c>
      <c r="V1078" s="190" t="s">
        <v>238</v>
      </c>
      <c r="W1078" s="192" t="str">
        <f>IFERROR(VLOOKUP(V1078,TD!$N$34:$O$46,2,0)," ")</f>
        <v>Sedes mantenidas</v>
      </c>
      <c r="X1078" s="206" t="str">
        <f>CONCATENATE(V1078,"_",W1078)</f>
        <v>016_Sedes mantenidas</v>
      </c>
      <c r="Y1078" s="206" t="str">
        <f>CONCATENATE(U1078," ",X1078)</f>
        <v>08-Infraestructura física, mantenimiento y dotación (Sedes construidas, mantenidas reforzadas) 016_Sedes mantenidas</v>
      </c>
      <c r="Z1078" s="204" t="str">
        <f>CONCATENATE(P1078,Q1078,R1078,S1078,V1078)</f>
        <v>O23011745992024020708016</v>
      </c>
      <c r="AA1078" s="204" t="str">
        <f>IFERROR(VLOOKUP(Y1078,TD!$K$47:$L$65,2,0)," ")</f>
        <v>PM/0131/0108/45990160207</v>
      </c>
      <c r="AB1078" s="347" t="s">
        <v>138</v>
      </c>
      <c r="AC1078" s="247" t="s">
        <v>204</v>
      </c>
    </row>
    <row r="1079" spans="2:29" ht="70" x14ac:dyDescent="0.35">
      <c r="B1079" s="132">
        <v>20251144</v>
      </c>
      <c r="C1079" s="243" t="s">
        <v>208</v>
      </c>
      <c r="D1079" s="244" t="s">
        <v>166</v>
      </c>
      <c r="E1079" s="51" t="s">
        <v>558</v>
      </c>
      <c r="F1079" s="202" t="s">
        <v>1319</v>
      </c>
      <c r="G1079" s="202" t="s">
        <v>146</v>
      </c>
      <c r="H1079" s="134" t="s">
        <v>1320</v>
      </c>
      <c r="I1079" s="203">
        <v>10</v>
      </c>
      <c r="J1079" s="203">
        <v>0</v>
      </c>
      <c r="K1079" s="135">
        <v>2</v>
      </c>
      <c r="L1079" s="131">
        <v>76470000</v>
      </c>
      <c r="M1079" s="244" t="s">
        <v>464</v>
      </c>
      <c r="N1079" s="53" t="s">
        <v>85</v>
      </c>
      <c r="O1079" s="246" t="s">
        <v>218</v>
      </c>
      <c r="P1079" s="204" t="str">
        <f>IFERROR(VLOOKUP(C1079,TD!$B$33:$F$37,2,0)," ")</f>
        <v>O230117</v>
      </c>
      <c r="Q1079" s="204" t="str">
        <f>IFERROR(VLOOKUP(C1079,TD!$B$33:$F$37,3,0)," ")</f>
        <v>4599</v>
      </c>
      <c r="R1079" s="204">
        <f>IFERROR(VLOOKUP(C1079,TD!$B$33:$F$37,4,0)," ")</f>
        <v>20240207</v>
      </c>
      <c r="S1079" s="190" t="s">
        <v>185</v>
      </c>
      <c r="T1079" s="192" t="str">
        <f>IFERROR(VLOOKUP(S1079,TD!$J$34:$K$44,2,0)," ")</f>
        <v>Infraestructura física, mantenimiento y dotación (Sedes construidas, mantenidas reforzadas)</v>
      </c>
      <c r="U1079" s="187" t="str">
        <f>CONCATENATE(S1079,"-",T1079)</f>
        <v>08-Infraestructura física, mantenimiento y dotación (Sedes construidas, mantenidas reforzadas)</v>
      </c>
      <c r="V1079" s="190" t="s">
        <v>238</v>
      </c>
      <c r="W1079" s="192" t="str">
        <f>IFERROR(VLOOKUP(V1079,TD!$N$34:$O$46,2,0)," ")</f>
        <v>Sedes mantenidas</v>
      </c>
      <c r="X1079" s="206" t="str">
        <f>CONCATENATE(V1079,"_",W1079)</f>
        <v>016_Sedes mantenidas</v>
      </c>
      <c r="Y1079" s="206" t="str">
        <f>CONCATENATE(U1079," ",X1079)</f>
        <v>08-Infraestructura física, mantenimiento y dotación (Sedes construidas, mantenidas reforzadas) 016_Sedes mantenidas</v>
      </c>
      <c r="Z1079" s="204" t="str">
        <f>CONCATENATE(P1079,Q1079,R1079,S1079,V1079)</f>
        <v>O23011745992024020708016</v>
      </c>
      <c r="AA1079" s="204" t="str">
        <f>IFERROR(VLOOKUP(Y1079,TD!$K$47:$L$65,2,0)," ")</f>
        <v>PM/0131/0108/45990160207</v>
      </c>
      <c r="AB1079" s="131" t="s">
        <v>102</v>
      </c>
      <c r="AC1079" s="188" t="s">
        <v>205</v>
      </c>
    </row>
    <row r="1080" spans="2:29" ht="56" x14ac:dyDescent="0.35">
      <c r="B1080" s="132">
        <v>20251145</v>
      </c>
      <c r="C1080" s="243" t="s">
        <v>208</v>
      </c>
      <c r="D1080" s="244" t="s">
        <v>166</v>
      </c>
      <c r="E1080" s="51" t="s">
        <v>558</v>
      </c>
      <c r="F1080" s="202" t="s">
        <v>1321</v>
      </c>
      <c r="G1080" s="202" t="s">
        <v>140</v>
      </c>
      <c r="H1080" s="134" t="s">
        <v>1322</v>
      </c>
      <c r="I1080" s="203">
        <v>10</v>
      </c>
      <c r="J1080" s="203">
        <v>0</v>
      </c>
      <c r="K1080" s="135">
        <v>2</v>
      </c>
      <c r="L1080" s="131">
        <v>23530000</v>
      </c>
      <c r="M1080" s="244" t="s">
        <v>464</v>
      </c>
      <c r="N1080" s="53" t="s">
        <v>108</v>
      </c>
      <c r="O1080" s="246" t="s">
        <v>218</v>
      </c>
      <c r="P1080" s="204" t="str">
        <f>IFERROR(VLOOKUP(C1080,TD!$B$33:$F$37,2,0)," ")</f>
        <v>O230117</v>
      </c>
      <c r="Q1080" s="204" t="str">
        <f>IFERROR(VLOOKUP(C1080,TD!$B$33:$F$37,3,0)," ")</f>
        <v>4599</v>
      </c>
      <c r="R1080" s="204">
        <f>IFERROR(VLOOKUP(C1080,TD!$B$33:$F$37,4,0)," ")</f>
        <v>20240207</v>
      </c>
      <c r="S1080" s="190" t="s">
        <v>185</v>
      </c>
      <c r="T1080" s="192" t="str">
        <f>IFERROR(VLOOKUP(S1080,TD!$J$34:$K$44,2,0)," ")</f>
        <v>Infraestructura física, mantenimiento y dotación (Sedes construidas, mantenidas reforzadas)</v>
      </c>
      <c r="U1080" s="187" t="str">
        <f>CONCATENATE(S1080,"-",T1080)</f>
        <v>08-Infraestructura física, mantenimiento y dotación (Sedes construidas, mantenidas reforzadas)</v>
      </c>
      <c r="V1080" s="190" t="s">
        <v>238</v>
      </c>
      <c r="W1080" s="192" t="str">
        <f>IFERROR(VLOOKUP(V1080,TD!$N$34:$O$46,2,0)," ")</f>
        <v>Sedes mantenidas</v>
      </c>
      <c r="X1080" s="206" t="str">
        <f>CONCATENATE(V1080,"_",W1080)</f>
        <v>016_Sedes mantenidas</v>
      </c>
      <c r="Y1080" s="206" t="str">
        <f>CONCATENATE(U1080," ",X1080)</f>
        <v>08-Infraestructura física, mantenimiento y dotación (Sedes construidas, mantenidas reforzadas) 016_Sedes mantenidas</v>
      </c>
      <c r="Z1080" s="204" t="str">
        <f>CONCATENATE(P1080,Q1080,R1080,S1080,V1080)</f>
        <v>O23011745992024020708016</v>
      </c>
      <c r="AA1080" s="204" t="str">
        <f>IFERROR(VLOOKUP(Y1080,TD!$K$47:$L$65,2,0)," ")</f>
        <v>PM/0131/0108/45990160207</v>
      </c>
      <c r="AB1080" s="131" t="s">
        <v>102</v>
      </c>
      <c r="AC1080" s="188" t="s">
        <v>205</v>
      </c>
    </row>
    <row r="1081" spans="2:29" ht="84" x14ac:dyDescent="0.35">
      <c r="B1081" s="132">
        <v>20251146</v>
      </c>
      <c r="C1081" s="133" t="s">
        <v>346</v>
      </c>
      <c r="D1081" s="331" t="s">
        <v>166</v>
      </c>
      <c r="E1081" s="205" t="s">
        <v>558</v>
      </c>
      <c r="F1081" s="202" t="s">
        <v>1323</v>
      </c>
      <c r="G1081" s="202" t="s">
        <v>108</v>
      </c>
      <c r="H1081" s="134">
        <v>84131500</v>
      </c>
      <c r="I1081" s="203">
        <v>11</v>
      </c>
      <c r="J1081" s="203">
        <v>12</v>
      </c>
      <c r="K1081" s="135" t="s">
        <v>304</v>
      </c>
      <c r="L1081" s="131" t="s">
        <v>1324</v>
      </c>
      <c r="M1081" s="142" t="s">
        <v>406</v>
      </c>
      <c r="N1081" s="131" t="s">
        <v>108</v>
      </c>
      <c r="O1081" s="246" t="s">
        <v>347</v>
      </c>
      <c r="P1081" s="204" t="str">
        <f>IFERROR(VLOOKUP(C1081,TD!$B$33:$F$37,2,0)," ")</f>
        <v>NA</v>
      </c>
      <c r="Q1081" s="204" t="str">
        <f>IFERROR(VLOOKUP(C1081,TD!$B$33:$F$37,3,0)," ")</f>
        <v>NA</v>
      </c>
      <c r="R1081" s="204" t="str">
        <f>IFERROR(VLOOKUP(C1081,TD!$B$33:$F$37,4,0)," ")</f>
        <v>NA</v>
      </c>
      <c r="S1081" s="190" t="s">
        <v>406</v>
      </c>
      <c r="T1081" s="192" t="str">
        <f>IFERROR(VLOOKUP(S1081,TD!$J$34:$K$44,2,0)," ")</f>
        <v>N/A</v>
      </c>
      <c r="U1081" s="187" t="str">
        <f>CONCATENATE(S1081,"-",T1081)</f>
        <v>N/A-N/A</v>
      </c>
      <c r="V1081" s="190" t="s">
        <v>406</v>
      </c>
      <c r="W1081" s="192" t="str">
        <f>IFERROR(VLOOKUP(V1081,TD!$N$34:$O$46,2,0)," ")</f>
        <v>N/A</v>
      </c>
      <c r="X1081" s="206" t="str">
        <f>CONCATENATE(V1081,"_",W1081)</f>
        <v>N/A_N/A</v>
      </c>
      <c r="Y1081" s="206" t="str">
        <f>CONCATENATE(U1081," ",X1081)</f>
        <v>N/A-N/A N/A_N/A</v>
      </c>
      <c r="Z1081" s="204" t="str">
        <f>CONCATENATE(P1081,Q1081,R1081,S1081,V1081)</f>
        <v>NANANAN/AN/A</v>
      </c>
      <c r="AA1081" s="204" t="str">
        <f>IFERROR(VLOOKUP(Y1081,TD!$K$47:$L$65,2,0)," ")</f>
        <v>N/A</v>
      </c>
      <c r="AB1081" s="131" t="s">
        <v>348</v>
      </c>
      <c r="AC1081" s="207" t="s">
        <v>204</v>
      </c>
    </row>
    <row r="1082" spans="2:29" ht="70" x14ac:dyDescent="0.35">
      <c r="B1082" s="132">
        <v>20251147</v>
      </c>
      <c r="C1082" s="133" t="s">
        <v>208</v>
      </c>
      <c r="D1082" s="202" t="s">
        <v>164</v>
      </c>
      <c r="E1082" s="205" t="s">
        <v>389</v>
      </c>
      <c r="F1082" s="202" t="s">
        <v>1329</v>
      </c>
      <c r="G1082" s="202" t="s">
        <v>155</v>
      </c>
      <c r="H1082" s="134">
        <v>80111600</v>
      </c>
      <c r="I1082" s="203">
        <v>8</v>
      </c>
      <c r="J1082" s="203">
        <v>3</v>
      </c>
      <c r="K1082" s="135">
        <v>0</v>
      </c>
      <c r="L1082" s="131">
        <v>7125000</v>
      </c>
      <c r="M1082" s="142" t="s">
        <v>464</v>
      </c>
      <c r="N1082" s="131" t="s">
        <v>113</v>
      </c>
      <c r="O1082" s="51" t="s">
        <v>219</v>
      </c>
      <c r="P1082" s="204" t="str">
        <f>IFERROR(VLOOKUP(C1082,TD!$B$33:$F$37,2,0)," ")</f>
        <v>O230117</v>
      </c>
      <c r="Q1082" s="204" t="str">
        <f>IFERROR(VLOOKUP(C1082,TD!$B$33:$F$37,3,0)," ")</f>
        <v>4599</v>
      </c>
      <c r="R1082" s="204">
        <f>IFERROR(VLOOKUP(C1082,TD!$B$33:$F$37,4,0)," ")</f>
        <v>20240207</v>
      </c>
      <c r="S1082" s="190" t="s">
        <v>185</v>
      </c>
      <c r="T1082" s="192" t="str">
        <f>IFERROR(VLOOKUP(S1082,TD!$J$34:$K$44,2,0)," ")</f>
        <v>Infraestructura física, mantenimiento y dotación (Sedes construidas, mantenidas reforzadas)</v>
      </c>
      <c r="U1082" s="187" t="str">
        <f>CONCATENATE(S1082,"-",T1082)</f>
        <v>08-Infraestructura física, mantenimiento y dotación (Sedes construidas, mantenidas reforzadas)</v>
      </c>
      <c r="V1082" s="190" t="s">
        <v>238</v>
      </c>
      <c r="W1082" s="192" t="str">
        <f>IFERROR(VLOOKUP(V1082,TD!$N$34:$O$46,2,0)," ")</f>
        <v>Sedes mantenidas</v>
      </c>
      <c r="X1082" s="206" t="str">
        <f>CONCATENATE(V1082,"_",W1082)</f>
        <v>016_Sedes mantenidas</v>
      </c>
      <c r="Y1082" s="206" t="str">
        <f>CONCATENATE(U1082," ",X1082)</f>
        <v>08-Infraestructura física, mantenimiento y dotación (Sedes construidas, mantenidas reforzadas) 016_Sedes mantenidas</v>
      </c>
      <c r="Z1082" s="204" t="str">
        <f>CONCATENATE(P1082,Q1082,R1082,S1082,V1082)</f>
        <v>O23011745992024020708016</v>
      </c>
      <c r="AA1082" s="204" t="str">
        <f>IFERROR(VLOOKUP(Y1082,TD!$K$47:$L$65,2,0)," ")</f>
        <v>PM/0131/0108/45990160207</v>
      </c>
      <c r="AB1082" s="131" t="s">
        <v>138</v>
      </c>
      <c r="AC1082" s="207" t="s">
        <v>205</v>
      </c>
    </row>
    <row r="1083" spans="2:29" ht="98" x14ac:dyDescent="0.35">
      <c r="B1083" s="132">
        <v>20251148</v>
      </c>
      <c r="C1083" s="133" t="s">
        <v>208</v>
      </c>
      <c r="D1083" s="202" t="s">
        <v>164</v>
      </c>
      <c r="E1083" s="205" t="s">
        <v>389</v>
      </c>
      <c r="F1083" s="202" t="s">
        <v>1330</v>
      </c>
      <c r="G1083" s="202" t="s">
        <v>155</v>
      </c>
      <c r="H1083" s="134">
        <v>80111600</v>
      </c>
      <c r="I1083" s="203">
        <v>8</v>
      </c>
      <c r="J1083" s="203">
        <v>3</v>
      </c>
      <c r="K1083" s="135">
        <v>0</v>
      </c>
      <c r="L1083" s="131">
        <v>8350000</v>
      </c>
      <c r="M1083" s="142" t="s">
        <v>464</v>
      </c>
      <c r="N1083" s="131" t="s">
        <v>113</v>
      </c>
      <c r="O1083" s="51" t="s">
        <v>219</v>
      </c>
      <c r="P1083" s="204" t="str">
        <f>IFERROR(VLOOKUP(C1083,TD!$B$33:$F$37,2,0)," ")</f>
        <v>O230117</v>
      </c>
      <c r="Q1083" s="204" t="str">
        <f>IFERROR(VLOOKUP(C1083,TD!$B$33:$F$37,3,0)," ")</f>
        <v>4599</v>
      </c>
      <c r="R1083" s="204">
        <f>IFERROR(VLOOKUP(C1083,TD!$B$33:$F$37,4,0)," ")</f>
        <v>20240207</v>
      </c>
      <c r="S1083" s="190" t="s">
        <v>185</v>
      </c>
      <c r="T1083" s="192" t="str">
        <f>IFERROR(VLOOKUP(S1083,TD!$J$34:$K$44,2,0)," ")</f>
        <v>Infraestructura física, mantenimiento y dotación (Sedes construidas, mantenidas reforzadas)</v>
      </c>
      <c r="U1083" s="187" t="str">
        <f>CONCATENATE(S1083,"-",T1083)</f>
        <v>08-Infraestructura física, mantenimiento y dotación (Sedes construidas, mantenidas reforzadas)</v>
      </c>
      <c r="V1083" s="190" t="s">
        <v>238</v>
      </c>
      <c r="W1083" s="192" t="str">
        <f>IFERROR(VLOOKUP(V1083,TD!$N$34:$O$46,2,0)," ")</f>
        <v>Sedes mantenidas</v>
      </c>
      <c r="X1083" s="206" t="str">
        <f>CONCATENATE(V1083,"_",W1083)</f>
        <v>016_Sedes mantenidas</v>
      </c>
      <c r="Y1083" s="206" t="str">
        <f>CONCATENATE(U1083," ",X1083)</f>
        <v>08-Infraestructura física, mantenimiento y dotación (Sedes construidas, mantenidas reforzadas) 016_Sedes mantenidas</v>
      </c>
      <c r="Z1083" s="204" t="str">
        <f>CONCATENATE(P1083,Q1083,R1083,S1083,V1083)</f>
        <v>O23011745992024020708016</v>
      </c>
      <c r="AA1083" s="204" t="str">
        <f>IFERROR(VLOOKUP(Y1083,TD!$K$47:$L$65,2,0)," ")</f>
        <v>PM/0131/0108/45990160207</v>
      </c>
      <c r="AB1083" s="131" t="s">
        <v>138</v>
      </c>
      <c r="AC1083" s="207" t="s">
        <v>205</v>
      </c>
    </row>
    <row r="1084" spans="2:29" ht="56" x14ac:dyDescent="0.35">
      <c r="B1084" s="132">
        <v>20251149</v>
      </c>
      <c r="C1084" s="133" t="s">
        <v>208</v>
      </c>
      <c r="D1084" s="202" t="s">
        <v>164</v>
      </c>
      <c r="E1084" s="51" t="s">
        <v>389</v>
      </c>
      <c r="F1084" s="202" t="s">
        <v>1331</v>
      </c>
      <c r="G1084" s="202" t="s">
        <v>155</v>
      </c>
      <c r="H1084" s="134">
        <v>80111600</v>
      </c>
      <c r="I1084" s="203">
        <v>8</v>
      </c>
      <c r="J1084" s="203">
        <v>3</v>
      </c>
      <c r="K1084" s="135">
        <v>0</v>
      </c>
      <c r="L1084" s="131">
        <v>9750000</v>
      </c>
      <c r="M1084" s="142" t="s">
        <v>464</v>
      </c>
      <c r="N1084" s="131" t="s">
        <v>113</v>
      </c>
      <c r="O1084" s="205" t="s">
        <v>219</v>
      </c>
      <c r="P1084" s="204" t="str">
        <f>IFERROR(VLOOKUP(C1084,TD!$B$33:$F$37,2,0)," ")</f>
        <v>O230117</v>
      </c>
      <c r="Q1084" s="204" t="str">
        <f>IFERROR(VLOOKUP(C1084,TD!$B$33:$F$37,3,0)," ")</f>
        <v>4599</v>
      </c>
      <c r="R1084" s="204">
        <f>IFERROR(VLOOKUP(C1084,TD!$B$33:$F$37,4,0)," ")</f>
        <v>20240207</v>
      </c>
      <c r="S1084" s="190" t="s">
        <v>185</v>
      </c>
      <c r="T1084" s="192" t="str">
        <f>IFERROR(VLOOKUP(S1084,TD!$J$34:$K$44,2,0)," ")</f>
        <v>Infraestructura física, mantenimiento y dotación (Sedes construidas, mantenidas reforzadas)</v>
      </c>
      <c r="U1084" s="187" t="str">
        <f>CONCATENATE(S1084,"-",T1084)</f>
        <v>08-Infraestructura física, mantenimiento y dotación (Sedes construidas, mantenidas reforzadas)</v>
      </c>
      <c r="V1084" s="190" t="s">
        <v>238</v>
      </c>
      <c r="W1084" s="192" t="str">
        <f>IFERROR(VLOOKUP(V1084,TD!$N$34:$O$46,2,0)," ")</f>
        <v>Sedes mantenidas</v>
      </c>
      <c r="X1084" s="206" t="str">
        <f>CONCATENATE(V1084,"_",W1084)</f>
        <v>016_Sedes mantenidas</v>
      </c>
      <c r="Y1084" s="206" t="str">
        <f>CONCATENATE(U1084," ",X1084)</f>
        <v>08-Infraestructura física, mantenimiento y dotación (Sedes construidas, mantenidas reforzadas) 016_Sedes mantenidas</v>
      </c>
      <c r="Z1084" s="204" t="str">
        <f>CONCATENATE(P1084,Q1084,R1084,S1084,V1084)</f>
        <v>O23011745992024020708016</v>
      </c>
      <c r="AA1084" s="204" t="str">
        <f>IFERROR(VLOOKUP(Y1084,TD!$K$47:$L$65,2,0)," ")</f>
        <v>PM/0131/0108/45990160207</v>
      </c>
      <c r="AB1084" s="131" t="s">
        <v>120</v>
      </c>
      <c r="AC1084" s="207" t="s">
        <v>205</v>
      </c>
    </row>
    <row r="1085" spans="2:29" ht="56" x14ac:dyDescent="0.35">
      <c r="B1085" s="132">
        <v>20251150</v>
      </c>
      <c r="C1085" s="133" t="s">
        <v>208</v>
      </c>
      <c r="D1085" s="202" t="s">
        <v>164</v>
      </c>
      <c r="E1085" s="51" t="s">
        <v>389</v>
      </c>
      <c r="F1085" s="202" t="s">
        <v>1332</v>
      </c>
      <c r="G1085" s="202" t="s">
        <v>155</v>
      </c>
      <c r="H1085" s="134">
        <v>80111600</v>
      </c>
      <c r="I1085" s="203">
        <v>8</v>
      </c>
      <c r="J1085" s="203">
        <v>5</v>
      </c>
      <c r="K1085" s="135">
        <v>0</v>
      </c>
      <c r="L1085" s="131">
        <v>22000000</v>
      </c>
      <c r="M1085" s="142" t="s">
        <v>464</v>
      </c>
      <c r="N1085" s="131" t="s">
        <v>113</v>
      </c>
      <c r="O1085" s="205" t="s">
        <v>219</v>
      </c>
      <c r="P1085" s="204" t="str">
        <f>IFERROR(VLOOKUP(C1085,TD!$B$33:$F$37,2,0)," ")</f>
        <v>O230117</v>
      </c>
      <c r="Q1085" s="204" t="str">
        <f>IFERROR(VLOOKUP(C1085,TD!$B$33:$F$37,3,0)," ")</f>
        <v>4599</v>
      </c>
      <c r="R1085" s="204">
        <f>IFERROR(VLOOKUP(C1085,TD!$B$33:$F$37,4,0)," ")</f>
        <v>20240207</v>
      </c>
      <c r="S1085" s="190" t="s">
        <v>185</v>
      </c>
      <c r="T1085" s="192" t="str">
        <f>IFERROR(VLOOKUP(S1085,TD!$J$34:$K$44,2,0)," ")</f>
        <v>Infraestructura física, mantenimiento y dotación (Sedes construidas, mantenidas reforzadas)</v>
      </c>
      <c r="U1085" s="187" t="str">
        <f>CONCATENATE(S1085,"-",T1085)</f>
        <v>08-Infraestructura física, mantenimiento y dotación (Sedes construidas, mantenidas reforzadas)</v>
      </c>
      <c r="V1085" s="190" t="s">
        <v>238</v>
      </c>
      <c r="W1085" s="192" t="str">
        <f>IFERROR(VLOOKUP(V1085,TD!$N$34:$O$46,2,0)," ")</f>
        <v>Sedes mantenidas</v>
      </c>
      <c r="X1085" s="206" t="str">
        <f>CONCATENATE(V1085,"_",W1085)</f>
        <v>016_Sedes mantenidas</v>
      </c>
      <c r="Y1085" s="206" t="str">
        <f>CONCATENATE(U1085," ",X1085)</f>
        <v>08-Infraestructura física, mantenimiento y dotación (Sedes construidas, mantenidas reforzadas) 016_Sedes mantenidas</v>
      </c>
      <c r="Z1085" s="204" t="str">
        <f>CONCATENATE(P1085,Q1085,R1085,S1085,V1085)</f>
        <v>O23011745992024020708016</v>
      </c>
      <c r="AA1085" s="204" t="str">
        <f>IFERROR(VLOOKUP(Y1085,TD!$K$47:$L$65,2,0)," ")</f>
        <v>PM/0131/0108/45990160207</v>
      </c>
      <c r="AB1085" s="131" t="s">
        <v>120</v>
      </c>
      <c r="AC1085" s="207" t="s">
        <v>205</v>
      </c>
    </row>
    <row r="1086" spans="2:29" ht="56" x14ac:dyDescent="0.35">
      <c r="B1086" s="132">
        <v>20251151</v>
      </c>
      <c r="C1086" s="133" t="s">
        <v>208</v>
      </c>
      <c r="D1086" s="202" t="s">
        <v>164</v>
      </c>
      <c r="E1086" s="51" t="s">
        <v>389</v>
      </c>
      <c r="F1086" s="202" t="s">
        <v>1333</v>
      </c>
      <c r="G1086" s="202" t="s">
        <v>156</v>
      </c>
      <c r="H1086" s="134">
        <v>80111600</v>
      </c>
      <c r="I1086" s="203">
        <v>8</v>
      </c>
      <c r="J1086" s="203">
        <v>3</v>
      </c>
      <c r="K1086" s="135">
        <v>0</v>
      </c>
      <c r="L1086" s="131">
        <v>5100000</v>
      </c>
      <c r="M1086" s="142" t="s">
        <v>464</v>
      </c>
      <c r="N1086" s="131" t="s">
        <v>113</v>
      </c>
      <c r="O1086" s="205" t="s">
        <v>219</v>
      </c>
      <c r="P1086" s="204" t="str">
        <f>IFERROR(VLOOKUP(C1086,TD!$B$33:$F$37,2,0)," ")</f>
        <v>O230117</v>
      </c>
      <c r="Q1086" s="204" t="str">
        <f>IFERROR(VLOOKUP(C1086,TD!$B$33:$F$37,3,0)," ")</f>
        <v>4599</v>
      </c>
      <c r="R1086" s="204">
        <f>IFERROR(VLOOKUP(C1086,TD!$B$33:$F$37,4,0)," ")</f>
        <v>20240207</v>
      </c>
      <c r="S1086" s="190" t="s">
        <v>185</v>
      </c>
      <c r="T1086" s="192" t="str">
        <f>IFERROR(VLOOKUP(S1086,TD!$J$34:$K$44,2,0)," ")</f>
        <v>Infraestructura física, mantenimiento y dotación (Sedes construidas, mantenidas reforzadas)</v>
      </c>
      <c r="U1086" s="187" t="str">
        <f>CONCATENATE(S1086,"-",T1086)</f>
        <v>08-Infraestructura física, mantenimiento y dotación (Sedes construidas, mantenidas reforzadas)</v>
      </c>
      <c r="V1086" s="190" t="s">
        <v>238</v>
      </c>
      <c r="W1086" s="192" t="str">
        <f>IFERROR(VLOOKUP(V1086,TD!$N$34:$O$46,2,0)," ")</f>
        <v>Sedes mantenidas</v>
      </c>
      <c r="X1086" s="206" t="str">
        <f>CONCATENATE(V1086,"_",W1086)</f>
        <v>016_Sedes mantenidas</v>
      </c>
      <c r="Y1086" s="206" t="str">
        <f>CONCATENATE(U1086," ",X1086)</f>
        <v>08-Infraestructura física, mantenimiento y dotación (Sedes construidas, mantenidas reforzadas) 016_Sedes mantenidas</v>
      </c>
      <c r="Z1086" s="204" t="str">
        <f>CONCATENATE(P1086,Q1086,R1086,S1086,V1086)</f>
        <v>O23011745992024020708016</v>
      </c>
      <c r="AA1086" s="204" t="str">
        <f>IFERROR(VLOOKUP(Y1086,TD!$K$47:$L$65,2,0)," ")</f>
        <v>PM/0131/0108/45990160207</v>
      </c>
      <c r="AB1086" s="131" t="s">
        <v>138</v>
      </c>
      <c r="AC1086" s="207" t="s">
        <v>205</v>
      </c>
    </row>
    <row r="1087" spans="2:29" ht="56" x14ac:dyDescent="0.35">
      <c r="B1087" s="132">
        <v>20251152</v>
      </c>
      <c r="C1087" s="133" t="s">
        <v>208</v>
      </c>
      <c r="D1087" s="202" t="s">
        <v>164</v>
      </c>
      <c r="E1087" s="51" t="s">
        <v>389</v>
      </c>
      <c r="F1087" s="202" t="s">
        <v>1334</v>
      </c>
      <c r="G1087" s="202" t="s">
        <v>156</v>
      </c>
      <c r="H1087" s="134">
        <v>80111600</v>
      </c>
      <c r="I1087" s="203">
        <v>8</v>
      </c>
      <c r="J1087" s="203">
        <v>3</v>
      </c>
      <c r="K1087" s="135">
        <v>0</v>
      </c>
      <c r="L1087" s="131">
        <v>5100000</v>
      </c>
      <c r="M1087" s="142" t="s">
        <v>464</v>
      </c>
      <c r="N1087" s="131" t="s">
        <v>113</v>
      </c>
      <c r="O1087" s="205" t="s">
        <v>219</v>
      </c>
      <c r="P1087" s="204" t="str">
        <f>IFERROR(VLOOKUP(C1087,TD!$B$33:$F$37,2,0)," ")</f>
        <v>O230117</v>
      </c>
      <c r="Q1087" s="204" t="str">
        <f>IFERROR(VLOOKUP(C1087,TD!$B$33:$F$37,3,0)," ")</f>
        <v>4599</v>
      </c>
      <c r="R1087" s="204">
        <f>IFERROR(VLOOKUP(C1087,TD!$B$33:$F$37,4,0)," ")</f>
        <v>20240207</v>
      </c>
      <c r="S1087" s="190" t="s">
        <v>185</v>
      </c>
      <c r="T1087" s="192" t="str">
        <f>IFERROR(VLOOKUP(S1087,TD!$J$34:$K$44,2,0)," ")</f>
        <v>Infraestructura física, mantenimiento y dotación (Sedes construidas, mantenidas reforzadas)</v>
      </c>
      <c r="U1087" s="187" t="str">
        <f>CONCATENATE(S1087,"-",T1087)</f>
        <v>08-Infraestructura física, mantenimiento y dotación (Sedes construidas, mantenidas reforzadas)</v>
      </c>
      <c r="V1087" s="190" t="s">
        <v>238</v>
      </c>
      <c r="W1087" s="192" t="str">
        <f>IFERROR(VLOOKUP(V1087,TD!$N$34:$O$46,2,0)," ")</f>
        <v>Sedes mantenidas</v>
      </c>
      <c r="X1087" s="206" t="str">
        <f>CONCATENATE(V1087,"_",W1087)</f>
        <v>016_Sedes mantenidas</v>
      </c>
      <c r="Y1087" s="206" t="str">
        <f>CONCATENATE(U1087," ",X1087)</f>
        <v>08-Infraestructura física, mantenimiento y dotación (Sedes construidas, mantenidas reforzadas) 016_Sedes mantenidas</v>
      </c>
      <c r="Z1087" s="204" t="str">
        <f>CONCATENATE(P1087,Q1087,R1087,S1087,V1087)</f>
        <v>O23011745992024020708016</v>
      </c>
      <c r="AA1087" s="204" t="str">
        <f>IFERROR(VLOOKUP(Y1087,TD!$K$47:$L$65,2,0)," ")</f>
        <v>PM/0131/0108/45990160207</v>
      </c>
      <c r="AB1087" s="131" t="s">
        <v>138</v>
      </c>
      <c r="AC1087" s="207" t="s">
        <v>205</v>
      </c>
    </row>
    <row r="1088" spans="2:29" ht="70" x14ac:dyDescent="0.35">
      <c r="B1088" s="132">
        <v>20251153</v>
      </c>
      <c r="C1088" s="133" t="s">
        <v>208</v>
      </c>
      <c r="D1088" s="202" t="s">
        <v>164</v>
      </c>
      <c r="E1088" s="51" t="s">
        <v>389</v>
      </c>
      <c r="F1088" s="202" t="s">
        <v>1335</v>
      </c>
      <c r="G1088" s="202" t="s">
        <v>156</v>
      </c>
      <c r="H1088" s="134">
        <v>80111600</v>
      </c>
      <c r="I1088" s="203">
        <v>8</v>
      </c>
      <c r="J1088" s="203">
        <v>3</v>
      </c>
      <c r="K1088" s="135">
        <v>0</v>
      </c>
      <c r="L1088" s="131">
        <v>5100000</v>
      </c>
      <c r="M1088" s="142" t="s">
        <v>464</v>
      </c>
      <c r="N1088" s="131" t="s">
        <v>113</v>
      </c>
      <c r="O1088" s="205" t="s">
        <v>219</v>
      </c>
      <c r="P1088" s="204" t="str">
        <f>IFERROR(VLOOKUP(C1088,TD!$B$33:$F$37,2,0)," ")</f>
        <v>O230117</v>
      </c>
      <c r="Q1088" s="204" t="str">
        <f>IFERROR(VLOOKUP(C1088,TD!$B$33:$F$37,3,0)," ")</f>
        <v>4599</v>
      </c>
      <c r="R1088" s="204">
        <f>IFERROR(VLOOKUP(C1088,TD!$B$33:$F$37,4,0)," ")</f>
        <v>20240207</v>
      </c>
      <c r="S1088" s="190" t="s">
        <v>185</v>
      </c>
      <c r="T1088" s="192" t="str">
        <f>IFERROR(VLOOKUP(S1088,TD!$J$34:$K$44,2,0)," ")</f>
        <v>Infraestructura física, mantenimiento y dotación (Sedes construidas, mantenidas reforzadas)</v>
      </c>
      <c r="U1088" s="187" t="str">
        <f>CONCATENATE(S1088,"-",T1088)</f>
        <v>08-Infraestructura física, mantenimiento y dotación (Sedes construidas, mantenidas reforzadas)</v>
      </c>
      <c r="V1088" s="190" t="s">
        <v>238</v>
      </c>
      <c r="W1088" s="192" t="str">
        <f>IFERROR(VLOOKUP(V1088,TD!$N$34:$O$46,2,0)," ")</f>
        <v>Sedes mantenidas</v>
      </c>
      <c r="X1088" s="206" t="str">
        <f>CONCATENATE(V1088,"_",W1088)</f>
        <v>016_Sedes mantenidas</v>
      </c>
      <c r="Y1088" s="206" t="str">
        <f>CONCATENATE(U1088," ",X1088)</f>
        <v>08-Infraestructura física, mantenimiento y dotación (Sedes construidas, mantenidas reforzadas) 016_Sedes mantenidas</v>
      </c>
      <c r="Z1088" s="204" t="str">
        <f>CONCATENATE(P1088,Q1088,R1088,S1088,V1088)</f>
        <v>O23011745992024020708016</v>
      </c>
      <c r="AA1088" s="204" t="str">
        <f>IFERROR(VLOOKUP(Y1088,TD!$K$47:$L$65,2,0)," ")</f>
        <v>PM/0131/0108/45990160207</v>
      </c>
      <c r="AB1088" s="131" t="s">
        <v>138</v>
      </c>
      <c r="AC1088" s="207" t="s">
        <v>205</v>
      </c>
    </row>
    <row r="1089" spans="2:29" ht="56" x14ac:dyDescent="0.35">
      <c r="B1089" s="132">
        <v>20251154</v>
      </c>
      <c r="C1089" s="133" t="s">
        <v>208</v>
      </c>
      <c r="D1089" s="202" t="s">
        <v>164</v>
      </c>
      <c r="E1089" s="205" t="s">
        <v>389</v>
      </c>
      <c r="F1089" s="202" t="s">
        <v>1336</v>
      </c>
      <c r="G1089" s="202" t="s">
        <v>155</v>
      </c>
      <c r="H1089" s="134">
        <v>80111600</v>
      </c>
      <c r="I1089" s="203">
        <v>8</v>
      </c>
      <c r="J1089" s="203">
        <v>5</v>
      </c>
      <c r="K1089" s="135">
        <v>0</v>
      </c>
      <c r="L1089" s="131">
        <v>9750000</v>
      </c>
      <c r="M1089" s="142" t="s">
        <v>464</v>
      </c>
      <c r="N1089" s="131" t="s">
        <v>113</v>
      </c>
      <c r="O1089" s="205" t="s">
        <v>219</v>
      </c>
      <c r="P1089" s="204" t="str">
        <f>IFERROR(VLOOKUP(C1089,TD!$B$33:$F$37,2,0)," ")</f>
        <v>O230117</v>
      </c>
      <c r="Q1089" s="204" t="str">
        <f>IFERROR(VLOOKUP(C1089,TD!$B$33:$F$37,3,0)," ")</f>
        <v>4599</v>
      </c>
      <c r="R1089" s="204">
        <f>IFERROR(VLOOKUP(C1089,TD!$B$33:$F$37,4,0)," ")</f>
        <v>20240207</v>
      </c>
      <c r="S1089" s="190" t="s">
        <v>185</v>
      </c>
      <c r="T1089" s="192" t="str">
        <f>IFERROR(VLOOKUP(S1089,TD!$J$34:$K$44,2,0)," ")</f>
        <v>Infraestructura física, mantenimiento y dotación (Sedes construidas, mantenidas reforzadas)</v>
      </c>
      <c r="U1089" s="187" t="str">
        <f>CONCATENATE(S1089,"-",T1089)</f>
        <v>08-Infraestructura física, mantenimiento y dotación (Sedes construidas, mantenidas reforzadas)</v>
      </c>
      <c r="V1089" s="190" t="s">
        <v>238</v>
      </c>
      <c r="W1089" s="192" t="str">
        <f>IFERROR(VLOOKUP(V1089,TD!$N$34:$O$46,2,0)," ")</f>
        <v>Sedes mantenidas</v>
      </c>
      <c r="X1089" s="206" t="str">
        <f>CONCATENATE(V1089,"_",W1089)</f>
        <v>016_Sedes mantenidas</v>
      </c>
      <c r="Y1089" s="206" t="str">
        <f>CONCATENATE(U1089," ",X1089)</f>
        <v>08-Infraestructura física, mantenimiento y dotación (Sedes construidas, mantenidas reforzadas) 016_Sedes mantenidas</v>
      </c>
      <c r="Z1089" s="204" t="str">
        <f>CONCATENATE(P1089,Q1089,R1089,S1089,V1089)</f>
        <v>O23011745992024020708016</v>
      </c>
      <c r="AA1089" s="204" t="str">
        <f>IFERROR(VLOOKUP(Y1089,TD!$K$47:$L$65,2,0)," ")</f>
        <v>PM/0131/0108/45990160207</v>
      </c>
      <c r="AB1089" s="131" t="s">
        <v>120</v>
      </c>
      <c r="AC1089" s="207" t="s">
        <v>205</v>
      </c>
    </row>
    <row r="1090" spans="2:29" ht="112" x14ac:dyDescent="0.35">
      <c r="B1090" s="132">
        <v>20251155</v>
      </c>
      <c r="C1090" s="133" t="s">
        <v>208</v>
      </c>
      <c r="D1090" s="202" t="s">
        <v>164</v>
      </c>
      <c r="E1090" s="205" t="s">
        <v>389</v>
      </c>
      <c r="F1090" s="202" t="s">
        <v>1337</v>
      </c>
      <c r="G1090" s="202" t="s">
        <v>155</v>
      </c>
      <c r="H1090" s="134">
        <v>80111600</v>
      </c>
      <c r="I1090" s="203">
        <v>8</v>
      </c>
      <c r="J1090" s="203">
        <v>5</v>
      </c>
      <c r="K1090" s="135">
        <v>0</v>
      </c>
      <c r="L1090" s="131">
        <v>7500000</v>
      </c>
      <c r="M1090" s="142" t="s">
        <v>464</v>
      </c>
      <c r="N1090" s="131" t="s">
        <v>113</v>
      </c>
      <c r="O1090" s="205" t="s">
        <v>219</v>
      </c>
      <c r="P1090" s="204" t="str">
        <f>IFERROR(VLOOKUP(C1090,TD!$B$33:$F$37,2,0)," ")</f>
        <v>O230117</v>
      </c>
      <c r="Q1090" s="204" t="str">
        <f>IFERROR(VLOOKUP(C1090,TD!$B$33:$F$37,3,0)," ")</f>
        <v>4599</v>
      </c>
      <c r="R1090" s="204">
        <f>IFERROR(VLOOKUP(C1090,TD!$B$33:$F$37,4,0)," ")</f>
        <v>20240207</v>
      </c>
      <c r="S1090" s="190" t="s">
        <v>185</v>
      </c>
      <c r="T1090" s="192" t="str">
        <f>IFERROR(VLOOKUP(S1090,TD!$J$34:$K$44,2,0)," ")</f>
        <v>Infraestructura física, mantenimiento y dotación (Sedes construidas, mantenidas reforzadas)</v>
      </c>
      <c r="U1090" s="187" t="str">
        <f>CONCATENATE(S1090,"-",T1090)</f>
        <v>08-Infraestructura física, mantenimiento y dotación (Sedes construidas, mantenidas reforzadas)</v>
      </c>
      <c r="V1090" s="190" t="s">
        <v>238</v>
      </c>
      <c r="W1090" s="192" t="str">
        <f>IFERROR(VLOOKUP(V1090,TD!$N$34:$O$46,2,0)," ")</f>
        <v>Sedes mantenidas</v>
      </c>
      <c r="X1090" s="206" t="str">
        <f>CONCATENATE(V1090,"_",W1090)</f>
        <v>016_Sedes mantenidas</v>
      </c>
      <c r="Y1090" s="206" t="str">
        <f>CONCATENATE(U1090," ",X1090)</f>
        <v>08-Infraestructura física, mantenimiento y dotación (Sedes construidas, mantenidas reforzadas) 016_Sedes mantenidas</v>
      </c>
      <c r="Z1090" s="204" t="str">
        <f>CONCATENATE(P1090,Q1090,R1090,S1090,V1090)</f>
        <v>O23011745992024020708016</v>
      </c>
      <c r="AA1090" s="204" t="str">
        <f>IFERROR(VLOOKUP(Y1090,TD!$K$47:$L$65,2,0)," ")</f>
        <v>PM/0131/0108/45990160207</v>
      </c>
      <c r="AB1090" s="131" t="s">
        <v>120</v>
      </c>
      <c r="AC1090" s="207" t="s">
        <v>205</v>
      </c>
    </row>
    <row r="1091" spans="2:29" ht="112" x14ac:dyDescent="0.35">
      <c r="B1091" s="132">
        <v>20251156</v>
      </c>
      <c r="C1091" s="133" t="s">
        <v>208</v>
      </c>
      <c r="D1091" s="202" t="s">
        <v>164</v>
      </c>
      <c r="E1091" s="205" t="s">
        <v>389</v>
      </c>
      <c r="F1091" s="202" t="s">
        <v>1338</v>
      </c>
      <c r="G1091" s="202" t="s">
        <v>155</v>
      </c>
      <c r="H1091" s="134">
        <v>80111600</v>
      </c>
      <c r="I1091" s="203">
        <v>8</v>
      </c>
      <c r="J1091" s="203">
        <v>5</v>
      </c>
      <c r="K1091" s="135">
        <v>0</v>
      </c>
      <c r="L1091" s="131">
        <v>4750000</v>
      </c>
      <c r="M1091" s="142" t="s">
        <v>464</v>
      </c>
      <c r="N1091" s="131" t="s">
        <v>113</v>
      </c>
      <c r="O1091" s="205" t="s">
        <v>219</v>
      </c>
      <c r="P1091" s="204" t="str">
        <f>IFERROR(VLOOKUP(C1091,TD!$B$33:$F$37,2,0)," ")</f>
        <v>O230117</v>
      </c>
      <c r="Q1091" s="204" t="str">
        <f>IFERROR(VLOOKUP(C1091,TD!$B$33:$F$37,3,0)," ")</f>
        <v>4599</v>
      </c>
      <c r="R1091" s="204">
        <f>IFERROR(VLOOKUP(C1091,TD!$B$33:$F$37,4,0)," ")</f>
        <v>20240207</v>
      </c>
      <c r="S1091" s="190" t="s">
        <v>185</v>
      </c>
      <c r="T1091" s="192" t="str">
        <f>IFERROR(VLOOKUP(S1091,TD!$J$34:$K$44,2,0)," ")</f>
        <v>Infraestructura física, mantenimiento y dotación (Sedes construidas, mantenidas reforzadas)</v>
      </c>
      <c r="U1091" s="187" t="str">
        <f>CONCATENATE(S1091,"-",T1091)</f>
        <v>08-Infraestructura física, mantenimiento y dotación (Sedes construidas, mantenidas reforzadas)</v>
      </c>
      <c r="V1091" s="190" t="s">
        <v>238</v>
      </c>
      <c r="W1091" s="192" t="str">
        <f>IFERROR(VLOOKUP(V1091,TD!$N$34:$O$46,2,0)," ")</f>
        <v>Sedes mantenidas</v>
      </c>
      <c r="X1091" s="206" t="str">
        <f>CONCATENATE(V1091,"_",W1091)</f>
        <v>016_Sedes mantenidas</v>
      </c>
      <c r="Y1091" s="206" t="str">
        <f>CONCATENATE(U1091," ",X1091)</f>
        <v>08-Infraestructura física, mantenimiento y dotación (Sedes construidas, mantenidas reforzadas) 016_Sedes mantenidas</v>
      </c>
      <c r="Z1091" s="204" t="str">
        <f>CONCATENATE(P1091,Q1091,R1091,S1091,V1091)</f>
        <v>O23011745992024020708016</v>
      </c>
      <c r="AA1091" s="204" t="str">
        <f>IFERROR(VLOOKUP(Y1091,TD!$K$47:$L$65,2,0)," ")</f>
        <v>PM/0131/0108/45990160207</v>
      </c>
      <c r="AB1091" s="131" t="s">
        <v>120</v>
      </c>
      <c r="AC1091" s="207" t="s">
        <v>205</v>
      </c>
    </row>
    <row r="1092" spans="2:29" ht="112" x14ac:dyDescent="0.35">
      <c r="B1092" s="132">
        <v>20251157</v>
      </c>
      <c r="C1092" s="133" t="s">
        <v>208</v>
      </c>
      <c r="D1092" s="202" t="s">
        <v>164</v>
      </c>
      <c r="E1092" s="205" t="s">
        <v>389</v>
      </c>
      <c r="F1092" s="202" t="s">
        <v>1339</v>
      </c>
      <c r="G1092" s="202" t="s">
        <v>155</v>
      </c>
      <c r="H1092" s="134">
        <v>80111600</v>
      </c>
      <c r="I1092" s="203">
        <v>8</v>
      </c>
      <c r="J1092" s="203">
        <v>5</v>
      </c>
      <c r="K1092" s="135">
        <v>0</v>
      </c>
      <c r="L1092" s="131">
        <v>10500000</v>
      </c>
      <c r="M1092" s="142" t="s">
        <v>464</v>
      </c>
      <c r="N1092" s="131" t="s">
        <v>113</v>
      </c>
      <c r="O1092" s="205" t="s">
        <v>219</v>
      </c>
      <c r="P1092" s="204" t="str">
        <f>IFERROR(VLOOKUP(C1092,TD!$B$33:$F$37,2,0)," ")</f>
        <v>O230117</v>
      </c>
      <c r="Q1092" s="204" t="str">
        <f>IFERROR(VLOOKUP(C1092,TD!$B$33:$F$37,3,0)," ")</f>
        <v>4599</v>
      </c>
      <c r="R1092" s="204">
        <f>IFERROR(VLOOKUP(C1092,TD!$B$33:$F$37,4,0)," ")</f>
        <v>20240207</v>
      </c>
      <c r="S1092" s="190" t="s">
        <v>185</v>
      </c>
      <c r="T1092" s="192" t="str">
        <f>IFERROR(VLOOKUP(S1092,TD!$J$34:$K$44,2,0)," ")</f>
        <v>Infraestructura física, mantenimiento y dotación (Sedes construidas, mantenidas reforzadas)</v>
      </c>
      <c r="U1092" s="187" t="str">
        <f>CONCATENATE(S1092,"-",T1092)</f>
        <v>08-Infraestructura física, mantenimiento y dotación (Sedes construidas, mantenidas reforzadas)</v>
      </c>
      <c r="V1092" s="190" t="s">
        <v>238</v>
      </c>
      <c r="W1092" s="192" t="str">
        <f>IFERROR(VLOOKUP(V1092,TD!$N$34:$O$46,2,0)," ")</f>
        <v>Sedes mantenidas</v>
      </c>
      <c r="X1092" s="206" t="str">
        <f>CONCATENATE(V1092,"_",W1092)</f>
        <v>016_Sedes mantenidas</v>
      </c>
      <c r="Y1092" s="206" t="str">
        <f>CONCATENATE(U1092," ",X1092)</f>
        <v>08-Infraestructura física, mantenimiento y dotación (Sedes construidas, mantenidas reforzadas) 016_Sedes mantenidas</v>
      </c>
      <c r="Z1092" s="204" t="str">
        <f>CONCATENATE(P1092,Q1092,R1092,S1092,V1092)</f>
        <v>O23011745992024020708016</v>
      </c>
      <c r="AA1092" s="204" t="str">
        <f>IFERROR(VLOOKUP(Y1092,TD!$K$47:$L$65,2,0)," ")</f>
        <v>PM/0131/0108/45990160207</v>
      </c>
      <c r="AB1092" s="131" t="s">
        <v>120</v>
      </c>
      <c r="AC1092" s="207" t="s">
        <v>205</v>
      </c>
    </row>
    <row r="1093" spans="2:29" ht="70" x14ac:dyDescent="0.35">
      <c r="B1093" s="132">
        <v>20251158</v>
      </c>
      <c r="C1093" s="133" t="s">
        <v>208</v>
      </c>
      <c r="D1093" s="202" t="s">
        <v>164</v>
      </c>
      <c r="E1093" s="205" t="s">
        <v>389</v>
      </c>
      <c r="F1093" s="202" t="s">
        <v>1340</v>
      </c>
      <c r="G1093" s="202" t="s">
        <v>155</v>
      </c>
      <c r="H1093" s="134">
        <v>80111600</v>
      </c>
      <c r="I1093" s="203">
        <v>5</v>
      </c>
      <c r="J1093" s="203">
        <v>5</v>
      </c>
      <c r="K1093" s="135">
        <v>0</v>
      </c>
      <c r="L1093" s="131">
        <v>9750000</v>
      </c>
      <c r="M1093" s="142" t="s">
        <v>464</v>
      </c>
      <c r="N1093" s="131" t="s">
        <v>113</v>
      </c>
      <c r="O1093" s="205" t="s">
        <v>219</v>
      </c>
      <c r="P1093" s="204" t="str">
        <f>IFERROR(VLOOKUP(C1093,TD!$B$33:$F$37,2,0)," ")</f>
        <v>O230117</v>
      </c>
      <c r="Q1093" s="204" t="str">
        <f>IFERROR(VLOOKUP(C1093,TD!$B$33:$F$37,3,0)," ")</f>
        <v>4599</v>
      </c>
      <c r="R1093" s="204">
        <f>IFERROR(VLOOKUP(C1093,TD!$B$33:$F$37,4,0)," ")</f>
        <v>20240207</v>
      </c>
      <c r="S1093" s="209" t="s">
        <v>185</v>
      </c>
      <c r="T1093" s="211" t="str">
        <f>IFERROR(VLOOKUP(S1093,TD!$J$34:$K$44,2,0)," ")</f>
        <v>Infraestructura física, mantenimiento y dotación (Sedes construidas, mantenidas reforzadas)</v>
      </c>
      <c r="U1093" s="206" t="str">
        <f>CONCATENATE(S1093,"-",T1093)</f>
        <v>08-Infraestructura física, mantenimiento y dotación (Sedes construidas, mantenidas reforzadas)</v>
      </c>
      <c r="V1093" s="209" t="s">
        <v>238</v>
      </c>
      <c r="W1093" s="211" t="str">
        <f>IFERROR(VLOOKUP(V1093,TD!$N$34:$O$46,2,0)," ")</f>
        <v>Sedes mantenidas</v>
      </c>
      <c r="X1093" s="206" t="str">
        <f>CONCATENATE(V1093,"_",W1093)</f>
        <v>016_Sedes mantenidas</v>
      </c>
      <c r="Y1093" s="206" t="str">
        <f>CONCATENATE(U1093," ",X1093)</f>
        <v>08-Infraestructura física, mantenimiento y dotación (Sedes construidas, mantenidas reforzadas) 016_Sedes mantenidas</v>
      </c>
      <c r="Z1093" s="204" t="str">
        <f>CONCATENATE(P1093,Q1093,R1093,S1093,V1093)</f>
        <v>O23011745992024020708016</v>
      </c>
      <c r="AA1093" s="204" t="str">
        <f>IFERROR(VLOOKUP(Y1093,TD!$K$47:$L$65,2,0)," ")</f>
        <v>PM/0131/0108/45990160207</v>
      </c>
      <c r="AB1093" s="131" t="s">
        <v>120</v>
      </c>
      <c r="AC1093" s="207" t="s">
        <v>205</v>
      </c>
    </row>
    <row r="1094" spans="2:29" ht="56" x14ac:dyDescent="0.35">
      <c r="B1094" s="132">
        <v>20251159</v>
      </c>
      <c r="C1094" s="133" t="s">
        <v>209</v>
      </c>
      <c r="D1094" s="202" t="s">
        <v>165</v>
      </c>
      <c r="E1094" s="205" t="s">
        <v>484</v>
      </c>
      <c r="F1094" s="202" t="s">
        <v>1341</v>
      </c>
      <c r="G1094" s="202" t="s">
        <v>155</v>
      </c>
      <c r="H1094" s="134">
        <v>80111600</v>
      </c>
      <c r="I1094" s="203">
        <v>12</v>
      </c>
      <c r="J1094" s="203">
        <v>1</v>
      </c>
      <c r="K1094" s="135">
        <v>0</v>
      </c>
      <c r="L1094" s="131">
        <v>3166667</v>
      </c>
      <c r="M1094" s="142" t="s">
        <v>464</v>
      </c>
      <c r="N1094" s="131" t="s">
        <v>113</v>
      </c>
      <c r="O1094" s="205" t="s">
        <v>229</v>
      </c>
      <c r="P1094" s="204" t="str">
        <f>IFERROR(VLOOKUP(C1094,TD!$B$33:$F$37,2,0)," ")</f>
        <v>O230117</v>
      </c>
      <c r="Q1094" s="204" t="str">
        <f>IFERROR(VLOOKUP(C1094,TD!$B$33:$F$37,3,0)," ")</f>
        <v>4503</v>
      </c>
      <c r="R1094" s="204">
        <f>IFERROR(VLOOKUP(C1094,TD!$B$33:$F$37,4,0)," ")</f>
        <v>20240255</v>
      </c>
      <c r="S1094" s="209" t="s">
        <v>183</v>
      </c>
      <c r="T1094" s="211" t="str">
        <f>IFERROR(VLOOKUP(S1094,TD!$J$34:$K$44,2,0)," ")</f>
        <v>Servicio de formación en gestión del riesgo de incendios para el personal UAECOB</v>
      </c>
      <c r="U1094" s="206" t="str">
        <f>CONCATENATE(S1094,"-",T1094)</f>
        <v>07-Servicio de formación en gestión del riesgo de incendios para el personal UAECOB</v>
      </c>
      <c r="V1094" s="209" t="s">
        <v>233</v>
      </c>
      <c r="W1094" s="211" t="str">
        <f>IFERROR(VLOOKUP(V1094,TD!$N$34:$O$46,2,0)," ")</f>
        <v>Servicio de educación informal</v>
      </c>
      <c r="X1094" s="206" t="str">
        <f>CONCATENATE(V1094,"_",W1094)</f>
        <v>002_Servicio de educación informal</v>
      </c>
      <c r="Y1094" s="206" t="str">
        <f>CONCATENATE(U1094," ",X1094)</f>
        <v>07-Servicio de formación en gestión del riesgo de incendios para el personal UAECOB 002_Servicio de educación informal</v>
      </c>
      <c r="Z1094" s="204" t="str">
        <f>CONCATENATE(P1094,Q1094,R1094,S1094,V1094)</f>
        <v>O23011745032024025507002</v>
      </c>
      <c r="AA1094" s="204" t="str">
        <f>IFERROR(VLOOKUP(Y1094,TD!$K$47:$L$65,2,0)," ")</f>
        <v>PM/0131/0107/45030020255</v>
      </c>
      <c r="AB1094" s="131" t="s">
        <v>138</v>
      </c>
      <c r="AC1094" s="207" t="s">
        <v>205</v>
      </c>
    </row>
    <row r="1095" spans="2:29" ht="56" x14ac:dyDescent="0.35">
      <c r="B1095" s="132">
        <v>20251163</v>
      </c>
      <c r="C1095" s="133" t="s">
        <v>208</v>
      </c>
      <c r="D1095" s="202" t="s">
        <v>163</v>
      </c>
      <c r="E1095" s="205" t="s">
        <v>350</v>
      </c>
      <c r="F1095" s="202" t="s">
        <v>1344</v>
      </c>
      <c r="G1095" s="202" t="s">
        <v>155</v>
      </c>
      <c r="H1095" s="134">
        <v>80111600</v>
      </c>
      <c r="I1095" s="203">
        <v>12</v>
      </c>
      <c r="J1095" s="203">
        <v>1</v>
      </c>
      <c r="K1095" s="135">
        <v>5</v>
      </c>
      <c r="L1095" s="131">
        <v>8942500</v>
      </c>
      <c r="M1095" s="142" t="s">
        <v>464</v>
      </c>
      <c r="N1095" s="131" t="s">
        <v>113</v>
      </c>
      <c r="O1095" s="205" t="s">
        <v>219</v>
      </c>
      <c r="P1095" s="204" t="str">
        <f>IFERROR(VLOOKUP(C1095,TD!$B$33:$F$37,2,0)," ")</f>
        <v>O230117</v>
      </c>
      <c r="Q1095" s="204" t="str">
        <f>IFERROR(VLOOKUP(C1095,TD!$B$33:$F$37,3,0)," ")</f>
        <v>4599</v>
      </c>
      <c r="R1095" s="204">
        <f>IFERROR(VLOOKUP(C1095,TD!$B$33:$F$37,4,0)," ")</f>
        <v>20240207</v>
      </c>
      <c r="S1095" s="209" t="s">
        <v>185</v>
      </c>
      <c r="T1095" s="211" t="str">
        <f>IFERROR(VLOOKUP(S1095,TD!$J$34:$K$44,2,0)," ")</f>
        <v>Infraestructura física, mantenimiento y dotación (Sedes construidas, mantenidas reforzadas)</v>
      </c>
      <c r="U1095" s="206" t="str">
        <f>CONCATENATE(S1095,"-",T1095)</f>
        <v>08-Infraestructura física, mantenimiento y dotación (Sedes construidas, mantenidas reforzadas)</v>
      </c>
      <c r="V1095" s="209" t="s">
        <v>238</v>
      </c>
      <c r="W1095" s="211" t="str">
        <f>IFERROR(VLOOKUP(V1095,TD!$N$34:$O$46,2,0)," ")</f>
        <v>Sedes mantenidas</v>
      </c>
      <c r="X1095" s="206" t="str">
        <f>CONCATENATE(V1095,"_",W1095)</f>
        <v>016_Sedes mantenidas</v>
      </c>
      <c r="Y1095" s="206" t="str">
        <f>CONCATENATE(U1095," ",X1095)</f>
        <v>08-Infraestructura física, mantenimiento y dotación (Sedes construidas, mantenidas reforzadas) 016_Sedes mantenidas</v>
      </c>
      <c r="Z1095" s="204" t="str">
        <f>CONCATENATE(P1095,Q1095,R1095,S1095,V1095)</f>
        <v>O23011745992024020708016</v>
      </c>
      <c r="AA1095" s="204" t="str">
        <f>IFERROR(VLOOKUP(Y1095,TD!$K$47:$L$65,2,0)," ")</f>
        <v>PM/0131/0108/45990160207</v>
      </c>
      <c r="AB1095" s="131" t="s">
        <v>138</v>
      </c>
      <c r="AC1095" s="207" t="s">
        <v>205</v>
      </c>
    </row>
    <row r="1096" spans="2:29" ht="70" x14ac:dyDescent="0.35">
      <c r="B1096" s="132">
        <v>20251164</v>
      </c>
      <c r="C1096" s="133" t="s">
        <v>208</v>
      </c>
      <c r="D1096" s="202" t="s">
        <v>163</v>
      </c>
      <c r="E1096" s="205" t="s">
        <v>350</v>
      </c>
      <c r="F1096" s="202" t="s">
        <v>1345</v>
      </c>
      <c r="G1096" s="202" t="s">
        <v>155</v>
      </c>
      <c r="H1096" s="134">
        <v>80111600</v>
      </c>
      <c r="I1096" s="203">
        <v>12</v>
      </c>
      <c r="J1096" s="203">
        <v>0</v>
      </c>
      <c r="K1096" s="135">
        <v>22</v>
      </c>
      <c r="L1096" s="131">
        <v>5621000</v>
      </c>
      <c r="M1096" s="142" t="s">
        <v>464</v>
      </c>
      <c r="N1096" s="131" t="s">
        <v>113</v>
      </c>
      <c r="O1096" s="205" t="s">
        <v>219</v>
      </c>
      <c r="P1096" s="204" t="str">
        <f>IFERROR(VLOOKUP(C1096,TD!$B$33:$F$37,2,0)," ")</f>
        <v>O230117</v>
      </c>
      <c r="Q1096" s="204" t="str">
        <f>IFERROR(VLOOKUP(C1096,TD!$B$33:$F$37,3,0)," ")</f>
        <v>4599</v>
      </c>
      <c r="R1096" s="204">
        <f>IFERROR(VLOOKUP(C1096,TD!$B$33:$F$37,4,0)," ")</f>
        <v>20240207</v>
      </c>
      <c r="S1096" s="209" t="s">
        <v>185</v>
      </c>
      <c r="T1096" s="211" t="str">
        <f>IFERROR(VLOOKUP(S1096,TD!$J$34:$K$44,2,0)," ")</f>
        <v>Infraestructura física, mantenimiento y dotación (Sedes construidas, mantenidas reforzadas)</v>
      </c>
      <c r="U1096" s="206" t="str">
        <f>CONCATENATE(S1096,"-",T1096)</f>
        <v>08-Infraestructura física, mantenimiento y dotación (Sedes construidas, mantenidas reforzadas)</v>
      </c>
      <c r="V1096" s="209" t="s">
        <v>238</v>
      </c>
      <c r="W1096" s="211" t="str">
        <f>IFERROR(VLOOKUP(V1096,TD!$N$34:$O$46,2,0)," ")</f>
        <v>Sedes mantenidas</v>
      </c>
      <c r="X1096" s="206" t="str">
        <f>CONCATENATE(V1096,"_",W1096)</f>
        <v>016_Sedes mantenidas</v>
      </c>
      <c r="Y1096" s="206" t="str">
        <f>CONCATENATE(U1096," ",X1096)</f>
        <v>08-Infraestructura física, mantenimiento y dotación (Sedes construidas, mantenidas reforzadas) 016_Sedes mantenidas</v>
      </c>
      <c r="Z1096" s="204" t="str">
        <f>CONCATENATE(P1096,Q1096,R1096,S1096,V1096)</f>
        <v>O23011745992024020708016</v>
      </c>
      <c r="AA1096" s="204" t="str">
        <f>IFERROR(VLOOKUP(Y1096,TD!$K$47:$L$65,2,0)," ")</f>
        <v>PM/0131/0108/45990160207</v>
      </c>
      <c r="AB1096" s="131" t="s">
        <v>138</v>
      </c>
      <c r="AC1096" s="207" t="s">
        <v>205</v>
      </c>
    </row>
    <row r="1097" spans="2:29" ht="70" x14ac:dyDescent="0.35">
      <c r="B1097" s="132">
        <v>20251166</v>
      </c>
      <c r="C1097" s="133" t="s">
        <v>208</v>
      </c>
      <c r="D1097" s="202" t="s">
        <v>163</v>
      </c>
      <c r="E1097" s="205" t="s">
        <v>350</v>
      </c>
      <c r="F1097" s="202" t="s">
        <v>1346</v>
      </c>
      <c r="G1097" s="202" t="s">
        <v>155</v>
      </c>
      <c r="H1097" s="134">
        <v>80111600</v>
      </c>
      <c r="I1097" s="203">
        <v>12</v>
      </c>
      <c r="J1097" s="203">
        <v>0</v>
      </c>
      <c r="K1097" s="135">
        <v>22</v>
      </c>
      <c r="L1097" s="131">
        <v>3394293</v>
      </c>
      <c r="M1097" s="142" t="s">
        <v>464</v>
      </c>
      <c r="N1097" s="131" t="s">
        <v>113</v>
      </c>
      <c r="O1097" s="205" t="s">
        <v>219</v>
      </c>
      <c r="P1097" s="204" t="str">
        <f>IFERROR(VLOOKUP(C1097,TD!$B$33:$F$37,2,0)," ")</f>
        <v>O230117</v>
      </c>
      <c r="Q1097" s="204" t="str">
        <f>IFERROR(VLOOKUP(C1097,TD!$B$33:$F$37,3,0)," ")</f>
        <v>4599</v>
      </c>
      <c r="R1097" s="204">
        <f>IFERROR(VLOOKUP(C1097,TD!$B$33:$F$37,4,0)," ")</f>
        <v>20240207</v>
      </c>
      <c r="S1097" s="209" t="s">
        <v>185</v>
      </c>
      <c r="T1097" s="211" t="str">
        <f>IFERROR(VLOOKUP(S1097,TD!$J$34:$K$44,2,0)," ")</f>
        <v>Infraestructura física, mantenimiento y dotación (Sedes construidas, mantenidas reforzadas)</v>
      </c>
      <c r="U1097" s="206" t="str">
        <f>CONCATENATE(S1097,"-",T1097)</f>
        <v>08-Infraestructura física, mantenimiento y dotación (Sedes construidas, mantenidas reforzadas)</v>
      </c>
      <c r="V1097" s="209" t="s">
        <v>238</v>
      </c>
      <c r="W1097" s="211" t="str">
        <f>IFERROR(VLOOKUP(V1097,TD!$N$34:$O$46,2,0)," ")</f>
        <v>Sedes mantenidas</v>
      </c>
      <c r="X1097" s="206" t="str">
        <f>CONCATENATE(V1097,"_",W1097)</f>
        <v>016_Sedes mantenidas</v>
      </c>
      <c r="Y1097" s="206" t="str">
        <f>CONCATENATE(U1097," ",X1097)</f>
        <v>08-Infraestructura física, mantenimiento y dotación (Sedes construidas, mantenidas reforzadas) 016_Sedes mantenidas</v>
      </c>
      <c r="Z1097" s="204" t="str">
        <f>CONCATENATE(P1097,Q1097,R1097,S1097,V1097)</f>
        <v>O23011745992024020708016</v>
      </c>
      <c r="AA1097" s="204" t="str">
        <f>IFERROR(VLOOKUP(Y1097,TD!$K$47:$L$65,2,0)," ")</f>
        <v>PM/0131/0108/45990160207</v>
      </c>
      <c r="AB1097" s="131" t="s">
        <v>138</v>
      </c>
      <c r="AC1097" s="207" t="s">
        <v>205</v>
      </c>
    </row>
    <row r="1098" spans="2:29" ht="56" x14ac:dyDescent="0.35">
      <c r="B1098" s="77">
        <v>20251167</v>
      </c>
      <c r="C1098" s="50" t="s">
        <v>208</v>
      </c>
      <c r="D1098" s="184" t="s">
        <v>163</v>
      </c>
      <c r="E1098" s="51" t="s">
        <v>350</v>
      </c>
      <c r="F1098" s="184" t="s">
        <v>1347</v>
      </c>
      <c r="G1098" s="184" t="s">
        <v>156</v>
      </c>
      <c r="H1098" s="93">
        <v>80111600</v>
      </c>
      <c r="I1098" s="185">
        <v>12</v>
      </c>
      <c r="J1098" s="185">
        <v>0</v>
      </c>
      <c r="K1098" s="52">
        <v>27</v>
      </c>
      <c r="L1098" s="53">
        <v>3441606</v>
      </c>
      <c r="M1098" s="142" t="s">
        <v>464</v>
      </c>
      <c r="N1098" s="53" t="s">
        <v>113</v>
      </c>
      <c r="O1098" s="51" t="s">
        <v>219</v>
      </c>
      <c r="P1098" s="186" t="str">
        <f>IFERROR(VLOOKUP(C1098,TD!$B$33:$F$37,2,0)," ")</f>
        <v>O230117</v>
      </c>
      <c r="Q1098" s="186" t="str">
        <f>IFERROR(VLOOKUP(C1098,TD!$B$33:$F$37,3,0)," ")</f>
        <v>4599</v>
      </c>
      <c r="R1098" s="186">
        <f>IFERROR(VLOOKUP(C1098,TD!$B$33:$F$37,4,0)," ")</f>
        <v>20240207</v>
      </c>
      <c r="S1098" s="209" t="s">
        <v>185</v>
      </c>
      <c r="T1098" s="211" t="str">
        <f>IFERROR(VLOOKUP(S1098,TD!$J$34:$K$44,2,0)," ")</f>
        <v>Infraestructura física, mantenimiento y dotación (Sedes construidas, mantenidas reforzadas)</v>
      </c>
      <c r="U1098" s="206" t="str">
        <f>CONCATENATE(S1098,"-",T1098)</f>
        <v>08-Infraestructura física, mantenimiento y dotación (Sedes construidas, mantenidas reforzadas)</v>
      </c>
      <c r="V1098" s="209" t="s">
        <v>238</v>
      </c>
      <c r="W1098" s="211" t="str">
        <f>IFERROR(VLOOKUP(V1098,TD!$N$34:$O$46,2,0)," ")</f>
        <v>Sedes mantenidas</v>
      </c>
      <c r="X1098" s="187" t="str">
        <f>CONCATENATE(V1098,"_",W1098)</f>
        <v>016_Sedes mantenidas</v>
      </c>
      <c r="Y1098" s="187" t="str">
        <f>CONCATENATE(U1098," ",X1098)</f>
        <v>08-Infraestructura física, mantenimiento y dotación (Sedes construidas, mantenidas reforzadas) 016_Sedes mantenidas</v>
      </c>
      <c r="Z1098" s="186" t="str">
        <f>CONCATENATE(P1098,Q1098,R1098,S1098,V1098)</f>
        <v>O23011745992024020708016</v>
      </c>
      <c r="AA1098" s="186" t="str">
        <f>IFERROR(VLOOKUP(Y1098,TD!$K$47:$L$65,2,0)," ")</f>
        <v>PM/0131/0108/45990160207</v>
      </c>
      <c r="AB1098" s="53" t="s">
        <v>138</v>
      </c>
      <c r="AC1098" s="188" t="s">
        <v>205</v>
      </c>
    </row>
    <row r="1099" spans="2:29" ht="42" x14ac:dyDescent="0.35">
      <c r="B1099" s="286">
        <v>20251168</v>
      </c>
      <c r="C1099" s="287" t="s">
        <v>209</v>
      </c>
      <c r="D1099" s="288" t="s">
        <v>167</v>
      </c>
      <c r="E1099" s="289" t="s">
        <v>505</v>
      </c>
      <c r="F1099" s="288" t="s">
        <v>519</v>
      </c>
      <c r="G1099" s="288" t="s">
        <v>156</v>
      </c>
      <c r="H1099" s="290">
        <v>80111600</v>
      </c>
      <c r="I1099" s="291">
        <v>11</v>
      </c>
      <c r="J1099" s="291">
        <v>2</v>
      </c>
      <c r="K1099" s="292">
        <v>0</v>
      </c>
      <c r="L1099" s="293">
        <v>7500000</v>
      </c>
      <c r="M1099" s="248" t="s">
        <v>464</v>
      </c>
      <c r="N1099" s="293" t="s">
        <v>508</v>
      </c>
      <c r="O1099" s="205" t="s">
        <v>221</v>
      </c>
      <c r="P1099" s="294" t="str">
        <f>IFERROR(VLOOKUP(C1099,TD!$B$33:$F$37,2,0)," ")</f>
        <v>O230117</v>
      </c>
      <c r="Q1099" s="294" t="str">
        <f>IFERROR(VLOOKUP(C1099,TD!$B$33:$F$37,3,0)," ")</f>
        <v>4503</v>
      </c>
      <c r="R1099" s="294">
        <f>IFERROR(VLOOKUP(C1099,TD!$B$33:$F$37,4,0)," ")</f>
        <v>20240255</v>
      </c>
      <c r="S1099" s="209" t="s">
        <v>177</v>
      </c>
      <c r="T1099" s="211" t="str">
        <f>IFERROR(VLOOKUP(S1099,TD!$J$34:$K$44,2,0)," ")</f>
        <v>Servicio de capacitaciones en gestión del riesgo de incendios  a la ciudadania.</v>
      </c>
      <c r="U1099" s="206" t="str">
        <f>CONCATENATE(S1099,"-",T1099)</f>
        <v>05-Servicio de capacitaciones en gestión del riesgo de incendios  a la ciudadania.</v>
      </c>
      <c r="V1099" s="209" t="s">
        <v>234</v>
      </c>
      <c r="W1099" s="211" t="str">
        <f>IFERROR(VLOOKUP(V1099,TD!$N$34:$O$46,2,0)," ")</f>
        <v>Servicio prevención y control de incendios</v>
      </c>
      <c r="X1099" s="206" t="str">
        <f>CONCATENATE(V1099,"_",W1099)</f>
        <v>035_Servicio prevención y control de incendios</v>
      </c>
      <c r="Y1099" s="206" t="str">
        <f>CONCATENATE(U1099," ",X1099)</f>
        <v>05-Servicio de capacitaciones en gestión del riesgo de incendios  a la ciudadania. 035_Servicio prevención y control de incendios</v>
      </c>
      <c r="Z1099" s="294" t="str">
        <f>CONCATENATE(P1099,Q1099,R1099,S1099,V1099)</f>
        <v>O23011745032024025505035</v>
      </c>
      <c r="AA1099" s="294" t="str">
        <f>IFERROR(VLOOKUP(Y1099,TD!$K$47:$L$65,2,0)," ")</f>
        <v>PM/0131/0105/45030350255</v>
      </c>
      <c r="AB1099" s="293" t="s">
        <v>138</v>
      </c>
      <c r="AC1099" s="295" t="s">
        <v>204</v>
      </c>
    </row>
  </sheetData>
  <mergeCells count="7">
    <mergeCell ref="M7:O7"/>
    <mergeCell ref="B2:C2"/>
    <mergeCell ref="E3:L3"/>
    <mergeCell ref="E4:L4"/>
    <mergeCell ref="E5:L5"/>
    <mergeCell ref="M4:O4"/>
    <mergeCell ref="M5:O5"/>
  </mergeCells>
  <conditionalFormatting sqref="B1:B1048576">
    <cfRule type="duplicateValues" dxfId="55" priority="2"/>
    <cfRule type="duplicateValues" dxfId="54" priority="3"/>
    <cfRule type="duplicateValues" dxfId="53" priority="5"/>
    <cfRule type="duplicateValues" dxfId="52" priority="6"/>
    <cfRule type="duplicateValues" dxfId="51" priority="8"/>
    <cfRule type="duplicateValues" dxfId="50" priority="10"/>
    <cfRule type="duplicateValues" dxfId="49" priority="11"/>
    <cfRule type="duplicateValues" dxfId="48" priority="18"/>
    <cfRule type="duplicateValues" dxfId="47" priority="3968"/>
    <cfRule type="duplicateValues" dxfId="46" priority="3969"/>
  </conditionalFormatting>
  <conditionalFormatting sqref="B5:B657">
    <cfRule type="duplicateValues" dxfId="45" priority="19560"/>
    <cfRule type="duplicateValues" dxfId="44" priority="19561"/>
    <cfRule type="duplicateValues" dxfId="43" priority="19562"/>
    <cfRule type="duplicateValues" dxfId="42" priority="19563" stopIfTrue="1"/>
  </conditionalFormatting>
  <conditionalFormatting sqref="B11:B1099">
    <cfRule type="duplicateValues" dxfId="41" priority="19674" stopIfTrue="1"/>
    <cfRule type="duplicateValues" dxfId="40" priority="19675" stopIfTrue="1"/>
    <cfRule type="duplicateValues" dxfId="39" priority="19676"/>
    <cfRule type="duplicateValues" dxfId="38" priority="19677"/>
    <cfRule type="duplicateValues" dxfId="37" priority="19678"/>
    <cfRule type="duplicateValues" dxfId="36" priority="19679"/>
    <cfRule type="expression" dxfId="35" priority="19656" stopIfTrue="1">
      <formula>AND(COUNTIF(#REF!, B11)+COUNTIF($B$2:$B$11, B11)+COUNTIF($B$12:$B$1099, B11)&gt;1,NOT(ISBLANK(B11)))</formula>
    </cfRule>
    <cfRule type="expression" dxfId="34" priority="19657" stopIfTrue="1">
      <formula>AND(COUNTIF($B$2:$B$11, B11)+COUNTIF($B$12:$B$1099, B11)&gt;1,NOT(ISBLANK(B11)))</formula>
    </cfRule>
    <cfRule type="expression" dxfId="33" priority="19658" stopIfTrue="1">
      <formula>AND(COUNTIF(#REF!, B11)+COUNTIF($B$11:$B$11, B11)&gt;1,NOT(ISBLANK(B11)))</formula>
    </cfRule>
    <cfRule type="duplicateValues" dxfId="32" priority="19659" stopIfTrue="1"/>
    <cfRule type="duplicateValues" dxfId="31" priority="19660" stopIfTrue="1"/>
    <cfRule type="duplicateValues" dxfId="30" priority="19661" stopIfTrue="1"/>
    <cfRule type="duplicateValues" dxfId="29" priority="19662" stopIfTrue="1"/>
    <cfRule type="duplicateValues" dxfId="28" priority="19663" stopIfTrue="1"/>
    <cfRule type="duplicateValues" dxfId="27" priority="19664"/>
    <cfRule type="duplicateValues" dxfId="26" priority="19665"/>
    <cfRule type="duplicateValues" dxfId="25" priority="19666" stopIfTrue="1"/>
    <cfRule type="duplicateValues" dxfId="24" priority="19667" stopIfTrue="1"/>
    <cfRule type="duplicateValues" dxfId="23" priority="19668" stopIfTrue="1"/>
    <cfRule type="duplicateValues" dxfId="22" priority="19669" stopIfTrue="1"/>
    <cfRule type="duplicateValues" dxfId="21" priority="19670" stopIfTrue="1"/>
    <cfRule type="duplicateValues" dxfId="20" priority="19671" stopIfTrue="1"/>
    <cfRule type="duplicateValues" dxfId="19" priority="19672" stopIfTrue="1"/>
    <cfRule type="duplicateValues" dxfId="18" priority="19673" stopIfTrue="1"/>
  </conditionalFormatting>
  <conditionalFormatting sqref="B12:B1099">
    <cfRule type="duplicateValues" dxfId="17" priority="19704"/>
    <cfRule type="duplicateValues" dxfId="16" priority="19705"/>
    <cfRule type="duplicateValues" dxfId="15" priority="19706"/>
    <cfRule type="duplicateValues" dxfId="14" priority="19707"/>
    <cfRule type="duplicateValues" dxfId="13" priority="19708"/>
    <cfRule type="duplicateValues" dxfId="12" priority="19709"/>
    <cfRule type="duplicateValues" dxfId="11" priority="19710"/>
    <cfRule type="duplicateValues" dxfId="10" priority="19711"/>
    <cfRule type="duplicateValues" dxfId="9" priority="19712"/>
    <cfRule type="duplicateValues" dxfId="8" priority="19713"/>
  </conditionalFormatting>
  <conditionalFormatting sqref="E3:E6">
    <cfRule type="duplicateValues" dxfId="7" priority="162" stopIfTrue="1"/>
    <cfRule type="duplicateValues" dxfId="6" priority="163" stopIfTrue="1"/>
    <cfRule type="duplicateValues" dxfId="5" priority="164"/>
    <cfRule type="duplicateValues" dxfId="4" priority="165"/>
    <cfRule type="duplicateValues" dxfId="3" priority="166"/>
  </conditionalFormatting>
  <conditionalFormatting sqref="E3:E9 B5:B657">
    <cfRule type="expression" dxfId="2" priority="3627" stopIfTrue="1">
      <formula>AND(COUNTIF($E$3:$E$9, B3)+COUNTIF(#REF!, B3)&gt;1,NOT(ISBLANK(B3)))</formula>
    </cfRule>
  </conditionalFormatting>
  <pageMargins left="0.7" right="0.7" top="0.75" bottom="0.75" header="0.3" footer="0.3"/>
  <pageSetup paperSize="9" scale="12" orientation="portrait" horizontalDpi="4294967294" verticalDpi="4294967294" r:id="rId1"/>
  <customProperties>
    <customPr name="EpmWorksheetKeyString_GUID" r:id="rId2"/>
  </customProperties>
  <ignoredErrors>
    <ignoredError sqref="P7" unlockedFormula="1"/>
  </ignoredErrors>
  <drawing r:id="rId3"/>
  <tableParts count="1">
    <tablePart r:id="rId4"/>
  </tableParts>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100-000007000000}">
          <x14:formula1>
            <xm:f>TD!$Q$2:$Q$5</xm:f>
          </x14:formula1>
          <xm:sqref>M1081:M1048576</xm:sqref>
        </x14:dataValidation>
        <x14:dataValidation type="list" allowBlank="1" showInputMessage="1" showErrorMessage="1" xr:uid="{66831970-BB6F-4E58-9A32-1586691E7BC1}">
          <x14:formula1>
            <xm:f>TD!$Q$2:$Q$6</xm:f>
          </x14:formula1>
          <xm:sqref>M12:M1080</xm:sqref>
        </x14:dataValidation>
        <x14:dataValidation type="list" allowBlank="1" showInputMessage="1" showErrorMessage="1" xr:uid="{00000000-0002-0000-0100-000000000000}">
          <x14:formula1>
            <xm:f>TD!$J$3:$J$24</xm:f>
          </x14:formula1>
          <xm:sqref>O12:O1099</xm:sqref>
        </x14:dataValidation>
        <x14:dataValidation type="list" allowBlank="1" showInputMessage="1" showErrorMessage="1" xr:uid="{00000000-0002-0000-0100-000002000000}">
          <x14:formula1>
            <xm:f>TD!$D$2:$D$29</xm:f>
          </x14:formula1>
          <xm:sqref>G12:G1099</xm:sqref>
        </x14:dataValidation>
        <x14:dataValidation type="list" allowBlank="1" showInputMessage="1" showErrorMessage="1" xr:uid="{00000000-0002-0000-0100-000003000000}">
          <x14:formula1>
            <xm:f>TD!$J$34:$J$44</xm:f>
          </x14:formula1>
          <xm:sqref>S12:S1099</xm:sqref>
        </x14:dataValidation>
        <x14:dataValidation type="list" allowBlank="1" showInputMessage="1" showErrorMessage="1" xr:uid="{00000000-0002-0000-0100-000004000000}">
          <x14:formula1>
            <xm:f>TD!$X$34:$X$35</xm:f>
          </x14:formula1>
          <xm:sqref>AC12:AC1099</xm:sqref>
        </x14:dataValidation>
        <x14:dataValidation type="list" allowBlank="1" showInputMessage="1" showErrorMessage="1" xr:uid="{00000000-0002-0000-0100-000005000000}">
          <x14:formula1>
            <xm:f>TD!$B$2:$B$11</xm:f>
          </x14:formula1>
          <xm:sqref>N12:N1099</xm:sqref>
        </x14:dataValidation>
        <x14:dataValidation type="list" allowBlank="1" showInputMessage="1" showErrorMessage="1" xr:uid="{00000000-0002-0000-0100-000009000000}">
          <x14:formula1>
            <xm:f>TD!$N$34:$N$46</xm:f>
          </x14:formula1>
          <xm:sqref>V12:V1099</xm:sqref>
        </x14:dataValidation>
        <x14:dataValidation type="list" allowBlank="1" showInputMessage="1" showErrorMessage="1" xr:uid="{00000000-0002-0000-0100-000006000000}">
          <x14:formula1>
            <xm:f>TD!$L$2:$L$5</xm:f>
          </x14:formula1>
          <xm:sqref>C12:C1048576</xm:sqref>
        </x14:dataValidation>
        <x14:dataValidation type="list" allowBlank="1" showInputMessage="1" showErrorMessage="1" xr:uid="{00000000-0002-0000-0100-000008000000}">
          <x14:formula1>
            <xm:f>TD!$O$2:$O$15</xm:f>
          </x14:formula1>
          <xm:sqref>D12:D1048576</xm:sqref>
        </x14:dataValidation>
        <x14:dataValidation type="list" allowBlank="1" showInputMessage="1" showErrorMessage="1" xr:uid="{00000000-0002-0000-0100-000001000000}">
          <x14:formula1>
            <xm:f>TD!$F$2:$F$29</xm:f>
          </x14:formula1>
          <xm:sqref>AB12:AB1048576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2A4CC-1D14-44B6-9679-5F3E3A737448}">
  <dimension ref="A2:D8"/>
  <sheetViews>
    <sheetView zoomScale="70" zoomScaleNormal="70" workbookViewId="0">
      <selection activeCell="A5" sqref="A5"/>
    </sheetView>
  </sheetViews>
  <sheetFormatPr baseColWidth="10" defaultRowHeight="14.5" x14ac:dyDescent="0.35"/>
  <cols>
    <col min="1" max="1" width="36.1796875" bestFit="1" customWidth="1"/>
    <col min="2" max="2" width="33.453125" customWidth="1"/>
    <col min="3" max="3" width="30.1796875" style="100" bestFit="1" customWidth="1"/>
    <col min="4" max="4" width="30.81640625" customWidth="1"/>
    <col min="5" max="5" width="17.1796875" customWidth="1"/>
    <col min="6" max="6" width="14.54296875" customWidth="1"/>
  </cols>
  <sheetData>
    <row r="2" spans="1:4" x14ac:dyDescent="0.35">
      <c r="A2" s="150" t="s">
        <v>296</v>
      </c>
      <c r="B2" t="s">
        <v>1373</v>
      </c>
    </row>
    <row r="4" spans="1:4" x14ac:dyDescent="0.35">
      <c r="A4" s="150" t="s">
        <v>446</v>
      </c>
      <c r="B4" t="s">
        <v>448</v>
      </c>
    </row>
    <row r="5" spans="1:4" x14ac:dyDescent="0.35">
      <c r="A5" t="s">
        <v>464</v>
      </c>
      <c r="B5" s="151">
        <v>60478467179</v>
      </c>
    </row>
    <row r="6" spans="1:4" x14ac:dyDescent="0.35">
      <c r="A6" t="s">
        <v>1309</v>
      </c>
      <c r="B6" s="151">
        <v>7296126000</v>
      </c>
      <c r="C6" s="100">
        <v>7296126000</v>
      </c>
      <c r="D6" s="296">
        <f>C6-GETPIVOTDATA("Valor Programado",$A$4,"Fuente de Recursos","1-200-I079  RB-Sobretasa Bomberil")</f>
        <v>0</v>
      </c>
    </row>
    <row r="7" spans="1:4" x14ac:dyDescent="0.35">
      <c r="A7" t="s">
        <v>173</v>
      </c>
      <c r="B7" s="151">
        <v>352833821</v>
      </c>
    </row>
    <row r="8" spans="1:4" x14ac:dyDescent="0.35">
      <c r="A8" t="s">
        <v>447</v>
      </c>
      <c r="B8" s="151">
        <v>68127427000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B2:M39"/>
  <sheetViews>
    <sheetView topLeftCell="B1" zoomScale="70" zoomScaleNormal="70" workbookViewId="0">
      <selection activeCell="J15" sqref="J15"/>
    </sheetView>
  </sheetViews>
  <sheetFormatPr baseColWidth="10" defaultColWidth="17.1796875" defaultRowHeight="16.5" x14ac:dyDescent="0.45"/>
  <cols>
    <col min="1" max="1" width="5.54296875" style="79" customWidth="1"/>
    <col min="2" max="3" width="17.1796875" style="79"/>
    <col min="4" max="4" width="20.453125" style="79" customWidth="1"/>
    <col min="5" max="5" width="29.453125" style="79" customWidth="1"/>
    <col min="6" max="6" width="20.453125" style="80" customWidth="1"/>
    <col min="7" max="7" width="6.453125" style="79" customWidth="1"/>
    <col min="8" max="9" width="24.453125" style="79" customWidth="1"/>
    <col min="10" max="10" width="19.26953125" style="79" customWidth="1"/>
    <col min="11" max="11" width="28.81640625" style="80" bestFit="1" customWidth="1"/>
    <col min="12" max="12" width="21.453125" style="79" customWidth="1"/>
    <col min="13" max="16384" width="17.1796875" style="79"/>
  </cols>
  <sheetData>
    <row r="2" spans="2:13" x14ac:dyDescent="0.45">
      <c r="B2" s="78" t="s">
        <v>417</v>
      </c>
      <c r="C2" s="78"/>
      <c r="H2" s="78" t="s">
        <v>422</v>
      </c>
    </row>
    <row r="3" spans="2:13" x14ac:dyDescent="0.45">
      <c r="B3" s="78" t="s">
        <v>418</v>
      </c>
      <c r="H3" s="78" t="s">
        <v>418</v>
      </c>
    </row>
    <row r="4" spans="2:13" x14ac:dyDescent="0.45">
      <c r="B4" s="78" t="s">
        <v>208</v>
      </c>
      <c r="C4" s="78"/>
      <c r="H4" s="78" t="s">
        <v>208</v>
      </c>
      <c r="I4" s="78"/>
    </row>
    <row r="5" spans="2:13" s="25" customFormat="1" ht="33" x14ac:dyDescent="0.35">
      <c r="B5" s="55" t="s">
        <v>52</v>
      </c>
      <c r="C5" s="55" t="s">
        <v>0</v>
      </c>
      <c r="D5" s="64" t="s">
        <v>2</v>
      </c>
      <c r="E5" s="55" t="s">
        <v>231</v>
      </c>
      <c r="F5" s="87" t="s">
        <v>416</v>
      </c>
      <c r="G5" s="24"/>
      <c r="H5" s="55" t="s">
        <v>52</v>
      </c>
      <c r="I5" s="55" t="s">
        <v>0</v>
      </c>
      <c r="J5" s="64" t="s">
        <v>2</v>
      </c>
      <c r="K5" s="55" t="s">
        <v>231</v>
      </c>
      <c r="L5" s="87" t="s">
        <v>416</v>
      </c>
      <c r="M5" s="87" t="s">
        <v>419</v>
      </c>
    </row>
    <row r="6" spans="2:13" x14ac:dyDescent="0.45">
      <c r="B6" s="82" t="s">
        <v>208</v>
      </c>
      <c r="C6" s="82" t="s">
        <v>45</v>
      </c>
      <c r="D6" s="82" t="s">
        <v>219</v>
      </c>
      <c r="E6" s="82" t="s">
        <v>266</v>
      </c>
      <c r="F6" s="83">
        <v>260870960</v>
      </c>
      <c r="H6" s="82" t="s">
        <v>208</v>
      </c>
      <c r="I6" s="82" t="s">
        <v>45</v>
      </c>
      <c r="J6" s="82" t="s">
        <v>219</v>
      </c>
      <c r="K6" s="82" t="s">
        <v>266</v>
      </c>
      <c r="L6" s="83">
        <v>260870960</v>
      </c>
      <c r="M6" s="85">
        <f t="shared" ref="M6:M19" si="0">+F6-L6</f>
        <v>0</v>
      </c>
    </row>
    <row r="7" spans="2:13" x14ac:dyDescent="0.45">
      <c r="B7" s="82" t="s">
        <v>208</v>
      </c>
      <c r="C7" s="82" t="s">
        <v>161</v>
      </c>
      <c r="D7" s="82" t="s">
        <v>220</v>
      </c>
      <c r="E7" s="82" t="s">
        <v>273</v>
      </c>
      <c r="F7" s="83">
        <v>260870960</v>
      </c>
      <c r="H7" s="82" t="s">
        <v>208</v>
      </c>
      <c r="I7" s="82" t="s">
        <v>161</v>
      </c>
      <c r="J7" s="82" t="s">
        <v>220</v>
      </c>
      <c r="K7" s="82" t="s">
        <v>273</v>
      </c>
      <c r="L7" s="83">
        <v>260870960</v>
      </c>
      <c r="M7" s="85">
        <f t="shared" si="0"/>
        <v>0</v>
      </c>
    </row>
    <row r="8" spans="2:13" x14ac:dyDescent="0.45">
      <c r="B8" s="82" t="s">
        <v>208</v>
      </c>
      <c r="C8" s="82" t="s">
        <v>162</v>
      </c>
      <c r="D8" s="82" t="s">
        <v>214</v>
      </c>
      <c r="E8" s="82" t="s">
        <v>269</v>
      </c>
      <c r="F8" s="83">
        <v>481960117</v>
      </c>
      <c r="H8" s="82" t="s">
        <v>208</v>
      </c>
      <c r="I8" s="82" t="s">
        <v>162</v>
      </c>
      <c r="J8" s="82" t="s">
        <v>214</v>
      </c>
      <c r="K8" s="82" t="s">
        <v>269</v>
      </c>
      <c r="L8" s="83">
        <v>481960117</v>
      </c>
      <c r="M8" s="85">
        <f t="shared" si="0"/>
        <v>0</v>
      </c>
    </row>
    <row r="9" spans="2:13" x14ac:dyDescent="0.45">
      <c r="B9" s="82" t="s">
        <v>208</v>
      </c>
      <c r="C9" s="82" t="s">
        <v>162</v>
      </c>
      <c r="D9" s="82" t="s">
        <v>215</v>
      </c>
      <c r="E9" s="82" t="s">
        <v>269</v>
      </c>
      <c r="F9" s="83">
        <v>926338572</v>
      </c>
      <c r="H9" s="82" t="s">
        <v>208</v>
      </c>
      <c r="I9" s="82" t="s">
        <v>162</v>
      </c>
      <c r="J9" s="82" t="s">
        <v>215</v>
      </c>
      <c r="K9" s="82" t="s">
        <v>269</v>
      </c>
      <c r="L9" s="83">
        <v>926338572</v>
      </c>
      <c r="M9" s="85">
        <f t="shared" si="0"/>
        <v>0</v>
      </c>
    </row>
    <row r="10" spans="2:13" x14ac:dyDescent="0.45">
      <c r="B10" s="82" t="s">
        <v>208</v>
      </c>
      <c r="C10" s="82" t="s">
        <v>162</v>
      </c>
      <c r="D10" s="82" t="s">
        <v>216</v>
      </c>
      <c r="E10" s="82" t="s">
        <v>269</v>
      </c>
      <c r="F10" s="83">
        <v>475003732</v>
      </c>
      <c r="H10" s="82" t="s">
        <v>208</v>
      </c>
      <c r="I10" s="82" t="s">
        <v>162</v>
      </c>
      <c r="J10" s="82" t="s">
        <v>216</v>
      </c>
      <c r="K10" s="82" t="s">
        <v>269</v>
      </c>
      <c r="L10" s="83">
        <v>475003732</v>
      </c>
      <c r="M10" s="85">
        <f t="shared" si="0"/>
        <v>0</v>
      </c>
    </row>
    <row r="11" spans="2:13" x14ac:dyDescent="0.45">
      <c r="B11" s="82" t="s">
        <v>208</v>
      </c>
      <c r="C11" s="82" t="s">
        <v>162</v>
      </c>
      <c r="D11" s="82" t="s">
        <v>217</v>
      </c>
      <c r="E11" s="82" t="s">
        <v>269</v>
      </c>
      <c r="F11" s="83">
        <v>175876971</v>
      </c>
      <c r="H11" s="82" t="s">
        <v>208</v>
      </c>
      <c r="I11" s="82" t="s">
        <v>162</v>
      </c>
      <c r="J11" s="82" t="s">
        <v>217</v>
      </c>
      <c r="K11" s="82" t="s">
        <v>269</v>
      </c>
      <c r="L11" s="83">
        <v>175876971</v>
      </c>
      <c r="M11" s="85">
        <f t="shared" si="0"/>
        <v>0</v>
      </c>
    </row>
    <row r="12" spans="2:13" x14ac:dyDescent="0.45">
      <c r="B12" s="82" t="s">
        <v>208</v>
      </c>
      <c r="C12" s="82" t="s">
        <v>36</v>
      </c>
      <c r="D12" s="82" t="s">
        <v>211</v>
      </c>
      <c r="E12" s="82" t="s">
        <v>271</v>
      </c>
      <c r="F12" s="83">
        <v>336851064</v>
      </c>
      <c r="H12" s="82" t="s">
        <v>208</v>
      </c>
      <c r="I12" s="82" t="s">
        <v>36</v>
      </c>
      <c r="J12" s="82" t="s">
        <v>211</v>
      </c>
      <c r="K12" s="82" t="s">
        <v>271</v>
      </c>
      <c r="L12" s="83">
        <v>336851064</v>
      </c>
      <c r="M12" s="85">
        <f t="shared" si="0"/>
        <v>0</v>
      </c>
    </row>
    <row r="13" spans="2:13" x14ac:dyDescent="0.45">
      <c r="B13" s="82" t="s">
        <v>208</v>
      </c>
      <c r="C13" s="82" t="s">
        <v>36</v>
      </c>
      <c r="D13" s="82" t="s">
        <v>212</v>
      </c>
      <c r="E13" s="82" t="s">
        <v>272</v>
      </c>
      <c r="F13" s="83">
        <v>168425532</v>
      </c>
      <c r="H13" s="82" t="s">
        <v>208</v>
      </c>
      <c r="I13" s="82" t="s">
        <v>36</v>
      </c>
      <c r="J13" s="82" t="s">
        <v>212</v>
      </c>
      <c r="K13" s="82" t="s">
        <v>272</v>
      </c>
      <c r="L13" s="83">
        <v>168425532</v>
      </c>
      <c r="M13" s="85">
        <f t="shared" si="0"/>
        <v>0</v>
      </c>
    </row>
    <row r="14" spans="2:13" x14ac:dyDescent="0.45">
      <c r="B14" s="82" t="s">
        <v>208</v>
      </c>
      <c r="C14" s="82" t="s">
        <v>36</v>
      </c>
      <c r="D14" s="82" t="s">
        <v>213</v>
      </c>
      <c r="E14" s="82" t="s">
        <v>272</v>
      </c>
      <c r="F14" s="83">
        <v>56141844</v>
      </c>
      <c r="H14" s="82" t="s">
        <v>208</v>
      </c>
      <c r="I14" s="82" t="s">
        <v>36</v>
      </c>
      <c r="J14" s="82" t="s">
        <v>213</v>
      </c>
      <c r="K14" s="82" t="s">
        <v>272</v>
      </c>
      <c r="L14" s="83">
        <v>56141844</v>
      </c>
      <c r="M14" s="85">
        <f t="shared" si="0"/>
        <v>0</v>
      </c>
    </row>
    <row r="15" spans="2:13" x14ac:dyDescent="0.45">
      <c r="B15" s="82" t="s">
        <v>208</v>
      </c>
      <c r="C15" s="82" t="s">
        <v>46</v>
      </c>
      <c r="D15" s="82" t="s">
        <v>219</v>
      </c>
      <c r="E15" s="82" t="s">
        <v>266</v>
      </c>
      <c r="F15" s="83">
        <v>206558000</v>
      </c>
      <c r="H15" s="82" t="s">
        <v>208</v>
      </c>
      <c r="I15" s="82" t="s">
        <v>46</v>
      </c>
      <c r="J15" s="82" t="s">
        <v>219</v>
      </c>
      <c r="K15" s="82" t="s">
        <v>266</v>
      </c>
      <c r="L15" s="83">
        <v>206558000</v>
      </c>
      <c r="M15" s="85">
        <f t="shared" si="0"/>
        <v>0</v>
      </c>
    </row>
    <row r="16" spans="2:13" x14ac:dyDescent="0.45">
      <c r="B16" s="82" t="s">
        <v>208</v>
      </c>
      <c r="C16" s="82" t="s">
        <v>163</v>
      </c>
      <c r="D16" s="82" t="s">
        <v>219</v>
      </c>
      <c r="E16" s="82" t="s">
        <v>266</v>
      </c>
      <c r="F16" s="83">
        <v>171068294</v>
      </c>
      <c r="H16" s="82" t="s">
        <v>208</v>
      </c>
      <c r="I16" s="82" t="s">
        <v>163</v>
      </c>
      <c r="J16" s="82" t="s">
        <v>219</v>
      </c>
      <c r="K16" s="82" t="s">
        <v>266</v>
      </c>
      <c r="L16" s="83">
        <v>171068294</v>
      </c>
      <c r="M16" s="85">
        <f t="shared" si="0"/>
        <v>0</v>
      </c>
    </row>
    <row r="17" spans="2:13" x14ac:dyDescent="0.45">
      <c r="B17" s="82" t="s">
        <v>208</v>
      </c>
      <c r="C17" s="82" t="s">
        <v>164</v>
      </c>
      <c r="D17" s="82" t="s">
        <v>219</v>
      </c>
      <c r="E17" s="82" t="s">
        <v>266</v>
      </c>
      <c r="F17" s="83">
        <v>229431788</v>
      </c>
      <c r="H17" s="82" t="s">
        <v>208</v>
      </c>
      <c r="I17" s="82" t="s">
        <v>164</v>
      </c>
      <c r="J17" s="82" t="s">
        <v>219</v>
      </c>
      <c r="K17" s="82" t="s">
        <v>266</v>
      </c>
      <c r="L17" s="83">
        <v>229431788</v>
      </c>
      <c r="M17" s="85">
        <f t="shared" si="0"/>
        <v>0</v>
      </c>
    </row>
    <row r="18" spans="2:13" x14ac:dyDescent="0.45">
      <c r="B18" s="82" t="s">
        <v>208</v>
      </c>
      <c r="C18" s="82" t="s">
        <v>166</v>
      </c>
      <c r="D18" s="82" t="s">
        <v>218</v>
      </c>
      <c r="E18" s="82" t="s">
        <v>266</v>
      </c>
      <c r="F18" s="83">
        <v>1239712750</v>
      </c>
      <c r="H18" s="82" t="s">
        <v>208</v>
      </c>
      <c r="I18" s="82" t="s">
        <v>166</v>
      </c>
      <c r="J18" s="82" t="s">
        <v>218</v>
      </c>
      <c r="K18" s="82" t="s">
        <v>266</v>
      </c>
      <c r="L18" s="83">
        <v>1239712750</v>
      </c>
      <c r="M18" s="85">
        <f t="shared" si="0"/>
        <v>0</v>
      </c>
    </row>
    <row r="19" spans="2:13" x14ac:dyDescent="0.45">
      <c r="B19" s="82" t="s">
        <v>208</v>
      </c>
      <c r="C19" s="82" t="s">
        <v>166</v>
      </c>
      <c r="D19" s="82" t="s">
        <v>219</v>
      </c>
      <c r="E19" s="82" t="s">
        <v>266</v>
      </c>
      <c r="F19" s="83">
        <v>248759474</v>
      </c>
      <c r="H19" s="82" t="s">
        <v>208</v>
      </c>
      <c r="I19" s="82" t="s">
        <v>166</v>
      </c>
      <c r="J19" s="82" t="s">
        <v>219</v>
      </c>
      <c r="K19" s="82" t="s">
        <v>266</v>
      </c>
      <c r="L19" s="83">
        <v>248759474</v>
      </c>
      <c r="M19" s="85">
        <f t="shared" si="0"/>
        <v>0</v>
      </c>
    </row>
    <row r="20" spans="2:13" x14ac:dyDescent="0.45">
      <c r="B20" s="78" t="s">
        <v>27</v>
      </c>
      <c r="C20" s="78"/>
      <c r="D20" s="78"/>
      <c r="E20" s="78"/>
      <c r="F20" s="84">
        <f>SUM(F6:F19)</f>
        <v>5237870058</v>
      </c>
      <c r="H20" s="78" t="s">
        <v>27</v>
      </c>
      <c r="K20" s="79"/>
      <c r="L20" s="86">
        <f>SUM(L6:L19)</f>
        <v>5237870058</v>
      </c>
      <c r="M20" s="80">
        <f>SUM(M6:M19)</f>
        <v>0</v>
      </c>
    </row>
    <row r="21" spans="2:13" x14ac:dyDescent="0.45">
      <c r="K21" s="79"/>
      <c r="L21" s="80"/>
    </row>
    <row r="22" spans="2:13" x14ac:dyDescent="0.45">
      <c r="B22" s="78" t="s">
        <v>417</v>
      </c>
      <c r="H22" s="78" t="s">
        <v>422</v>
      </c>
      <c r="K22" s="79"/>
      <c r="L22" s="80"/>
    </row>
    <row r="23" spans="2:13" x14ac:dyDescent="0.45">
      <c r="B23" s="78" t="s">
        <v>418</v>
      </c>
      <c r="H23" s="78" t="s">
        <v>418</v>
      </c>
      <c r="K23" s="79"/>
      <c r="L23" s="80"/>
    </row>
    <row r="24" spans="2:13" x14ac:dyDescent="0.45">
      <c r="B24" s="78" t="s">
        <v>209</v>
      </c>
      <c r="H24" s="78" t="s">
        <v>209</v>
      </c>
      <c r="K24" s="79"/>
      <c r="L24" s="80"/>
    </row>
    <row r="25" spans="2:13" s="25" customFormat="1" ht="33" x14ac:dyDescent="0.35">
      <c r="B25" s="55" t="s">
        <v>52</v>
      </c>
      <c r="C25" s="55" t="s">
        <v>0</v>
      </c>
      <c r="D25" s="64" t="s">
        <v>2</v>
      </c>
      <c r="E25" s="55" t="s">
        <v>231</v>
      </c>
      <c r="F25" s="87" t="s">
        <v>416</v>
      </c>
      <c r="H25" s="55" t="s">
        <v>52</v>
      </c>
      <c r="I25" s="55" t="s">
        <v>0</v>
      </c>
      <c r="J25" s="55" t="s">
        <v>2</v>
      </c>
      <c r="K25" s="55" t="s">
        <v>231</v>
      </c>
      <c r="L25" s="87" t="s">
        <v>416</v>
      </c>
      <c r="M25" s="87" t="s">
        <v>419</v>
      </c>
    </row>
    <row r="26" spans="2:13" x14ac:dyDescent="0.45">
      <c r="B26" s="82" t="s">
        <v>209</v>
      </c>
      <c r="C26" s="82" t="s">
        <v>166</v>
      </c>
      <c r="D26" s="82" t="s">
        <v>230</v>
      </c>
      <c r="E26" s="82" t="s">
        <v>274</v>
      </c>
      <c r="F26" s="83">
        <v>99912253</v>
      </c>
      <c r="H26" s="82" t="s">
        <v>209</v>
      </c>
      <c r="I26" s="82" t="s">
        <v>166</v>
      </c>
      <c r="J26" s="82" t="s">
        <v>230</v>
      </c>
      <c r="K26" s="82" t="s">
        <v>274</v>
      </c>
      <c r="L26" s="83">
        <v>99912253</v>
      </c>
      <c r="M26" s="85">
        <f t="shared" ref="M26:M37" si="1">+F26-L26</f>
        <v>0</v>
      </c>
    </row>
    <row r="27" spans="2:13" x14ac:dyDescent="0.45">
      <c r="B27" s="82" t="s">
        <v>209</v>
      </c>
      <c r="C27" s="82" t="s">
        <v>166</v>
      </c>
      <c r="D27" s="82" t="s">
        <v>227</v>
      </c>
      <c r="E27" s="82" t="s">
        <v>264</v>
      </c>
      <c r="F27" s="83">
        <v>899210268</v>
      </c>
      <c r="H27" s="82" t="s">
        <v>209</v>
      </c>
      <c r="I27" s="82" t="s">
        <v>166</v>
      </c>
      <c r="J27" s="82" t="s">
        <v>227</v>
      </c>
      <c r="K27" s="82" t="s">
        <v>264</v>
      </c>
      <c r="L27" s="83">
        <v>899210268</v>
      </c>
      <c r="M27" s="85">
        <f t="shared" si="1"/>
        <v>0</v>
      </c>
    </row>
    <row r="28" spans="2:13" x14ac:dyDescent="0.45">
      <c r="B28" s="82" t="s">
        <v>209</v>
      </c>
      <c r="C28" s="82" t="s">
        <v>165</v>
      </c>
      <c r="D28" s="82" t="s">
        <v>229</v>
      </c>
      <c r="E28" s="82" t="s">
        <v>263</v>
      </c>
      <c r="F28" s="83">
        <v>2793994517</v>
      </c>
      <c r="H28" s="82" t="s">
        <v>209</v>
      </c>
      <c r="I28" s="82" t="s">
        <v>165</v>
      </c>
      <c r="J28" s="82" t="s">
        <v>229</v>
      </c>
      <c r="K28" s="82" t="s">
        <v>263</v>
      </c>
      <c r="L28" s="83">
        <v>2793994517</v>
      </c>
      <c r="M28" s="85">
        <f t="shared" si="1"/>
        <v>0</v>
      </c>
    </row>
    <row r="29" spans="2:13" x14ac:dyDescent="0.45">
      <c r="B29" s="82" t="s">
        <v>209</v>
      </c>
      <c r="C29" s="82" t="s">
        <v>167</v>
      </c>
      <c r="D29" s="82" t="s">
        <v>221</v>
      </c>
      <c r="E29" s="82" t="s">
        <v>259</v>
      </c>
      <c r="F29" s="92">
        <v>162500000</v>
      </c>
      <c r="H29" s="82" t="s">
        <v>209</v>
      </c>
      <c r="I29" s="82" t="s">
        <v>167</v>
      </c>
      <c r="J29" s="82" t="s">
        <v>221</v>
      </c>
      <c r="K29" s="82" t="s">
        <v>259</v>
      </c>
      <c r="L29" s="92">
        <v>162500000</v>
      </c>
      <c r="M29" s="85">
        <f t="shared" si="1"/>
        <v>0</v>
      </c>
    </row>
    <row r="30" spans="2:13" x14ac:dyDescent="0.45">
      <c r="B30" s="82" t="s">
        <v>209</v>
      </c>
      <c r="C30" s="82" t="s">
        <v>167</v>
      </c>
      <c r="D30" s="82" t="s">
        <v>221</v>
      </c>
      <c r="E30" s="82" t="s">
        <v>260</v>
      </c>
      <c r="F30" s="92">
        <v>698601047</v>
      </c>
      <c r="H30" s="82" t="s">
        <v>209</v>
      </c>
      <c r="I30" s="82" t="s">
        <v>167</v>
      </c>
      <c r="J30" s="82" t="s">
        <v>221</v>
      </c>
      <c r="K30" s="82" t="s">
        <v>260</v>
      </c>
      <c r="L30" s="92">
        <v>698601047</v>
      </c>
      <c r="M30" s="85">
        <f t="shared" si="1"/>
        <v>0</v>
      </c>
    </row>
    <row r="31" spans="2:13" x14ac:dyDescent="0.45">
      <c r="B31" s="82" t="s">
        <v>209</v>
      </c>
      <c r="C31" s="82" t="s">
        <v>167</v>
      </c>
      <c r="D31" s="82" t="s">
        <v>221</v>
      </c>
      <c r="E31" s="82" t="s">
        <v>262</v>
      </c>
      <c r="F31" s="92">
        <v>387093222</v>
      </c>
      <c r="H31" s="82" t="s">
        <v>209</v>
      </c>
      <c r="I31" s="82" t="s">
        <v>167</v>
      </c>
      <c r="J31" s="82" t="s">
        <v>221</v>
      </c>
      <c r="K31" s="82" t="s">
        <v>262</v>
      </c>
      <c r="L31" s="92">
        <v>387093222</v>
      </c>
      <c r="M31" s="85">
        <f t="shared" si="1"/>
        <v>0</v>
      </c>
    </row>
    <row r="32" spans="2:13" x14ac:dyDescent="0.45">
      <c r="B32" s="82" t="s">
        <v>209</v>
      </c>
      <c r="C32" s="82" t="s">
        <v>167</v>
      </c>
      <c r="D32" s="82" t="s">
        <v>225</v>
      </c>
      <c r="E32" s="82" t="s">
        <v>261</v>
      </c>
      <c r="F32" s="83">
        <v>639843601</v>
      </c>
      <c r="H32" s="82" t="s">
        <v>209</v>
      </c>
      <c r="I32" s="82" t="s">
        <v>167</v>
      </c>
      <c r="J32" s="82" t="s">
        <v>225</v>
      </c>
      <c r="K32" s="82" t="s">
        <v>261</v>
      </c>
      <c r="L32" s="83">
        <v>639843601</v>
      </c>
      <c r="M32" s="85">
        <f t="shared" si="1"/>
        <v>0</v>
      </c>
    </row>
    <row r="33" spans="2:13" x14ac:dyDescent="0.45">
      <c r="B33" s="82" t="s">
        <v>209</v>
      </c>
      <c r="C33" s="82" t="s">
        <v>167</v>
      </c>
      <c r="D33" s="82" t="s">
        <v>226</v>
      </c>
      <c r="E33" s="82" t="s">
        <v>261</v>
      </c>
      <c r="F33" s="83">
        <v>51767209</v>
      </c>
      <c r="H33" s="82" t="s">
        <v>209</v>
      </c>
      <c r="I33" s="82" t="s">
        <v>167</v>
      </c>
      <c r="J33" s="82" t="s">
        <v>226</v>
      </c>
      <c r="K33" s="82" t="s">
        <v>261</v>
      </c>
      <c r="L33" s="83">
        <v>51767209</v>
      </c>
      <c r="M33" s="85">
        <f t="shared" si="1"/>
        <v>0</v>
      </c>
    </row>
    <row r="34" spans="2:13" x14ac:dyDescent="0.45">
      <c r="B34" s="82" t="s">
        <v>209</v>
      </c>
      <c r="C34" s="82" t="s">
        <v>168</v>
      </c>
      <c r="D34" s="82" t="s">
        <v>224</v>
      </c>
      <c r="E34" s="82" t="s">
        <v>267</v>
      </c>
      <c r="F34" s="83">
        <v>4450000000</v>
      </c>
      <c r="H34" s="82" t="s">
        <v>209</v>
      </c>
      <c r="I34" s="82" t="s">
        <v>168</v>
      </c>
      <c r="J34" s="82" t="s">
        <v>224</v>
      </c>
      <c r="K34" s="82" t="s">
        <v>267</v>
      </c>
      <c r="L34" s="83">
        <v>4450000000</v>
      </c>
      <c r="M34" s="85">
        <f t="shared" si="1"/>
        <v>0</v>
      </c>
    </row>
    <row r="35" spans="2:13" x14ac:dyDescent="0.45">
      <c r="B35" s="82" t="s">
        <v>209</v>
      </c>
      <c r="C35" s="82" t="s">
        <v>168</v>
      </c>
      <c r="D35" s="82" t="s">
        <v>224</v>
      </c>
      <c r="E35" s="82" t="s">
        <v>270</v>
      </c>
      <c r="F35" s="83">
        <v>1071405909</v>
      </c>
      <c r="H35" s="82" t="s">
        <v>209</v>
      </c>
      <c r="I35" s="82" t="s">
        <v>168</v>
      </c>
      <c r="J35" s="82" t="s">
        <v>224</v>
      </c>
      <c r="K35" s="82" t="s">
        <v>270</v>
      </c>
      <c r="L35" s="83">
        <v>1071405909</v>
      </c>
      <c r="M35" s="85">
        <f t="shared" si="1"/>
        <v>0</v>
      </c>
    </row>
    <row r="36" spans="2:13" x14ac:dyDescent="0.45">
      <c r="B36" s="82" t="s">
        <v>209</v>
      </c>
      <c r="C36" s="82" t="s">
        <v>169</v>
      </c>
      <c r="D36" s="82" t="s">
        <v>222</v>
      </c>
      <c r="E36" s="82" t="s">
        <v>258</v>
      </c>
      <c r="F36" s="83">
        <v>1275620000</v>
      </c>
      <c r="H36" s="82" t="s">
        <v>209</v>
      </c>
      <c r="I36" s="82" t="s">
        <v>169</v>
      </c>
      <c r="J36" s="82" t="s">
        <v>222</v>
      </c>
      <c r="K36" s="82" t="s">
        <v>258</v>
      </c>
      <c r="L36" s="83">
        <v>1275620000</v>
      </c>
      <c r="M36" s="85">
        <f t="shared" si="1"/>
        <v>0</v>
      </c>
    </row>
    <row r="37" spans="2:13" x14ac:dyDescent="0.45">
      <c r="B37" s="82" t="s">
        <v>209</v>
      </c>
      <c r="C37" s="82" t="s">
        <v>169</v>
      </c>
      <c r="D37" s="82" t="s">
        <v>222</v>
      </c>
      <c r="E37" s="82" t="s">
        <v>268</v>
      </c>
      <c r="F37" s="83">
        <v>5739596933</v>
      </c>
      <c r="H37" s="82" t="s">
        <v>209</v>
      </c>
      <c r="I37" s="82" t="s">
        <v>169</v>
      </c>
      <c r="J37" s="82" t="s">
        <v>222</v>
      </c>
      <c r="K37" s="82" t="s">
        <v>268</v>
      </c>
      <c r="L37" s="83">
        <v>5739596933</v>
      </c>
      <c r="M37" s="85">
        <f t="shared" si="1"/>
        <v>0</v>
      </c>
    </row>
    <row r="38" spans="2:13" x14ac:dyDescent="0.45">
      <c r="B38" s="78" t="s">
        <v>27</v>
      </c>
      <c r="F38" s="84">
        <v>18269544959</v>
      </c>
      <c r="H38" s="78" t="s">
        <v>27</v>
      </c>
      <c r="K38" s="79"/>
      <c r="L38" s="84">
        <v>18269544959</v>
      </c>
      <c r="M38" s="81"/>
    </row>
    <row r="39" spans="2:13" x14ac:dyDescent="0.45">
      <c r="M39" s="8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theme="8" tint="0.39997558519241921"/>
  </sheetPr>
  <dimension ref="B2:K39"/>
  <sheetViews>
    <sheetView showGridLines="0" zoomScale="55" zoomScaleNormal="55" workbookViewId="0">
      <selection activeCell="B4" sqref="B4:G4"/>
    </sheetView>
  </sheetViews>
  <sheetFormatPr baseColWidth="10" defaultColWidth="10.7265625" defaultRowHeight="16.5" x14ac:dyDescent="0.35"/>
  <cols>
    <col min="1" max="1" width="10.7265625" style="22"/>
    <col min="2" max="2" width="58.1796875" style="25" customWidth="1"/>
    <col min="3" max="3" width="15.81640625" style="23" customWidth="1"/>
    <col min="4" max="4" width="20" style="59" bestFit="1" customWidth="1"/>
    <col min="5" max="5" width="31.453125" style="23" customWidth="1"/>
    <col min="6" max="6" width="36.453125" style="23" customWidth="1"/>
    <col min="7" max="7" width="53.1796875" style="25" customWidth="1"/>
    <col min="8" max="11" width="10.7265625" style="25"/>
    <col min="12" max="16384" width="10.7265625" style="22"/>
  </cols>
  <sheetData>
    <row r="2" spans="2:7" x14ac:dyDescent="0.35">
      <c r="B2" s="55">
        <v>8126</v>
      </c>
    </row>
    <row r="3" spans="2:7" ht="49.5" x14ac:dyDescent="0.35">
      <c r="B3" s="55" t="s">
        <v>88</v>
      </c>
      <c r="C3" s="55" t="s">
        <v>305</v>
      </c>
      <c r="D3" s="60" t="s">
        <v>306</v>
      </c>
      <c r="E3" s="64" t="s">
        <v>206</v>
      </c>
      <c r="F3" s="55" t="s">
        <v>207</v>
      </c>
      <c r="G3" s="55" t="s">
        <v>307</v>
      </c>
    </row>
    <row r="4" spans="2:7" ht="49.5" x14ac:dyDescent="0.35">
      <c r="B4" s="56" t="s">
        <v>93</v>
      </c>
      <c r="C4" s="57" t="s">
        <v>308</v>
      </c>
      <c r="D4" s="61">
        <v>336851064</v>
      </c>
      <c r="E4" s="57" t="s">
        <v>309</v>
      </c>
      <c r="F4" s="57" t="s">
        <v>271</v>
      </c>
      <c r="G4" s="56" t="s">
        <v>138</v>
      </c>
    </row>
    <row r="5" spans="2:7" ht="99" x14ac:dyDescent="0.35">
      <c r="B5" s="56" t="s">
        <v>98</v>
      </c>
      <c r="C5" s="57" t="s">
        <v>308</v>
      </c>
      <c r="D5" s="61">
        <v>168425532</v>
      </c>
      <c r="E5" s="57" t="s">
        <v>310</v>
      </c>
      <c r="F5" s="57" t="s">
        <v>272</v>
      </c>
      <c r="G5" s="56" t="s">
        <v>138</v>
      </c>
    </row>
    <row r="6" spans="2:7" ht="33" x14ac:dyDescent="0.35">
      <c r="B6" s="56" t="s">
        <v>103</v>
      </c>
      <c r="C6" s="57" t="s">
        <v>308</v>
      </c>
      <c r="D6" s="61">
        <v>56141844</v>
      </c>
      <c r="E6" s="57" t="s">
        <v>310</v>
      </c>
      <c r="F6" s="57" t="s">
        <v>272</v>
      </c>
      <c r="G6" s="56" t="s">
        <v>138</v>
      </c>
    </row>
    <row r="7" spans="2:7" ht="115.5" x14ac:dyDescent="0.35">
      <c r="B7" s="56" t="s">
        <v>106</v>
      </c>
      <c r="C7" s="57" t="s">
        <v>311</v>
      </c>
      <c r="D7" s="61">
        <v>481960117</v>
      </c>
      <c r="E7" s="57" t="s">
        <v>312</v>
      </c>
      <c r="F7" s="57" t="s">
        <v>269</v>
      </c>
      <c r="G7" s="56" t="s">
        <v>313</v>
      </c>
    </row>
    <row r="8" spans="2:7" ht="115.5" x14ac:dyDescent="0.35">
      <c r="B8" s="56" t="s">
        <v>111</v>
      </c>
      <c r="C8" s="57" t="s">
        <v>311</v>
      </c>
      <c r="D8" s="61">
        <v>926338572</v>
      </c>
      <c r="E8" s="57" t="s">
        <v>312</v>
      </c>
      <c r="F8" s="57" t="s">
        <v>269</v>
      </c>
      <c r="G8" s="56" t="s">
        <v>314</v>
      </c>
    </row>
    <row r="9" spans="2:7" ht="49.5" x14ac:dyDescent="0.35">
      <c r="B9" s="56" t="s">
        <v>116</v>
      </c>
      <c r="C9" s="57" t="s">
        <v>311</v>
      </c>
      <c r="D9" s="61">
        <v>475003732</v>
      </c>
      <c r="E9" s="57" t="s">
        <v>312</v>
      </c>
      <c r="F9" s="57" t="s">
        <v>269</v>
      </c>
      <c r="G9" s="56" t="s">
        <v>138</v>
      </c>
    </row>
    <row r="10" spans="2:7" ht="49.5" x14ac:dyDescent="0.35">
      <c r="B10" s="56" t="s">
        <v>121</v>
      </c>
      <c r="C10" s="57" t="s">
        <v>311</v>
      </c>
      <c r="D10" s="61">
        <v>175876971</v>
      </c>
      <c r="E10" s="57" t="s">
        <v>312</v>
      </c>
      <c r="F10" s="57" t="s">
        <v>269</v>
      </c>
      <c r="G10" s="56" t="s">
        <v>37</v>
      </c>
    </row>
    <row r="11" spans="2:7" ht="148.5" x14ac:dyDescent="0.35">
      <c r="B11" s="56" t="s">
        <v>126</v>
      </c>
      <c r="C11" s="57" t="s">
        <v>315</v>
      </c>
      <c r="D11" s="61">
        <v>1239712750</v>
      </c>
      <c r="E11" s="57" t="s">
        <v>316</v>
      </c>
      <c r="F11" s="57" t="s">
        <v>266</v>
      </c>
      <c r="G11" s="56" t="s">
        <v>317</v>
      </c>
    </row>
    <row r="12" spans="2:7" ht="49.5" customHeight="1" x14ac:dyDescent="0.35">
      <c r="B12" s="300" t="s">
        <v>131</v>
      </c>
      <c r="C12" s="57" t="s">
        <v>318</v>
      </c>
      <c r="D12" s="61">
        <v>260870960</v>
      </c>
      <c r="E12" s="57" t="s">
        <v>316</v>
      </c>
      <c r="F12" s="57" t="s">
        <v>266</v>
      </c>
      <c r="G12" s="56" t="s">
        <v>138</v>
      </c>
    </row>
    <row r="13" spans="2:7" ht="33" x14ac:dyDescent="0.35">
      <c r="B13" s="304"/>
      <c r="C13" s="57" t="s">
        <v>319</v>
      </c>
      <c r="D13" s="61">
        <v>206558000</v>
      </c>
      <c r="E13" s="57" t="s">
        <v>316</v>
      </c>
      <c r="F13" s="57" t="s">
        <v>266</v>
      </c>
      <c r="G13" s="56" t="s">
        <v>138</v>
      </c>
    </row>
    <row r="14" spans="2:7" ht="33" x14ac:dyDescent="0.35">
      <c r="B14" s="304"/>
      <c r="C14" s="57" t="s">
        <v>320</v>
      </c>
      <c r="D14" s="61">
        <v>171068294</v>
      </c>
      <c r="E14" s="57" t="s">
        <v>316</v>
      </c>
      <c r="F14" s="57" t="s">
        <v>266</v>
      </c>
      <c r="G14" s="56" t="s">
        <v>138</v>
      </c>
    </row>
    <row r="15" spans="2:7" ht="33" x14ac:dyDescent="0.35">
      <c r="B15" s="304"/>
      <c r="C15" s="57" t="s">
        <v>321</v>
      </c>
      <c r="D15" s="61">
        <v>229431788</v>
      </c>
      <c r="E15" s="57" t="s">
        <v>316</v>
      </c>
      <c r="F15" s="57" t="s">
        <v>266</v>
      </c>
      <c r="G15" s="56" t="s">
        <v>138</v>
      </c>
    </row>
    <row r="16" spans="2:7" ht="33" x14ac:dyDescent="0.35">
      <c r="B16" s="301"/>
      <c r="C16" s="57" t="s">
        <v>315</v>
      </c>
      <c r="D16" s="61">
        <v>248759474</v>
      </c>
      <c r="E16" s="57" t="s">
        <v>316</v>
      </c>
      <c r="F16" s="57" t="s">
        <v>266</v>
      </c>
      <c r="G16" s="56" t="s">
        <v>138</v>
      </c>
    </row>
    <row r="17" spans="2:11" ht="66" x14ac:dyDescent="0.35">
      <c r="B17" s="56" t="s">
        <v>135</v>
      </c>
      <c r="C17" s="57" t="s">
        <v>318</v>
      </c>
      <c r="D17" s="61">
        <v>260870960</v>
      </c>
      <c r="E17" s="57" t="s">
        <v>322</v>
      </c>
      <c r="F17" s="57" t="s">
        <v>273</v>
      </c>
      <c r="G17" s="56" t="s">
        <v>138</v>
      </c>
    </row>
    <row r="18" spans="2:11" x14ac:dyDescent="0.35">
      <c r="B18" s="24" t="s">
        <v>344</v>
      </c>
      <c r="D18" s="62">
        <v>5237870058</v>
      </c>
    </row>
    <row r="19" spans="2:11" x14ac:dyDescent="0.35">
      <c r="F19" s="23" t="s">
        <v>323</v>
      </c>
    </row>
    <row r="20" spans="2:11" x14ac:dyDescent="0.35">
      <c r="F20" s="23" t="s">
        <v>323</v>
      </c>
    </row>
    <row r="21" spans="2:11" x14ac:dyDescent="0.35">
      <c r="B21" s="55">
        <v>8173</v>
      </c>
      <c r="C21" s="57"/>
      <c r="D21" s="61"/>
      <c r="E21" s="57"/>
      <c r="F21" s="57" t="s">
        <v>323</v>
      </c>
      <c r="G21" s="58"/>
    </row>
    <row r="22" spans="2:11" s="91" customFormat="1" ht="49.5" x14ac:dyDescent="0.35">
      <c r="B22" s="55" t="s">
        <v>89</v>
      </c>
      <c r="C22" s="55" t="s">
        <v>305</v>
      </c>
      <c r="D22" s="60" t="s">
        <v>306</v>
      </c>
      <c r="E22" s="64" t="s">
        <v>206</v>
      </c>
      <c r="F22" s="55" t="s">
        <v>207</v>
      </c>
      <c r="G22" s="55" t="s">
        <v>307</v>
      </c>
      <c r="H22" s="24"/>
      <c r="I22" s="24"/>
      <c r="J22" s="24"/>
      <c r="K22" s="24"/>
    </row>
    <row r="23" spans="2:11" ht="33" x14ac:dyDescent="0.35">
      <c r="B23" s="305" t="s">
        <v>94</v>
      </c>
      <c r="C23" s="308" t="s">
        <v>324</v>
      </c>
      <c r="D23" s="88">
        <v>162500000</v>
      </c>
      <c r="E23" s="90" t="s">
        <v>325</v>
      </c>
      <c r="F23" s="90" t="s">
        <v>259</v>
      </c>
      <c r="G23" s="89" t="s">
        <v>138</v>
      </c>
    </row>
    <row r="24" spans="2:11" ht="33" x14ac:dyDescent="0.35">
      <c r="B24" s="306"/>
      <c r="C24" s="309"/>
      <c r="D24" s="88">
        <v>698601047</v>
      </c>
      <c r="E24" s="90" t="s">
        <v>326</v>
      </c>
      <c r="F24" s="90" t="s">
        <v>260</v>
      </c>
      <c r="G24" s="89" t="s">
        <v>327</v>
      </c>
    </row>
    <row r="25" spans="2:11" ht="33" x14ac:dyDescent="0.35">
      <c r="B25" s="307"/>
      <c r="C25" s="310"/>
      <c r="D25" s="88">
        <v>387093222</v>
      </c>
      <c r="E25" s="90" t="s">
        <v>328</v>
      </c>
      <c r="F25" s="90" t="s">
        <v>262</v>
      </c>
      <c r="G25" s="89" t="s">
        <v>138</v>
      </c>
    </row>
    <row r="26" spans="2:11" ht="33" x14ac:dyDescent="0.35">
      <c r="B26" s="300" t="s">
        <v>99</v>
      </c>
      <c r="C26" s="302" t="s">
        <v>329</v>
      </c>
      <c r="D26" s="61">
        <v>1275620000</v>
      </c>
      <c r="E26" s="57" t="s">
        <v>330</v>
      </c>
      <c r="F26" s="57" t="s">
        <v>258</v>
      </c>
      <c r="G26" s="56" t="s">
        <v>138</v>
      </c>
    </row>
    <row r="27" spans="2:11" ht="49.5" x14ac:dyDescent="0.35">
      <c r="B27" s="301"/>
      <c r="C27" s="303"/>
      <c r="D27" s="61">
        <v>5739596933</v>
      </c>
      <c r="E27" s="57" t="s">
        <v>331</v>
      </c>
      <c r="F27" s="57" t="s">
        <v>268</v>
      </c>
      <c r="G27" s="56" t="s">
        <v>332</v>
      </c>
    </row>
    <row r="28" spans="2:11" ht="49.5" x14ac:dyDescent="0.35">
      <c r="B28" s="56" t="s">
        <v>104</v>
      </c>
      <c r="C28" s="57" t="s">
        <v>329</v>
      </c>
      <c r="D28" s="61">
        <v>0</v>
      </c>
      <c r="E28" s="57" t="s">
        <v>333</v>
      </c>
      <c r="F28" s="57" t="s">
        <v>267</v>
      </c>
      <c r="G28" s="56" t="s">
        <v>304</v>
      </c>
    </row>
    <row r="29" spans="2:11" ht="115.5" x14ac:dyDescent="0.35">
      <c r="B29" s="300" t="s">
        <v>107</v>
      </c>
      <c r="C29" s="302" t="s">
        <v>334</v>
      </c>
      <c r="D29" s="61">
        <v>4450000000</v>
      </c>
      <c r="E29" s="57" t="s">
        <v>333</v>
      </c>
      <c r="F29" s="57" t="s">
        <v>267</v>
      </c>
      <c r="G29" s="56" t="s">
        <v>423</v>
      </c>
    </row>
    <row r="30" spans="2:11" ht="33" x14ac:dyDescent="0.35">
      <c r="B30" s="301"/>
      <c r="C30" s="303"/>
      <c r="D30" s="61">
        <v>1071405909</v>
      </c>
      <c r="E30" s="57" t="s">
        <v>335</v>
      </c>
      <c r="F30" s="57" t="s">
        <v>270</v>
      </c>
      <c r="G30" s="56" t="s">
        <v>138</v>
      </c>
    </row>
    <row r="31" spans="2:11" ht="33" x14ac:dyDescent="0.35">
      <c r="B31" s="89" t="s">
        <v>112</v>
      </c>
      <c r="C31" s="90" t="s">
        <v>324</v>
      </c>
      <c r="D31" s="88">
        <v>639843601</v>
      </c>
      <c r="E31" s="90" t="s">
        <v>336</v>
      </c>
      <c r="F31" s="90" t="s">
        <v>261</v>
      </c>
      <c r="G31" s="89" t="s">
        <v>138</v>
      </c>
    </row>
    <row r="32" spans="2:11" ht="49.5" x14ac:dyDescent="0.35">
      <c r="B32" s="89" t="s">
        <v>117</v>
      </c>
      <c r="C32" s="90" t="s">
        <v>324</v>
      </c>
      <c r="D32" s="88">
        <v>51767209</v>
      </c>
      <c r="E32" s="90" t="s">
        <v>336</v>
      </c>
      <c r="F32" s="90" t="s">
        <v>261</v>
      </c>
      <c r="G32" s="89" t="s">
        <v>138</v>
      </c>
    </row>
    <row r="33" spans="2:7" ht="33" x14ac:dyDescent="0.35">
      <c r="B33" s="58" t="s">
        <v>122</v>
      </c>
      <c r="C33" s="57" t="s">
        <v>315</v>
      </c>
      <c r="D33" s="61">
        <v>899210268</v>
      </c>
      <c r="E33" s="57" t="s">
        <v>337</v>
      </c>
      <c r="F33" s="57" t="s">
        <v>264</v>
      </c>
      <c r="G33" s="56" t="s">
        <v>338</v>
      </c>
    </row>
    <row r="34" spans="2:7" ht="33" x14ac:dyDescent="0.35">
      <c r="B34" s="58" t="s">
        <v>127</v>
      </c>
      <c r="C34" s="57" t="s">
        <v>315</v>
      </c>
      <c r="D34" s="61">
        <v>0</v>
      </c>
      <c r="E34" s="57" t="s">
        <v>339</v>
      </c>
      <c r="F34" s="57" t="s">
        <v>265</v>
      </c>
      <c r="G34" s="56" t="s">
        <v>102</v>
      </c>
    </row>
    <row r="35" spans="2:7" ht="66" x14ac:dyDescent="0.35">
      <c r="B35" s="56" t="s">
        <v>132</v>
      </c>
      <c r="C35" s="57" t="s">
        <v>340</v>
      </c>
      <c r="D35" s="61">
        <v>2793994517</v>
      </c>
      <c r="E35" s="57" t="s">
        <v>341</v>
      </c>
      <c r="F35" s="57" t="s">
        <v>263</v>
      </c>
      <c r="G35" s="56" t="s">
        <v>342</v>
      </c>
    </row>
    <row r="36" spans="2:7" ht="33" x14ac:dyDescent="0.35">
      <c r="B36" s="56" t="s">
        <v>136</v>
      </c>
      <c r="C36" s="57" t="s">
        <v>315</v>
      </c>
      <c r="D36" s="61">
        <v>99912253</v>
      </c>
      <c r="E36" s="57" t="s">
        <v>343</v>
      </c>
      <c r="F36" s="57" t="s">
        <v>274</v>
      </c>
      <c r="G36" s="56" t="s">
        <v>138</v>
      </c>
    </row>
    <row r="37" spans="2:7" x14ac:dyDescent="0.35">
      <c r="B37" s="24" t="s">
        <v>344</v>
      </c>
      <c r="D37" s="62">
        <f>SUM(D23:D36)</f>
        <v>18269544959</v>
      </c>
      <c r="F37" s="23" t="s">
        <v>323</v>
      </c>
    </row>
    <row r="39" spans="2:7" x14ac:dyDescent="0.35">
      <c r="B39" s="24" t="s">
        <v>345</v>
      </c>
      <c r="C39" s="24"/>
      <c r="D39" s="63">
        <v>23507415017</v>
      </c>
      <c r="F39" s="23" t="s">
        <v>323</v>
      </c>
    </row>
  </sheetData>
  <mergeCells count="7">
    <mergeCell ref="B29:B30"/>
    <mergeCell ref="C29:C30"/>
    <mergeCell ref="B12:B16"/>
    <mergeCell ref="B23:B25"/>
    <mergeCell ref="B26:B27"/>
    <mergeCell ref="C23:C25"/>
    <mergeCell ref="C26:C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B1:Z76"/>
  <sheetViews>
    <sheetView topLeftCell="G30" zoomScale="55" zoomScaleNormal="55" workbookViewId="0">
      <selection activeCell="L47" sqref="L47:L63"/>
    </sheetView>
  </sheetViews>
  <sheetFormatPr baseColWidth="10" defaultColWidth="10.7265625" defaultRowHeight="15.5" x14ac:dyDescent="0.35"/>
  <cols>
    <col min="2" max="2" width="64.453125" style="15" customWidth="1"/>
    <col min="3" max="3" width="15.1796875" style="15" customWidth="1"/>
    <col min="4" max="4" width="60.81640625" style="15" customWidth="1"/>
    <col min="5" max="5" width="19.54296875" style="15" customWidth="1"/>
    <col min="6" max="6" width="36.1796875" style="15" customWidth="1"/>
    <col min="7" max="7" width="75.6328125" style="15" customWidth="1"/>
    <col min="8" max="8" width="35.54296875" style="15" customWidth="1"/>
    <col min="9" max="9" width="10.7265625" style="15"/>
    <col min="10" max="10" width="17.7265625" style="15" customWidth="1"/>
    <col min="11" max="11" width="25.1796875" style="15" customWidth="1"/>
    <col min="12" max="13" width="10.7265625" style="15"/>
    <col min="15" max="15" width="16.81640625" customWidth="1"/>
    <col min="19" max="19" width="16.453125" customWidth="1"/>
  </cols>
  <sheetData>
    <row r="1" spans="2:19" ht="28" x14ac:dyDescent="0.35">
      <c r="B1" s="15" t="s">
        <v>83</v>
      </c>
      <c r="D1" s="15" t="s">
        <v>82</v>
      </c>
      <c r="F1" s="15" t="s">
        <v>84</v>
      </c>
      <c r="H1" s="16"/>
      <c r="J1" s="16"/>
      <c r="L1" s="15" t="s">
        <v>210</v>
      </c>
      <c r="M1"/>
      <c r="O1" t="s">
        <v>0</v>
      </c>
      <c r="Q1" t="s">
        <v>171</v>
      </c>
      <c r="S1" s="51" t="s">
        <v>77</v>
      </c>
    </row>
    <row r="2" spans="2:19" x14ac:dyDescent="0.35">
      <c r="B2" s="15" t="s">
        <v>85</v>
      </c>
      <c r="D2" s="15" t="s">
        <v>86</v>
      </c>
      <c r="F2" s="15" t="s">
        <v>87</v>
      </c>
      <c r="H2" s="17" t="s">
        <v>88</v>
      </c>
      <c r="J2" s="17" t="s">
        <v>89</v>
      </c>
      <c r="L2" s="15" t="s">
        <v>208</v>
      </c>
      <c r="M2"/>
      <c r="O2" t="s">
        <v>45</v>
      </c>
      <c r="Q2" t="s">
        <v>172</v>
      </c>
      <c r="S2" t="s">
        <v>204</v>
      </c>
    </row>
    <row r="3" spans="2:19" x14ac:dyDescent="0.35">
      <c r="B3" s="15" t="s">
        <v>90</v>
      </c>
      <c r="D3" s="15" t="s">
        <v>91</v>
      </c>
      <c r="F3" s="15" t="s">
        <v>92</v>
      </c>
      <c r="H3" s="15" t="s">
        <v>93</v>
      </c>
      <c r="I3" s="16">
        <v>8126</v>
      </c>
      <c r="J3" s="17" t="s">
        <v>211</v>
      </c>
      <c r="L3" s="15" t="s">
        <v>209</v>
      </c>
      <c r="M3"/>
      <c r="O3" t="s">
        <v>161</v>
      </c>
      <c r="Q3" t="s">
        <v>173</v>
      </c>
      <c r="S3" t="s">
        <v>205</v>
      </c>
    </row>
    <row r="4" spans="2:19" x14ac:dyDescent="0.35">
      <c r="B4" s="15" t="s">
        <v>95</v>
      </c>
      <c r="D4" s="15" t="s">
        <v>96</v>
      </c>
      <c r="F4" s="15" t="s">
        <v>97</v>
      </c>
      <c r="H4" s="15" t="s">
        <v>98</v>
      </c>
      <c r="I4" s="16">
        <v>8126</v>
      </c>
      <c r="J4" s="17" t="s">
        <v>212</v>
      </c>
      <c r="L4" s="15" t="s">
        <v>346</v>
      </c>
      <c r="M4"/>
      <c r="O4" t="s">
        <v>162</v>
      </c>
      <c r="Q4" t="s">
        <v>464</v>
      </c>
    </row>
    <row r="5" spans="2:19" x14ac:dyDescent="0.35">
      <c r="B5" s="15" t="s">
        <v>100</v>
      </c>
      <c r="D5" s="15" t="s">
        <v>101</v>
      </c>
      <c r="F5" s="15" t="s">
        <v>102</v>
      </c>
      <c r="H5" s="15" t="s">
        <v>103</v>
      </c>
      <c r="I5" s="16">
        <v>8126</v>
      </c>
      <c r="J5" s="17" t="s">
        <v>213</v>
      </c>
      <c r="L5" s="15" t="s">
        <v>406</v>
      </c>
      <c r="M5"/>
      <c r="O5" t="s">
        <v>36</v>
      </c>
      <c r="Q5" t="s">
        <v>1309</v>
      </c>
    </row>
    <row r="6" spans="2:19" x14ac:dyDescent="0.35">
      <c r="B6" s="15" t="s">
        <v>108</v>
      </c>
      <c r="D6" s="15" t="s">
        <v>105</v>
      </c>
      <c r="F6" s="15" t="s">
        <v>110</v>
      </c>
      <c r="H6" s="15" t="s">
        <v>106</v>
      </c>
      <c r="I6" s="16">
        <v>8126</v>
      </c>
      <c r="J6" s="17" t="s">
        <v>214</v>
      </c>
      <c r="M6"/>
      <c r="O6" t="s">
        <v>46</v>
      </c>
      <c r="Q6" t="s">
        <v>406</v>
      </c>
    </row>
    <row r="7" spans="2:19" x14ac:dyDescent="0.35">
      <c r="B7" s="15" t="s">
        <v>113</v>
      </c>
      <c r="D7" s="15" t="s">
        <v>109</v>
      </c>
      <c r="F7" s="15" t="s">
        <v>115</v>
      </c>
      <c r="H7" s="15" t="s">
        <v>111</v>
      </c>
      <c r="I7" s="16">
        <v>8126</v>
      </c>
      <c r="J7" s="17" t="s">
        <v>215</v>
      </c>
      <c r="M7"/>
      <c r="O7" t="s">
        <v>163</v>
      </c>
    </row>
    <row r="8" spans="2:19" x14ac:dyDescent="0.35">
      <c r="B8" s="15" t="s">
        <v>118</v>
      </c>
      <c r="D8" s="15" t="s">
        <v>114</v>
      </c>
      <c r="F8" s="15" t="s">
        <v>120</v>
      </c>
      <c r="H8" s="15" t="s">
        <v>116</v>
      </c>
      <c r="I8" s="16">
        <v>8126</v>
      </c>
      <c r="J8" s="17" t="s">
        <v>216</v>
      </c>
      <c r="M8"/>
      <c r="O8" t="s">
        <v>164</v>
      </c>
    </row>
    <row r="9" spans="2:19" x14ac:dyDescent="0.35">
      <c r="B9" s="15" t="s">
        <v>123</v>
      </c>
      <c r="D9" s="15" t="s">
        <v>119</v>
      </c>
      <c r="F9" s="15" t="s">
        <v>125</v>
      </c>
      <c r="H9" s="15" t="s">
        <v>121</v>
      </c>
      <c r="I9" s="16">
        <v>8126</v>
      </c>
      <c r="J9" s="17" t="s">
        <v>217</v>
      </c>
      <c r="M9"/>
      <c r="O9" t="s">
        <v>166</v>
      </c>
    </row>
    <row r="10" spans="2:19" x14ac:dyDescent="0.35">
      <c r="B10" s="15" t="s">
        <v>128</v>
      </c>
      <c r="D10" s="15" t="s">
        <v>124</v>
      </c>
      <c r="F10" s="15" t="s">
        <v>130</v>
      </c>
      <c r="H10" s="15" t="s">
        <v>126</v>
      </c>
      <c r="I10" s="16">
        <v>8126</v>
      </c>
      <c r="J10" s="17" t="s">
        <v>218</v>
      </c>
      <c r="M10"/>
      <c r="O10" t="s">
        <v>165</v>
      </c>
    </row>
    <row r="11" spans="2:19" x14ac:dyDescent="0.35">
      <c r="B11" s="15" t="s">
        <v>348</v>
      </c>
      <c r="D11" s="15" t="s">
        <v>129</v>
      </c>
      <c r="F11" s="15" t="s">
        <v>134</v>
      </c>
      <c r="H11" s="15" t="s">
        <v>131</v>
      </c>
      <c r="I11" s="16">
        <v>8126</v>
      </c>
      <c r="J11" s="17" t="s">
        <v>219</v>
      </c>
      <c r="M11"/>
      <c r="O11" t="s">
        <v>167</v>
      </c>
    </row>
    <row r="12" spans="2:19" x14ac:dyDescent="0.35">
      <c r="D12" s="15" t="s">
        <v>133</v>
      </c>
      <c r="F12" s="15" t="s">
        <v>138</v>
      </c>
      <c r="H12" s="15" t="s">
        <v>135</v>
      </c>
      <c r="I12" s="16">
        <v>8126</v>
      </c>
      <c r="J12" s="17" t="s">
        <v>220</v>
      </c>
      <c r="M12"/>
      <c r="O12" t="s">
        <v>168</v>
      </c>
    </row>
    <row r="13" spans="2:19" x14ac:dyDescent="0.35">
      <c r="D13" s="15" t="s">
        <v>137</v>
      </c>
      <c r="F13" s="15" t="s">
        <v>141</v>
      </c>
      <c r="H13" s="15" t="s">
        <v>94</v>
      </c>
      <c r="I13" s="16">
        <v>8173</v>
      </c>
      <c r="J13" s="17" t="s">
        <v>221</v>
      </c>
      <c r="M13"/>
      <c r="O13" t="s">
        <v>169</v>
      </c>
    </row>
    <row r="14" spans="2:19" x14ac:dyDescent="0.35">
      <c r="D14" s="15" t="s">
        <v>139</v>
      </c>
      <c r="F14" s="15" t="s">
        <v>143</v>
      </c>
      <c r="H14" s="15" t="s">
        <v>99</v>
      </c>
      <c r="I14" s="16">
        <v>8173</v>
      </c>
      <c r="J14" s="17" t="s">
        <v>222</v>
      </c>
      <c r="M14"/>
    </row>
    <row r="15" spans="2:19" x14ac:dyDescent="0.35">
      <c r="D15" s="15" t="s">
        <v>140</v>
      </c>
      <c r="F15" s="15" t="s">
        <v>145</v>
      </c>
      <c r="H15" s="15" t="s">
        <v>104</v>
      </c>
      <c r="I15" s="16">
        <v>8173</v>
      </c>
      <c r="J15" s="17" t="s">
        <v>223</v>
      </c>
      <c r="M15"/>
    </row>
    <row r="16" spans="2:19" x14ac:dyDescent="0.35">
      <c r="D16" s="15" t="s">
        <v>142</v>
      </c>
      <c r="F16" s="15" t="s">
        <v>147</v>
      </c>
      <c r="H16" s="15" t="s">
        <v>107</v>
      </c>
      <c r="I16" s="16">
        <v>8173</v>
      </c>
      <c r="J16" s="17" t="s">
        <v>224</v>
      </c>
      <c r="M16"/>
    </row>
    <row r="17" spans="4:13" x14ac:dyDescent="0.35">
      <c r="D17" s="15" t="s">
        <v>144</v>
      </c>
      <c r="F17" s="15" t="s">
        <v>170</v>
      </c>
      <c r="H17" s="15" t="s">
        <v>112</v>
      </c>
      <c r="I17" s="16">
        <v>8173</v>
      </c>
      <c r="J17" s="17" t="s">
        <v>225</v>
      </c>
      <c r="M17"/>
    </row>
    <row r="18" spans="4:13" x14ac:dyDescent="0.35">
      <c r="D18" s="15" t="s">
        <v>146</v>
      </c>
      <c r="F18" s="15" t="s">
        <v>1048</v>
      </c>
      <c r="H18" s="15" t="s">
        <v>117</v>
      </c>
      <c r="I18" s="16">
        <v>8173</v>
      </c>
      <c r="J18" s="17" t="s">
        <v>226</v>
      </c>
      <c r="M18"/>
    </row>
    <row r="19" spans="4:13" x14ac:dyDescent="0.35">
      <c r="D19" s="15" t="s">
        <v>148</v>
      </c>
      <c r="F19" s="15" t="s">
        <v>1044</v>
      </c>
      <c r="H19" s="15" t="s">
        <v>122</v>
      </c>
      <c r="I19" s="16">
        <v>8173</v>
      </c>
      <c r="J19" s="17" t="s">
        <v>227</v>
      </c>
      <c r="M19"/>
    </row>
    <row r="20" spans="4:13" x14ac:dyDescent="0.35">
      <c r="D20" s="15" t="s">
        <v>149</v>
      </c>
      <c r="F20" s="15" t="s">
        <v>1045</v>
      </c>
      <c r="H20" s="15" t="s">
        <v>127</v>
      </c>
      <c r="I20" s="16">
        <v>8173</v>
      </c>
      <c r="J20" s="17" t="s">
        <v>228</v>
      </c>
      <c r="M20"/>
    </row>
    <row r="21" spans="4:13" x14ac:dyDescent="0.35">
      <c r="D21" s="15" t="s">
        <v>150</v>
      </c>
      <c r="F21" s="15" t="s">
        <v>1046</v>
      </c>
      <c r="H21" s="15" t="s">
        <v>132</v>
      </c>
      <c r="I21" s="16">
        <v>8173</v>
      </c>
      <c r="J21" s="17" t="s">
        <v>229</v>
      </c>
      <c r="M21"/>
    </row>
    <row r="22" spans="4:13" x14ac:dyDescent="0.35">
      <c r="D22" s="15" t="s">
        <v>151</v>
      </c>
      <c r="F22" s="15" t="s">
        <v>1047</v>
      </c>
      <c r="H22" s="15" t="s">
        <v>136</v>
      </c>
      <c r="I22" s="16">
        <v>8173</v>
      </c>
      <c r="J22" s="17" t="s">
        <v>230</v>
      </c>
      <c r="M22"/>
    </row>
    <row r="23" spans="4:13" x14ac:dyDescent="0.35">
      <c r="D23" s="15" t="s">
        <v>152</v>
      </c>
      <c r="F23" s="15" t="s">
        <v>443</v>
      </c>
      <c r="I23" s="16">
        <v>8173</v>
      </c>
      <c r="J23" s="17" t="s">
        <v>1043</v>
      </c>
      <c r="M23"/>
    </row>
    <row r="24" spans="4:13" x14ac:dyDescent="0.35">
      <c r="D24" s="15" t="s">
        <v>153</v>
      </c>
      <c r="F24" s="15" t="s">
        <v>444</v>
      </c>
      <c r="J24" s="15" t="s">
        <v>347</v>
      </c>
      <c r="M24"/>
    </row>
    <row r="25" spans="4:13" x14ac:dyDescent="0.35">
      <c r="D25" s="15" t="s">
        <v>154</v>
      </c>
      <c r="F25" s="15" t="s">
        <v>453</v>
      </c>
      <c r="M25"/>
    </row>
    <row r="26" spans="4:13" x14ac:dyDescent="0.35">
      <c r="D26" s="15" t="s">
        <v>155</v>
      </c>
      <c r="F26" s="15" t="s">
        <v>452</v>
      </c>
      <c r="M26"/>
    </row>
    <row r="27" spans="4:13" x14ac:dyDescent="0.35">
      <c r="D27" s="15" t="s">
        <v>156</v>
      </c>
      <c r="F27" s="15" t="s">
        <v>606</v>
      </c>
      <c r="H27" s="15" t="s">
        <v>407</v>
      </c>
      <c r="M27"/>
    </row>
    <row r="28" spans="4:13" x14ac:dyDescent="0.35">
      <c r="D28" s="15" t="s">
        <v>157</v>
      </c>
      <c r="F28" s="15" t="s">
        <v>442</v>
      </c>
      <c r="M28"/>
    </row>
    <row r="29" spans="4:13" x14ac:dyDescent="0.35">
      <c r="D29" s="15" t="s">
        <v>158</v>
      </c>
      <c r="F29" s="15" t="s">
        <v>348</v>
      </c>
      <c r="M29"/>
    </row>
    <row r="30" spans="4:13" x14ac:dyDescent="0.35">
      <c r="M30"/>
    </row>
    <row r="31" spans="4:13" x14ac:dyDescent="0.35">
      <c r="M31"/>
    </row>
    <row r="33" spans="2:26" ht="49.5" x14ac:dyDescent="0.35">
      <c r="B33" s="18" t="s">
        <v>210</v>
      </c>
      <c r="C33" s="18" t="s">
        <v>195</v>
      </c>
      <c r="D33" s="18" t="s">
        <v>196</v>
      </c>
      <c r="E33" s="18" t="s">
        <v>174</v>
      </c>
      <c r="F33" s="18" t="s">
        <v>203</v>
      </c>
      <c r="J33" s="18" t="s">
        <v>79</v>
      </c>
      <c r="K33" s="18" t="s">
        <v>80</v>
      </c>
      <c r="N33" s="18" t="s">
        <v>81</v>
      </c>
      <c r="O33" s="18" t="s">
        <v>257</v>
      </c>
      <c r="P33" s="20"/>
      <c r="Q33" s="15"/>
      <c r="R33" s="18" t="s">
        <v>195</v>
      </c>
      <c r="S33" s="15"/>
      <c r="T33" s="18" t="s">
        <v>196</v>
      </c>
      <c r="V33" s="18" t="s">
        <v>197</v>
      </c>
      <c r="X33" s="19" t="s">
        <v>77</v>
      </c>
      <c r="Z33" s="19" t="s">
        <v>243</v>
      </c>
    </row>
    <row r="34" spans="2:26" x14ac:dyDescent="0.35">
      <c r="B34" s="15" t="s">
        <v>209</v>
      </c>
      <c r="C34" s="16" t="s">
        <v>198</v>
      </c>
      <c r="D34" s="16" t="s">
        <v>199</v>
      </c>
      <c r="E34" s="16">
        <v>20240255</v>
      </c>
      <c r="F34" s="15" t="s">
        <v>160</v>
      </c>
      <c r="J34" s="15" t="s">
        <v>175</v>
      </c>
      <c r="K34" t="s">
        <v>176</v>
      </c>
      <c r="N34" t="s">
        <v>233</v>
      </c>
      <c r="O34" t="s">
        <v>246</v>
      </c>
      <c r="Q34" s="15"/>
      <c r="R34" s="15" t="s">
        <v>198</v>
      </c>
      <c r="S34" s="15"/>
      <c r="T34" s="15" t="s">
        <v>199</v>
      </c>
      <c r="V34" t="s">
        <v>201</v>
      </c>
      <c r="X34" t="s">
        <v>204</v>
      </c>
      <c r="Z34" t="s">
        <v>233</v>
      </c>
    </row>
    <row r="35" spans="2:26" x14ac:dyDescent="0.35">
      <c r="B35" s="15" t="s">
        <v>208</v>
      </c>
      <c r="C35" s="16" t="s">
        <v>198</v>
      </c>
      <c r="D35" s="16" t="s">
        <v>200</v>
      </c>
      <c r="E35" s="16">
        <v>20240207</v>
      </c>
      <c r="F35" s="15" t="s">
        <v>159</v>
      </c>
      <c r="J35" s="15" t="s">
        <v>177</v>
      </c>
      <c r="K35" t="s">
        <v>178</v>
      </c>
      <c r="N35" t="s">
        <v>232</v>
      </c>
      <c r="O35" t="s">
        <v>245</v>
      </c>
      <c r="Q35" s="15"/>
      <c r="R35" s="15"/>
      <c r="S35" s="15"/>
      <c r="T35" s="15" t="s">
        <v>200</v>
      </c>
      <c r="V35" t="s">
        <v>202</v>
      </c>
      <c r="X35" t="s">
        <v>205</v>
      </c>
      <c r="Z35" t="s">
        <v>232</v>
      </c>
    </row>
    <row r="36" spans="2:26" x14ac:dyDescent="0.35">
      <c r="B36" s="15" t="s">
        <v>346</v>
      </c>
      <c r="C36" s="10" t="s">
        <v>349</v>
      </c>
      <c r="D36" s="10" t="s">
        <v>349</v>
      </c>
      <c r="E36" s="10" t="s">
        <v>349</v>
      </c>
      <c r="F36" s="10" t="s">
        <v>349</v>
      </c>
      <c r="J36" s="15" t="s">
        <v>181</v>
      </c>
      <c r="K36" t="s">
        <v>182</v>
      </c>
      <c r="N36" t="s">
        <v>239</v>
      </c>
      <c r="O36" t="s">
        <v>252</v>
      </c>
      <c r="Q36" s="15"/>
      <c r="R36" s="15"/>
      <c r="S36" s="15"/>
      <c r="Z36" t="s">
        <v>239</v>
      </c>
    </row>
    <row r="37" spans="2:26" x14ac:dyDescent="0.35">
      <c r="B37" s="17" t="s">
        <v>406</v>
      </c>
      <c r="C37" s="10" t="s">
        <v>349</v>
      </c>
      <c r="D37" s="10" t="s">
        <v>349</v>
      </c>
      <c r="E37" s="10" t="s">
        <v>349</v>
      </c>
      <c r="F37" s="10" t="s">
        <v>349</v>
      </c>
      <c r="J37" s="15" t="s">
        <v>183</v>
      </c>
      <c r="K37" t="s">
        <v>184</v>
      </c>
      <c r="N37" t="s">
        <v>236</v>
      </c>
      <c r="O37" t="s">
        <v>249</v>
      </c>
      <c r="Q37" s="15"/>
      <c r="R37" s="15"/>
      <c r="S37" s="15"/>
      <c r="Z37" t="s">
        <v>236</v>
      </c>
    </row>
    <row r="38" spans="2:26" x14ac:dyDescent="0.35">
      <c r="B38"/>
      <c r="C38"/>
      <c r="D38"/>
      <c r="E38"/>
      <c r="J38" s="15" t="s">
        <v>185</v>
      </c>
      <c r="K38" t="s">
        <v>186</v>
      </c>
      <c r="N38" t="s">
        <v>237</v>
      </c>
      <c r="O38" t="s">
        <v>250</v>
      </c>
      <c r="Q38" s="15"/>
      <c r="R38" s="15"/>
      <c r="S38" s="15"/>
      <c r="Z38" t="s">
        <v>237</v>
      </c>
    </row>
    <row r="39" spans="2:26" x14ac:dyDescent="0.35">
      <c r="B39"/>
      <c r="C39"/>
      <c r="D39"/>
      <c r="E39"/>
      <c r="J39" s="15" t="s">
        <v>187</v>
      </c>
      <c r="K39" t="s">
        <v>188</v>
      </c>
      <c r="N39" t="s">
        <v>238</v>
      </c>
      <c r="O39" t="s">
        <v>251</v>
      </c>
      <c r="Q39" s="15"/>
      <c r="R39" s="15"/>
      <c r="S39" s="15"/>
      <c r="Z39" t="s">
        <v>238</v>
      </c>
    </row>
    <row r="40" spans="2:26" x14ac:dyDescent="0.35">
      <c r="B40"/>
      <c r="C40"/>
      <c r="D40"/>
      <c r="E40"/>
      <c r="J40" s="15" t="s">
        <v>189</v>
      </c>
      <c r="K40" t="s">
        <v>190</v>
      </c>
      <c r="N40" t="s">
        <v>235</v>
      </c>
      <c r="O40" t="s">
        <v>248</v>
      </c>
      <c r="Q40" s="15"/>
      <c r="R40" s="15"/>
      <c r="S40" s="15"/>
      <c r="Z40" t="s">
        <v>235</v>
      </c>
    </row>
    <row r="41" spans="2:26" x14ac:dyDescent="0.35">
      <c r="B41"/>
      <c r="C41"/>
      <c r="D41"/>
      <c r="E41"/>
      <c r="J41" s="15" t="s">
        <v>179</v>
      </c>
      <c r="K41" t="s">
        <v>180</v>
      </c>
      <c r="N41" s="15" t="s">
        <v>242</v>
      </c>
      <c r="O41" s="15" t="s">
        <v>255</v>
      </c>
      <c r="Q41" s="15"/>
      <c r="R41" s="15"/>
      <c r="S41" s="15"/>
      <c r="Z41" t="s">
        <v>242</v>
      </c>
    </row>
    <row r="42" spans="2:26" x14ac:dyDescent="0.35">
      <c r="B42"/>
      <c r="C42"/>
      <c r="D42"/>
      <c r="E42"/>
      <c r="J42" s="15" t="s">
        <v>191</v>
      </c>
      <c r="K42" t="s">
        <v>192</v>
      </c>
      <c r="N42" s="15" t="s">
        <v>241</v>
      </c>
      <c r="O42" s="15" t="s">
        <v>254</v>
      </c>
      <c r="Q42" s="15"/>
      <c r="R42" s="15"/>
      <c r="S42" s="15"/>
      <c r="Z42" t="s">
        <v>241</v>
      </c>
    </row>
    <row r="43" spans="2:26" x14ac:dyDescent="0.35">
      <c r="B43"/>
      <c r="C43"/>
      <c r="D43"/>
      <c r="E43"/>
      <c r="J43" s="15" t="s">
        <v>193</v>
      </c>
      <c r="K43" t="s">
        <v>194</v>
      </c>
      <c r="N43" s="15" t="s">
        <v>240</v>
      </c>
      <c r="O43" s="15" t="s">
        <v>253</v>
      </c>
      <c r="Q43" s="15"/>
      <c r="R43" s="15"/>
      <c r="S43" s="15"/>
      <c r="Z43" t="s">
        <v>240</v>
      </c>
    </row>
    <row r="44" spans="2:26" x14ac:dyDescent="0.35">
      <c r="B44"/>
      <c r="C44"/>
      <c r="D44"/>
      <c r="E44"/>
      <c r="J44" s="15" t="s">
        <v>406</v>
      </c>
      <c r="K44" s="15" t="s">
        <v>406</v>
      </c>
      <c r="N44" s="15" t="s">
        <v>294</v>
      </c>
      <c r="O44" s="15" t="s">
        <v>256</v>
      </c>
      <c r="Q44" s="15"/>
      <c r="R44" s="15"/>
      <c r="S44" s="15"/>
      <c r="Z44" t="s">
        <v>234</v>
      </c>
    </row>
    <row r="45" spans="2:26" x14ac:dyDescent="0.35">
      <c r="B45"/>
      <c r="C45"/>
      <c r="D45"/>
      <c r="E45"/>
      <c r="N45" t="s">
        <v>234</v>
      </c>
      <c r="O45" t="s">
        <v>247</v>
      </c>
      <c r="Q45" s="15"/>
      <c r="R45" s="15"/>
      <c r="S45" s="15"/>
    </row>
    <row r="46" spans="2:26" x14ac:dyDescent="0.35">
      <c r="B46"/>
      <c r="C46"/>
      <c r="D46"/>
      <c r="E46"/>
      <c r="K46" s="21" t="s">
        <v>276</v>
      </c>
      <c r="L46" s="21" t="s">
        <v>293</v>
      </c>
      <c r="N46" s="15" t="s">
        <v>406</v>
      </c>
      <c r="O46" s="15" t="s">
        <v>406</v>
      </c>
      <c r="P46" s="15"/>
      <c r="Q46" s="15"/>
      <c r="R46" s="15"/>
      <c r="S46" s="15"/>
    </row>
    <row r="47" spans="2:26" x14ac:dyDescent="0.35">
      <c r="B47"/>
      <c r="C47"/>
      <c r="D47"/>
      <c r="E47"/>
      <c r="J47"/>
      <c r="K47" s="15" t="s">
        <v>277</v>
      </c>
      <c r="L47" s="15" t="s">
        <v>258</v>
      </c>
      <c r="P47" s="15"/>
      <c r="Q47" s="15"/>
      <c r="R47" s="15"/>
      <c r="S47" s="15"/>
    </row>
    <row r="48" spans="2:26" x14ac:dyDescent="0.35">
      <c r="B48"/>
      <c r="C48"/>
      <c r="D48"/>
      <c r="E48"/>
      <c r="K48" s="15" t="s">
        <v>278</v>
      </c>
      <c r="L48" s="15" t="s">
        <v>259</v>
      </c>
      <c r="N48" s="15"/>
      <c r="O48" s="15"/>
      <c r="P48" s="15"/>
      <c r="Q48" s="15"/>
      <c r="R48" s="15"/>
      <c r="S48" s="15"/>
    </row>
    <row r="49" spans="2:19" x14ac:dyDescent="0.35">
      <c r="B49"/>
      <c r="C49"/>
      <c r="D49"/>
      <c r="E49"/>
      <c r="K49" s="15" t="s">
        <v>279</v>
      </c>
      <c r="L49" s="15" t="s">
        <v>260</v>
      </c>
      <c r="N49" s="15"/>
      <c r="O49" s="15"/>
      <c r="P49" s="15"/>
      <c r="Q49" s="15"/>
      <c r="R49" s="15"/>
      <c r="S49" s="15"/>
    </row>
    <row r="50" spans="2:19" x14ac:dyDescent="0.35">
      <c r="B50"/>
      <c r="C50"/>
      <c r="D50"/>
      <c r="E50"/>
      <c r="J50"/>
      <c r="K50" s="15" t="s">
        <v>281</v>
      </c>
      <c r="L50" s="15" t="s">
        <v>262</v>
      </c>
      <c r="N50" s="15"/>
      <c r="O50" s="15"/>
      <c r="Q50" s="15"/>
      <c r="R50" s="15"/>
      <c r="S50" s="15"/>
    </row>
    <row r="51" spans="2:19" x14ac:dyDescent="0.35">
      <c r="B51"/>
      <c r="C51"/>
      <c r="D51"/>
      <c r="E51"/>
      <c r="K51" s="15" t="s">
        <v>282</v>
      </c>
      <c r="L51" s="15" t="s">
        <v>263</v>
      </c>
      <c r="P51" s="15"/>
      <c r="Q51" s="15"/>
    </row>
    <row r="52" spans="2:19" x14ac:dyDescent="0.35">
      <c r="B52"/>
      <c r="C52"/>
      <c r="D52"/>
      <c r="E52"/>
      <c r="K52" s="15" t="s">
        <v>283</v>
      </c>
      <c r="L52" s="15" t="s">
        <v>264</v>
      </c>
      <c r="N52" s="15"/>
      <c r="O52" s="15"/>
      <c r="P52" s="15"/>
      <c r="Q52" s="15"/>
    </row>
    <row r="53" spans="2:19" x14ac:dyDescent="0.35">
      <c r="B53"/>
      <c r="C53"/>
      <c r="D53"/>
      <c r="E53"/>
      <c r="K53" s="15" t="s">
        <v>284</v>
      </c>
      <c r="L53" s="15" t="s">
        <v>265</v>
      </c>
      <c r="N53" s="15"/>
      <c r="O53" s="15"/>
      <c r="P53" s="15"/>
      <c r="Q53" s="15"/>
    </row>
    <row r="54" spans="2:19" x14ac:dyDescent="0.35">
      <c r="B54"/>
      <c r="C54"/>
      <c r="D54"/>
      <c r="E54"/>
      <c r="K54" s="15" t="s">
        <v>285</v>
      </c>
      <c r="L54" s="15" t="s">
        <v>266</v>
      </c>
      <c r="N54" s="15"/>
      <c r="O54" s="15"/>
      <c r="P54" s="15"/>
      <c r="Q54" s="15"/>
    </row>
    <row r="55" spans="2:19" x14ac:dyDescent="0.35">
      <c r="B55"/>
      <c r="C55"/>
      <c r="D55"/>
      <c r="E55"/>
      <c r="K55" s="15" t="s">
        <v>295</v>
      </c>
      <c r="L55" s="15" t="s">
        <v>274</v>
      </c>
      <c r="N55" s="15"/>
      <c r="O55" s="15"/>
      <c r="P55" s="15"/>
      <c r="Q55" s="15"/>
    </row>
    <row r="56" spans="2:19" x14ac:dyDescent="0.35">
      <c r="B56"/>
      <c r="C56"/>
      <c r="D56"/>
      <c r="E56"/>
      <c r="K56" s="15" t="s">
        <v>286</v>
      </c>
      <c r="L56" s="15" t="s">
        <v>267</v>
      </c>
      <c r="N56" s="15"/>
      <c r="O56" s="15"/>
      <c r="P56" s="15"/>
      <c r="Q56" s="15"/>
    </row>
    <row r="57" spans="2:19" x14ac:dyDescent="0.35">
      <c r="B57"/>
      <c r="C57"/>
      <c r="D57"/>
      <c r="E57"/>
      <c r="K57" s="15" t="s">
        <v>287</v>
      </c>
      <c r="L57" s="15" t="s">
        <v>268</v>
      </c>
      <c r="N57" s="15"/>
      <c r="O57" s="15"/>
      <c r="P57" s="15"/>
      <c r="Q57" s="15"/>
    </row>
    <row r="58" spans="2:19" x14ac:dyDescent="0.35">
      <c r="B58"/>
      <c r="C58"/>
      <c r="D58"/>
      <c r="E58"/>
      <c r="K58" s="15" t="s">
        <v>288</v>
      </c>
      <c r="L58" s="15" t="s">
        <v>269</v>
      </c>
      <c r="P58" s="15"/>
      <c r="Q58" s="15"/>
    </row>
    <row r="59" spans="2:19" x14ac:dyDescent="0.35">
      <c r="B59"/>
      <c r="C59"/>
      <c r="D59"/>
      <c r="K59" s="15" t="s">
        <v>280</v>
      </c>
      <c r="L59" s="15" t="s">
        <v>261</v>
      </c>
      <c r="N59" s="15"/>
      <c r="O59" s="15"/>
    </row>
    <row r="60" spans="2:19" x14ac:dyDescent="0.35">
      <c r="B60"/>
      <c r="C60"/>
      <c r="D60"/>
      <c r="K60" s="15" t="s">
        <v>289</v>
      </c>
      <c r="L60" s="15" t="s">
        <v>270</v>
      </c>
      <c r="N60" s="15"/>
      <c r="O60" s="15"/>
    </row>
    <row r="61" spans="2:19" x14ac:dyDescent="0.35">
      <c r="B61"/>
      <c r="C61"/>
      <c r="D61"/>
      <c r="E61"/>
      <c r="K61" s="15" t="s">
        <v>292</v>
      </c>
      <c r="L61" s="15" t="s">
        <v>273</v>
      </c>
      <c r="N61" s="15"/>
      <c r="O61" s="15"/>
      <c r="P61" s="15"/>
      <c r="Q61" s="15"/>
    </row>
    <row r="62" spans="2:19" x14ac:dyDescent="0.35">
      <c r="B62"/>
      <c r="C62"/>
      <c r="D62"/>
      <c r="E62"/>
      <c r="K62" s="15" t="s">
        <v>291</v>
      </c>
      <c r="L62" s="15" t="s">
        <v>272</v>
      </c>
      <c r="N62" s="15"/>
      <c r="O62" s="15"/>
      <c r="P62" s="15"/>
      <c r="Q62" s="15"/>
    </row>
    <row r="63" spans="2:19" x14ac:dyDescent="0.35">
      <c r="B63"/>
      <c r="C63"/>
      <c r="D63"/>
      <c r="E63"/>
      <c r="K63" s="15" t="s">
        <v>290</v>
      </c>
      <c r="L63" s="15" t="s">
        <v>271</v>
      </c>
      <c r="N63" s="15"/>
      <c r="O63" s="15"/>
      <c r="P63" s="15"/>
      <c r="Q63" s="15"/>
    </row>
    <row r="64" spans="2:19" x14ac:dyDescent="0.35">
      <c r="B64"/>
      <c r="C64"/>
      <c r="D64"/>
      <c r="E64"/>
      <c r="K64" s="15" t="s">
        <v>347</v>
      </c>
      <c r="L64" s="15" t="s">
        <v>347</v>
      </c>
      <c r="N64" s="15"/>
      <c r="O64" s="15"/>
      <c r="P64" s="15"/>
      <c r="Q64" s="15"/>
    </row>
    <row r="65" spans="2:17" x14ac:dyDescent="0.35">
      <c r="B65"/>
      <c r="C65"/>
      <c r="D65"/>
      <c r="E65"/>
      <c r="K65" s="15" t="s">
        <v>407</v>
      </c>
      <c r="L65" s="15" t="s">
        <v>406</v>
      </c>
      <c r="N65" s="15"/>
      <c r="O65" s="15"/>
      <c r="P65" s="15"/>
      <c r="Q65" s="15"/>
    </row>
    <row r="66" spans="2:17" x14ac:dyDescent="0.35">
      <c r="B66"/>
      <c r="C66"/>
      <c r="D66"/>
      <c r="E66"/>
      <c r="N66" s="15"/>
      <c r="O66" s="15"/>
      <c r="P66" s="15"/>
      <c r="Q66" s="15"/>
    </row>
    <row r="67" spans="2:17" x14ac:dyDescent="0.35">
      <c r="B67"/>
      <c r="C67"/>
      <c r="D67"/>
      <c r="E67"/>
      <c r="N67" s="15"/>
      <c r="O67" s="15"/>
      <c r="P67" s="15"/>
      <c r="Q67" s="15"/>
    </row>
    <row r="68" spans="2:17" x14ac:dyDescent="0.35">
      <c r="B68"/>
      <c r="C68"/>
      <c r="D68"/>
      <c r="E68"/>
      <c r="N68" s="15"/>
      <c r="O68" s="15"/>
      <c r="P68" s="15"/>
      <c r="Q68" s="15"/>
    </row>
    <row r="69" spans="2:17" x14ac:dyDescent="0.35">
      <c r="B69"/>
      <c r="C69"/>
      <c r="D69"/>
      <c r="E69"/>
      <c r="N69" s="15"/>
      <c r="O69" s="15"/>
      <c r="P69" s="15"/>
      <c r="Q69" s="15"/>
    </row>
    <row r="70" spans="2:17" x14ac:dyDescent="0.35">
      <c r="B70"/>
      <c r="C70"/>
      <c r="D70"/>
      <c r="E70"/>
      <c r="N70" s="15"/>
      <c r="O70" s="15"/>
      <c r="P70" s="15"/>
      <c r="Q70" s="15"/>
    </row>
    <row r="71" spans="2:17" x14ac:dyDescent="0.35">
      <c r="B71"/>
      <c r="C71"/>
      <c r="D71"/>
      <c r="E71"/>
      <c r="N71" s="15"/>
      <c r="O71" s="15"/>
      <c r="P71" s="15"/>
      <c r="Q71" s="15"/>
    </row>
    <row r="72" spans="2:17" x14ac:dyDescent="0.35">
      <c r="B72"/>
      <c r="C72"/>
      <c r="D72"/>
      <c r="E72"/>
      <c r="N72" s="15"/>
      <c r="O72" s="15"/>
      <c r="P72" s="15"/>
      <c r="Q72" s="15"/>
    </row>
    <row r="73" spans="2:17" x14ac:dyDescent="0.35">
      <c r="B73"/>
      <c r="C73"/>
      <c r="D73"/>
      <c r="E73"/>
      <c r="N73" s="15"/>
      <c r="O73" s="15"/>
      <c r="P73" s="15"/>
      <c r="Q73" s="15"/>
    </row>
    <row r="74" spans="2:17" x14ac:dyDescent="0.35">
      <c r="B74"/>
      <c r="C74"/>
      <c r="D74"/>
      <c r="E74"/>
      <c r="N74" s="15"/>
      <c r="O74" s="15"/>
      <c r="P74" s="15"/>
      <c r="Q74" s="15"/>
    </row>
    <row r="75" spans="2:17" x14ac:dyDescent="0.35">
      <c r="B75"/>
      <c r="C75"/>
      <c r="D75"/>
      <c r="E75"/>
      <c r="N75" s="15"/>
      <c r="O75" s="15"/>
      <c r="P75" s="15"/>
      <c r="Q75" s="15"/>
    </row>
    <row r="76" spans="2:17" x14ac:dyDescent="0.35">
      <c r="B76"/>
      <c r="C76"/>
      <c r="D76"/>
      <c r="E76"/>
      <c r="N76" s="15"/>
      <c r="O76" s="15"/>
      <c r="P76" s="15"/>
      <c r="Q76" s="15"/>
    </row>
  </sheetData>
  <autoFilter ref="K46:L46" xr:uid="{00000000-0009-0000-0000-000004000000}">
    <sortState xmlns:xlrd2="http://schemas.microsoft.com/office/spreadsheetml/2017/richdata2" ref="K47:L63">
      <sortCondition ref="K46"/>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B3:J86"/>
  <sheetViews>
    <sheetView showGridLines="0" topLeftCell="A4" zoomScale="75" zoomScaleNormal="75" workbookViewId="0">
      <selection activeCell="E74" sqref="E74:F74"/>
    </sheetView>
  </sheetViews>
  <sheetFormatPr baseColWidth="10" defaultColWidth="10.7265625" defaultRowHeight="14.5" x14ac:dyDescent="0.35"/>
  <cols>
    <col min="2" max="2" width="10.7265625" style="10" customWidth="1"/>
    <col min="3" max="3" width="17.1796875" style="5" bestFit="1" customWidth="1"/>
    <col min="4" max="4" width="20.81640625" customWidth="1"/>
    <col min="5" max="5" width="33.453125" bestFit="1" customWidth="1"/>
    <col min="6" max="6" width="34.1796875" customWidth="1"/>
    <col min="7" max="7" width="18.453125" bestFit="1" customWidth="1"/>
    <col min="8" max="8" width="16.1796875" bestFit="1" customWidth="1"/>
    <col min="9" max="10" width="17.1796875" bestFit="1" customWidth="1"/>
  </cols>
  <sheetData>
    <row r="3" spans="2:10" x14ac:dyDescent="0.35">
      <c r="B3" s="14" t="s">
        <v>59</v>
      </c>
      <c r="C3" s="14"/>
      <c r="D3" s="14"/>
      <c r="E3" s="318" t="s">
        <v>60</v>
      </c>
      <c r="F3" s="318"/>
      <c r="G3" s="318"/>
      <c r="H3" s="318"/>
      <c r="I3" s="318"/>
      <c r="J3" s="318"/>
    </row>
    <row r="5" spans="2:10" x14ac:dyDescent="0.35">
      <c r="B5" s="9" t="s">
        <v>49</v>
      </c>
      <c r="C5" s="7" t="s">
        <v>50</v>
      </c>
      <c r="E5" s="9" t="s">
        <v>0</v>
      </c>
      <c r="F5" s="9" t="s">
        <v>52</v>
      </c>
      <c r="G5" s="11">
        <v>7637</v>
      </c>
      <c r="H5" s="11">
        <v>7655</v>
      </c>
      <c r="I5" s="11">
        <v>7658</v>
      </c>
      <c r="J5" s="9" t="s">
        <v>54</v>
      </c>
    </row>
    <row r="6" spans="2:10" x14ac:dyDescent="0.35">
      <c r="B6" s="1">
        <v>7658</v>
      </c>
      <c r="C6" s="4">
        <v>32529175840</v>
      </c>
      <c r="E6" s="311" t="s">
        <v>45</v>
      </c>
      <c r="F6" s="311"/>
      <c r="G6" s="4"/>
      <c r="H6" s="4">
        <v>596500000</v>
      </c>
      <c r="I6" s="4"/>
      <c r="J6" s="4">
        <v>596500000</v>
      </c>
    </row>
    <row r="7" spans="2:10" x14ac:dyDescent="0.35">
      <c r="B7" s="1">
        <v>7655</v>
      </c>
      <c r="C7" s="4">
        <v>6691034160</v>
      </c>
      <c r="E7" s="311" t="s">
        <v>44</v>
      </c>
      <c r="F7" s="311"/>
      <c r="G7" s="4"/>
      <c r="H7" s="4">
        <v>403500000</v>
      </c>
      <c r="I7" s="4"/>
      <c r="J7" s="4">
        <v>403500000</v>
      </c>
    </row>
    <row r="8" spans="2:10" x14ac:dyDescent="0.35">
      <c r="B8" s="1">
        <v>7637</v>
      </c>
      <c r="C8" s="4">
        <v>3299800000</v>
      </c>
      <c r="E8" s="311" t="s">
        <v>36</v>
      </c>
      <c r="F8" s="311"/>
      <c r="G8" s="4">
        <v>3299800000</v>
      </c>
      <c r="H8" s="4">
        <v>900200000</v>
      </c>
      <c r="I8" s="4"/>
      <c r="J8" s="4">
        <v>4200000000</v>
      </c>
    </row>
    <row r="9" spans="2:10" x14ac:dyDescent="0.35">
      <c r="B9" s="9" t="s">
        <v>51</v>
      </c>
      <c r="C9" s="8">
        <v>42520010000</v>
      </c>
      <c r="E9" s="311" t="s">
        <v>46</v>
      </c>
      <c r="F9" s="311"/>
      <c r="G9" s="4"/>
      <c r="H9" s="4">
        <v>432858000</v>
      </c>
      <c r="I9" s="4"/>
      <c r="J9" s="4">
        <v>432858000</v>
      </c>
    </row>
    <row r="10" spans="2:10" x14ac:dyDescent="0.35">
      <c r="E10" s="311" t="s">
        <v>32</v>
      </c>
      <c r="F10" s="311"/>
      <c r="G10" s="4"/>
      <c r="H10" s="4">
        <v>323006000</v>
      </c>
      <c r="I10" s="4"/>
      <c r="J10" s="4">
        <v>323006000</v>
      </c>
    </row>
    <row r="11" spans="2:10" x14ac:dyDescent="0.35">
      <c r="E11" s="311" t="s">
        <v>28</v>
      </c>
      <c r="F11" s="311"/>
      <c r="G11" s="4"/>
      <c r="H11" s="4">
        <v>1200000000</v>
      </c>
      <c r="I11" s="4"/>
      <c r="J11" s="4">
        <v>1200000000</v>
      </c>
    </row>
    <row r="12" spans="2:10" x14ac:dyDescent="0.35">
      <c r="E12" s="311" t="s">
        <v>3</v>
      </c>
      <c r="F12" s="311"/>
      <c r="G12" s="4"/>
      <c r="H12" s="4">
        <v>2214252160</v>
      </c>
      <c r="I12" s="4">
        <v>7786929840</v>
      </c>
      <c r="J12" s="4">
        <v>10001182000</v>
      </c>
    </row>
    <row r="13" spans="2:10" x14ac:dyDescent="0.35">
      <c r="E13" s="311" t="s">
        <v>29</v>
      </c>
      <c r="F13" s="311"/>
      <c r="G13" s="4"/>
      <c r="H13" s="4">
        <v>170000000</v>
      </c>
      <c r="I13" s="4">
        <v>3730000000</v>
      </c>
      <c r="J13" s="4">
        <v>3900000000</v>
      </c>
    </row>
    <row r="14" spans="2:10" x14ac:dyDescent="0.35">
      <c r="E14" s="311" t="s">
        <v>33</v>
      </c>
      <c r="F14" s="311"/>
      <c r="G14" s="4"/>
      <c r="H14" s="4">
        <v>450718000</v>
      </c>
      <c r="I14" s="4">
        <v>1449282000</v>
      </c>
      <c r="J14" s="4">
        <v>1900000000</v>
      </c>
    </row>
    <row r="15" spans="2:10" x14ac:dyDescent="0.35">
      <c r="E15" s="311" t="s">
        <v>19</v>
      </c>
      <c r="F15" s="311"/>
      <c r="G15" s="4"/>
      <c r="H15" s="4"/>
      <c r="I15" s="4">
        <v>10011982000</v>
      </c>
      <c r="J15" s="4">
        <v>10011982000</v>
      </c>
    </row>
    <row r="16" spans="2:10" x14ac:dyDescent="0.35">
      <c r="E16" s="311" t="s">
        <v>47</v>
      </c>
      <c r="F16" s="311"/>
      <c r="G16" s="4"/>
      <c r="H16" s="4"/>
      <c r="I16" s="4">
        <v>9550982000</v>
      </c>
      <c r="J16" s="4">
        <v>9550982000</v>
      </c>
    </row>
    <row r="17" spans="3:10" x14ac:dyDescent="0.35">
      <c r="E17" s="313" t="s">
        <v>53</v>
      </c>
      <c r="F17" s="314"/>
      <c r="G17" s="8">
        <v>3299800000</v>
      </c>
      <c r="H17" s="8">
        <v>6691034160</v>
      </c>
      <c r="I17" s="8">
        <v>32529175840</v>
      </c>
      <c r="J17" s="8">
        <v>42520010000</v>
      </c>
    </row>
    <row r="20" spans="3:10" x14ac:dyDescent="0.35">
      <c r="C20" s="315" t="s">
        <v>62</v>
      </c>
      <c r="D20" s="315"/>
      <c r="E20" s="315"/>
      <c r="F20" s="315"/>
      <c r="G20" s="315"/>
    </row>
    <row r="22" spans="3:10" x14ac:dyDescent="0.35">
      <c r="C22" s="12" t="s">
        <v>63</v>
      </c>
    </row>
    <row r="23" spans="3:10" x14ac:dyDescent="0.35">
      <c r="C23" s="9" t="s">
        <v>55</v>
      </c>
      <c r="D23" s="13" t="s">
        <v>56</v>
      </c>
      <c r="E23" s="312" t="s">
        <v>0</v>
      </c>
      <c r="F23" s="312"/>
      <c r="G23" s="9" t="s">
        <v>57</v>
      </c>
    </row>
    <row r="24" spans="3:10" x14ac:dyDescent="0.35">
      <c r="C24" s="3" t="s">
        <v>35</v>
      </c>
      <c r="D24" s="6" t="s">
        <v>34</v>
      </c>
      <c r="E24" s="311" t="s">
        <v>33</v>
      </c>
      <c r="F24" s="311"/>
      <c r="G24" s="4">
        <v>1449282000</v>
      </c>
    </row>
    <row r="25" spans="3:10" x14ac:dyDescent="0.35">
      <c r="C25" s="3" t="s">
        <v>31</v>
      </c>
      <c r="D25" s="6" t="s">
        <v>30</v>
      </c>
      <c r="E25" s="311" t="s">
        <v>29</v>
      </c>
      <c r="F25" s="311"/>
      <c r="G25" s="4">
        <v>3730000000</v>
      </c>
    </row>
    <row r="26" spans="3:10" x14ac:dyDescent="0.35">
      <c r="C26" s="3" t="s">
        <v>6</v>
      </c>
      <c r="D26" s="6" t="s">
        <v>9</v>
      </c>
      <c r="E26" s="311" t="s">
        <v>3</v>
      </c>
      <c r="F26" s="311"/>
      <c r="G26" s="4">
        <v>2822768000</v>
      </c>
    </row>
    <row r="27" spans="3:10" x14ac:dyDescent="0.35">
      <c r="C27" s="3" t="s">
        <v>6</v>
      </c>
      <c r="D27" s="6" t="s">
        <v>48</v>
      </c>
      <c r="E27" s="311" t="s">
        <v>47</v>
      </c>
      <c r="F27" s="311"/>
      <c r="G27" s="4">
        <v>9550982000</v>
      </c>
    </row>
    <row r="28" spans="3:10" x14ac:dyDescent="0.35">
      <c r="C28" s="3" t="s">
        <v>6</v>
      </c>
      <c r="D28" s="6" t="s">
        <v>23</v>
      </c>
      <c r="E28" s="311" t="s">
        <v>19</v>
      </c>
      <c r="F28" s="311"/>
      <c r="G28" s="4">
        <v>2028491000</v>
      </c>
    </row>
    <row r="29" spans="3:10" x14ac:dyDescent="0.35">
      <c r="C29" s="3" t="s">
        <v>6</v>
      </c>
      <c r="D29" s="6" t="s">
        <v>21</v>
      </c>
      <c r="E29" s="311" t="s">
        <v>19</v>
      </c>
      <c r="F29" s="311"/>
      <c r="G29" s="4">
        <v>7983491000</v>
      </c>
    </row>
    <row r="30" spans="3:10" x14ac:dyDescent="0.35">
      <c r="C30" s="3" t="s">
        <v>18</v>
      </c>
      <c r="D30" s="6" t="s">
        <v>17</v>
      </c>
      <c r="E30" s="311" t="s">
        <v>3</v>
      </c>
      <c r="F30" s="311"/>
      <c r="G30" s="4">
        <v>100000000</v>
      </c>
    </row>
    <row r="31" spans="3:10" x14ac:dyDescent="0.35">
      <c r="C31" s="3" t="s">
        <v>15</v>
      </c>
      <c r="D31" s="6" t="s">
        <v>14</v>
      </c>
      <c r="E31" s="311" t="s">
        <v>3</v>
      </c>
      <c r="F31" s="311"/>
      <c r="G31" s="4">
        <v>4864161840</v>
      </c>
    </row>
    <row r="32" spans="3:10" x14ac:dyDescent="0.35">
      <c r="C32" s="313" t="s">
        <v>27</v>
      </c>
      <c r="D32" s="317"/>
      <c r="E32" s="317"/>
      <c r="F32" s="314"/>
      <c r="G32" s="8">
        <f>SUM(G24:G31)</f>
        <v>32529175840</v>
      </c>
    </row>
    <row r="34" spans="3:7" x14ac:dyDescent="0.35">
      <c r="C34" s="12" t="s">
        <v>64</v>
      </c>
    </row>
    <row r="35" spans="3:7" x14ac:dyDescent="0.35">
      <c r="C35" s="9" t="s">
        <v>55</v>
      </c>
      <c r="D35" s="13" t="s">
        <v>56</v>
      </c>
      <c r="E35" s="312" t="s">
        <v>0</v>
      </c>
      <c r="F35" s="312"/>
      <c r="G35" s="9" t="s">
        <v>57</v>
      </c>
    </row>
    <row r="36" spans="3:7" x14ac:dyDescent="0.35">
      <c r="C36" s="6" t="s">
        <v>16</v>
      </c>
      <c r="D36" s="2" t="s">
        <v>5</v>
      </c>
      <c r="E36" s="311" t="s">
        <v>45</v>
      </c>
      <c r="F36" s="311"/>
      <c r="G36" s="2">
        <v>596500000</v>
      </c>
    </row>
    <row r="37" spans="3:7" x14ac:dyDescent="0.35">
      <c r="C37" s="6" t="s">
        <v>16</v>
      </c>
      <c r="D37" s="2" t="s">
        <v>5</v>
      </c>
      <c r="E37" s="311" t="s">
        <v>44</v>
      </c>
      <c r="F37" s="311"/>
      <c r="G37" s="2">
        <v>403500000</v>
      </c>
    </row>
    <row r="38" spans="3:7" x14ac:dyDescent="0.35">
      <c r="C38" s="6" t="s">
        <v>16</v>
      </c>
      <c r="D38" s="2" t="s">
        <v>5</v>
      </c>
      <c r="E38" s="311" t="s">
        <v>36</v>
      </c>
      <c r="F38" s="311"/>
      <c r="G38" s="2">
        <v>900200000</v>
      </c>
    </row>
    <row r="39" spans="3:7" x14ac:dyDescent="0.35">
      <c r="C39" s="6" t="s">
        <v>16</v>
      </c>
      <c r="D39" s="2" t="s">
        <v>5</v>
      </c>
      <c r="E39" s="311" t="s">
        <v>46</v>
      </c>
      <c r="F39" s="311"/>
      <c r="G39" s="2">
        <v>432858000</v>
      </c>
    </row>
    <row r="40" spans="3:7" x14ac:dyDescent="0.35">
      <c r="C40" s="6" t="s">
        <v>16</v>
      </c>
      <c r="D40" s="2" t="s">
        <v>5</v>
      </c>
      <c r="E40" s="311" t="s">
        <v>32</v>
      </c>
      <c r="F40" s="311"/>
      <c r="G40" s="2">
        <v>323006000</v>
      </c>
    </row>
    <row r="41" spans="3:7" x14ac:dyDescent="0.35">
      <c r="C41" s="6" t="s">
        <v>16</v>
      </c>
      <c r="D41" s="2" t="s">
        <v>5</v>
      </c>
      <c r="E41" s="311" t="s">
        <v>28</v>
      </c>
      <c r="F41" s="311"/>
      <c r="G41" s="2">
        <v>1200000000</v>
      </c>
    </row>
    <row r="42" spans="3:7" x14ac:dyDescent="0.35">
      <c r="C42" s="6" t="s">
        <v>16</v>
      </c>
      <c r="D42" s="2" t="s">
        <v>5</v>
      </c>
      <c r="E42" s="311" t="s">
        <v>3</v>
      </c>
      <c r="F42" s="311"/>
      <c r="G42" s="2">
        <v>2214252160</v>
      </c>
    </row>
    <row r="43" spans="3:7" x14ac:dyDescent="0.35">
      <c r="C43" s="6" t="s">
        <v>16</v>
      </c>
      <c r="D43" s="2" t="s">
        <v>5</v>
      </c>
      <c r="E43" s="311" t="s">
        <v>29</v>
      </c>
      <c r="F43" s="311"/>
      <c r="G43" s="2">
        <v>170000000</v>
      </c>
    </row>
    <row r="44" spans="3:7" x14ac:dyDescent="0.35">
      <c r="C44" s="6" t="s">
        <v>16</v>
      </c>
      <c r="D44" s="2" t="s">
        <v>5</v>
      </c>
      <c r="E44" s="311" t="s">
        <v>33</v>
      </c>
      <c r="F44" s="311"/>
      <c r="G44" s="2">
        <v>450718000</v>
      </c>
    </row>
    <row r="45" spans="3:7" x14ac:dyDescent="0.35">
      <c r="C45" s="313" t="s">
        <v>27</v>
      </c>
      <c r="D45" s="317"/>
      <c r="E45" s="317"/>
      <c r="F45" s="314"/>
      <c r="G45" s="8">
        <f>SUM(G36:G44)</f>
        <v>6691034160</v>
      </c>
    </row>
    <row r="47" spans="3:7" x14ac:dyDescent="0.35">
      <c r="C47" s="12" t="s">
        <v>65</v>
      </c>
    </row>
    <row r="48" spans="3:7" x14ac:dyDescent="0.35">
      <c r="C48" s="9" t="s">
        <v>55</v>
      </c>
      <c r="D48" s="13" t="s">
        <v>56</v>
      </c>
      <c r="E48" s="312" t="s">
        <v>0</v>
      </c>
      <c r="F48" s="312"/>
      <c r="G48" s="9" t="s">
        <v>57</v>
      </c>
    </row>
    <row r="49" spans="3:7" x14ac:dyDescent="0.35">
      <c r="C49" s="6" t="s">
        <v>39</v>
      </c>
      <c r="D49" s="2" t="s">
        <v>41</v>
      </c>
      <c r="E49" s="311" t="s">
        <v>36</v>
      </c>
      <c r="F49" s="311"/>
      <c r="G49" s="6">
        <v>575315000</v>
      </c>
    </row>
    <row r="50" spans="3:7" x14ac:dyDescent="0.35">
      <c r="C50" s="6" t="s">
        <v>39</v>
      </c>
      <c r="D50" s="2" t="s">
        <v>38</v>
      </c>
      <c r="E50" s="311" t="s">
        <v>36</v>
      </c>
      <c r="F50" s="311"/>
      <c r="G50" s="6">
        <v>2724485000</v>
      </c>
    </row>
    <row r="51" spans="3:7" x14ac:dyDescent="0.35">
      <c r="C51" s="313" t="s">
        <v>27</v>
      </c>
      <c r="D51" s="317"/>
      <c r="E51" s="317"/>
      <c r="F51" s="314"/>
      <c r="G51" s="7">
        <f>SUM(G49:G50)</f>
        <v>3299800000</v>
      </c>
    </row>
    <row r="54" spans="3:7" x14ac:dyDescent="0.35">
      <c r="C54" s="14"/>
      <c r="D54" s="14"/>
      <c r="E54" s="318" t="s">
        <v>58</v>
      </c>
      <c r="F54" s="318"/>
      <c r="G54" s="318"/>
    </row>
    <row r="56" spans="3:7" x14ac:dyDescent="0.35">
      <c r="E56" s="12" t="s">
        <v>63</v>
      </c>
    </row>
    <row r="57" spans="3:7" x14ac:dyDescent="0.35">
      <c r="E57" s="312" t="s">
        <v>61</v>
      </c>
      <c r="F57" s="312"/>
      <c r="G57" s="9" t="s">
        <v>57</v>
      </c>
    </row>
    <row r="58" spans="3:7" x14ac:dyDescent="0.35">
      <c r="E58" s="316" t="s">
        <v>10</v>
      </c>
      <c r="F58" s="316"/>
      <c r="G58" s="6">
        <v>2490000000</v>
      </c>
    </row>
    <row r="59" spans="3:7" x14ac:dyDescent="0.35">
      <c r="E59" s="316" t="s">
        <v>22</v>
      </c>
      <c r="F59" s="316"/>
      <c r="G59" s="6">
        <v>1400000000</v>
      </c>
    </row>
    <row r="60" spans="3:7" x14ac:dyDescent="0.35">
      <c r="E60" s="316" t="s">
        <v>26</v>
      </c>
      <c r="F60" s="316"/>
      <c r="G60" s="6">
        <v>60000000</v>
      </c>
    </row>
    <row r="61" spans="3:7" x14ac:dyDescent="0.35">
      <c r="E61" s="316" t="s">
        <v>11</v>
      </c>
      <c r="F61" s="316"/>
      <c r="G61" s="6">
        <v>12229155840</v>
      </c>
    </row>
    <row r="62" spans="3:7" x14ac:dyDescent="0.35">
      <c r="E62" s="316" t="s">
        <v>24</v>
      </c>
      <c r="F62" s="316"/>
      <c r="G62" s="6">
        <v>375000000</v>
      </c>
    </row>
    <row r="63" spans="3:7" x14ac:dyDescent="0.35">
      <c r="E63" s="316" t="s">
        <v>7</v>
      </c>
      <c r="F63" s="316"/>
      <c r="G63" s="6">
        <v>92758400</v>
      </c>
    </row>
    <row r="64" spans="3:7" x14ac:dyDescent="0.35">
      <c r="E64" s="316" t="s">
        <v>25</v>
      </c>
      <c r="F64" s="316"/>
      <c r="G64" s="6">
        <v>120000000</v>
      </c>
    </row>
    <row r="65" spans="5:7" x14ac:dyDescent="0.35">
      <c r="E65" s="316" t="s">
        <v>4</v>
      </c>
      <c r="F65" s="316"/>
      <c r="G65" s="6">
        <v>10259061600</v>
      </c>
    </row>
    <row r="66" spans="5:7" x14ac:dyDescent="0.35">
      <c r="E66" s="316" t="s">
        <v>13</v>
      </c>
      <c r="F66" s="316"/>
      <c r="G66" s="6">
        <v>500000000</v>
      </c>
    </row>
    <row r="67" spans="5:7" x14ac:dyDescent="0.35">
      <c r="E67" s="316" t="s">
        <v>12</v>
      </c>
      <c r="F67" s="316"/>
      <c r="G67" s="6">
        <v>100000000</v>
      </c>
    </row>
    <row r="68" spans="5:7" x14ac:dyDescent="0.35">
      <c r="E68" s="316" t="s">
        <v>20</v>
      </c>
      <c r="F68" s="316"/>
      <c r="G68" s="6">
        <v>4350000000</v>
      </c>
    </row>
    <row r="69" spans="5:7" x14ac:dyDescent="0.35">
      <c r="E69" s="316" t="s">
        <v>8</v>
      </c>
      <c r="F69" s="316"/>
      <c r="G69" s="6">
        <v>553200000</v>
      </c>
    </row>
    <row r="70" spans="5:7" x14ac:dyDescent="0.35">
      <c r="E70" s="319" t="s">
        <v>27</v>
      </c>
      <c r="F70" s="319"/>
      <c r="G70" s="7">
        <f>SUM(G58:G69)</f>
        <v>32529175840</v>
      </c>
    </row>
    <row r="72" spans="5:7" x14ac:dyDescent="0.35">
      <c r="E72" s="12" t="s">
        <v>64</v>
      </c>
    </row>
    <row r="73" spans="5:7" x14ac:dyDescent="0.35">
      <c r="E73" s="312" t="s">
        <v>61</v>
      </c>
      <c r="F73" s="312"/>
      <c r="G73" s="9" t="s">
        <v>57</v>
      </c>
    </row>
    <row r="74" spans="5:7" x14ac:dyDescent="0.35">
      <c r="E74" s="316" t="s">
        <v>7</v>
      </c>
      <c r="F74" s="316"/>
      <c r="G74" s="6">
        <v>1177022750</v>
      </c>
    </row>
    <row r="75" spans="5:7" x14ac:dyDescent="0.35">
      <c r="E75" s="316" t="s">
        <v>4</v>
      </c>
      <c r="F75" s="316"/>
      <c r="G75" s="6">
        <v>5514011410</v>
      </c>
    </row>
    <row r="76" spans="5:7" x14ac:dyDescent="0.35">
      <c r="E76" s="319" t="s">
        <v>27</v>
      </c>
      <c r="F76" s="319"/>
      <c r="G76" s="7">
        <f>SUM(G74:G75)</f>
        <v>6691034160</v>
      </c>
    </row>
    <row r="79" spans="5:7" x14ac:dyDescent="0.35">
      <c r="E79" s="12" t="s">
        <v>65</v>
      </c>
    </row>
    <row r="80" spans="5:7" x14ac:dyDescent="0.35">
      <c r="E80" s="312" t="s">
        <v>61</v>
      </c>
      <c r="F80" s="312"/>
      <c r="G80" s="9" t="s">
        <v>57</v>
      </c>
    </row>
    <row r="81" spans="5:7" x14ac:dyDescent="0.35">
      <c r="E81" s="2" t="s">
        <v>43</v>
      </c>
      <c r="F81" s="2"/>
      <c r="G81" s="6">
        <v>60000000</v>
      </c>
    </row>
    <row r="82" spans="5:7" x14ac:dyDescent="0.35">
      <c r="E82" s="2" t="s">
        <v>42</v>
      </c>
      <c r="F82" s="2"/>
      <c r="G82" s="6">
        <v>100000000</v>
      </c>
    </row>
    <row r="83" spans="5:7" x14ac:dyDescent="0.35">
      <c r="E83" s="2" t="s">
        <v>40</v>
      </c>
      <c r="F83" s="2"/>
      <c r="G83" s="6">
        <v>1103500000</v>
      </c>
    </row>
    <row r="84" spans="5:7" x14ac:dyDescent="0.35">
      <c r="E84" s="2" t="s">
        <v>37</v>
      </c>
      <c r="F84" s="2"/>
      <c r="G84" s="6">
        <v>1015756100</v>
      </c>
    </row>
    <row r="85" spans="5:7" x14ac:dyDescent="0.35">
      <c r="E85" s="2" t="s">
        <v>4</v>
      </c>
      <c r="F85" s="2"/>
      <c r="G85" s="6">
        <v>1020543900</v>
      </c>
    </row>
    <row r="86" spans="5:7" x14ac:dyDescent="0.35">
      <c r="E86" s="319" t="s">
        <v>27</v>
      </c>
      <c r="F86" s="319"/>
      <c r="G86" s="7">
        <f>SUM(G81:G85)</f>
        <v>3299800000</v>
      </c>
    </row>
  </sheetData>
  <mergeCells count="60">
    <mergeCell ref="E80:F80"/>
    <mergeCell ref="E64:F64"/>
    <mergeCell ref="E86:F86"/>
    <mergeCell ref="E66:F66"/>
    <mergeCell ref="E67:F67"/>
    <mergeCell ref="E68:F68"/>
    <mergeCell ref="E69:F69"/>
    <mergeCell ref="E70:F70"/>
    <mergeCell ref="E73:F73"/>
    <mergeCell ref="E74:F74"/>
    <mergeCell ref="E75:F75"/>
    <mergeCell ref="E76:F76"/>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16:F16"/>
    <mergeCell ref="E26:F26"/>
    <mergeCell ref="E23:F23"/>
    <mergeCell ref="E24:F24"/>
    <mergeCell ref="E25:F25"/>
    <mergeCell ref="E17:F17"/>
    <mergeCell ref="C20:G20"/>
    <mergeCell ref="E11:F11"/>
    <mergeCell ref="E12:F12"/>
    <mergeCell ref="E13:F13"/>
    <mergeCell ref="E14:F14"/>
    <mergeCell ref="E15:F15"/>
    <mergeCell ref="E6:F6"/>
    <mergeCell ref="E7:F7"/>
    <mergeCell ref="E8:F8"/>
    <mergeCell ref="E9:F9"/>
    <mergeCell ref="E10:F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a0db5d3-cc18-450f-b024-369bac33d3b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AB57DF123491041833F85DAE8892874" ma:contentTypeVersion="18" ma:contentTypeDescription="Crear nuevo documento." ma:contentTypeScope="" ma:versionID="b27efbf0c3cc5b0574b2fdd97af5fcbd">
  <xsd:schema xmlns:xsd="http://www.w3.org/2001/XMLSchema" xmlns:xs="http://www.w3.org/2001/XMLSchema" xmlns:p="http://schemas.microsoft.com/office/2006/metadata/properties" xmlns:ns3="0935b897-e83e-4004-9f75-4e3807b73bb0" xmlns:ns4="da0db5d3-cc18-450f-b024-369bac33d3b9" targetNamespace="http://schemas.microsoft.com/office/2006/metadata/properties" ma:root="true" ma:fieldsID="e42919f83a11d829466631aa5283d21c" ns3:_="" ns4:_="">
    <xsd:import namespace="0935b897-e83e-4004-9f75-4e3807b73bb0"/>
    <xsd:import namespace="da0db5d3-cc18-450f-b024-369bac33d3b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35b897-e83e-4004-9f75-4e3807b73bb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0db5d3-cc18-450f-b024-369bac33d3b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7BDB74-73D8-47CF-96D0-0A627028CE0E}">
  <ds:schemaRefs>
    <ds:schemaRef ds:uri="http://schemas.microsoft.com/office/2006/metadata/properties"/>
    <ds:schemaRef ds:uri="http://www.w3.org/2000/xmlns/"/>
    <ds:schemaRef ds:uri="da0db5d3-cc18-450f-b024-369bac33d3b9"/>
    <ds:schemaRef ds:uri="http://www.w3.org/2001/XMLSchema-instance"/>
    <ds:schemaRef ds:uri="http://schemas.microsoft.com/office/infopath/2007/PartnerControls"/>
  </ds:schemaRefs>
</ds:datastoreItem>
</file>

<file path=customXml/itemProps2.xml><?xml version="1.0" encoding="utf-8"?>
<ds:datastoreItem xmlns:ds="http://schemas.openxmlformats.org/officeDocument/2006/customXml" ds:itemID="{7E6D45ED-8745-4657-A90C-E88EBF45911C}">
  <ds:schemaRefs>
    <ds:schemaRef ds:uri="http://schemas.microsoft.com/office/2006/metadata/contentType"/>
    <ds:schemaRef ds:uri="http://schemas.microsoft.com/office/2006/metadata/properties/metaAttributes"/>
    <ds:schemaRef ds:uri="http://www.w3.org/2000/xmlns/"/>
    <ds:schemaRef ds:uri="http://www.w3.org/2001/XMLSchema"/>
    <ds:schemaRef ds:uri="0935b897-e83e-4004-9f75-4e3807b73bb0"/>
    <ds:schemaRef ds:uri="da0db5d3-cc18-450f-b024-369bac33d3b9"/>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6C19F8-7026-4C1D-A03A-C78DB94D6F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PAA VR16 -2025 UAECOB BCS</vt:lpstr>
      <vt:lpstr>Hoja1</vt:lpstr>
      <vt:lpstr>Control PAA Vr0</vt:lpstr>
      <vt:lpstr>Distribución Pptal Inv</vt:lpstr>
      <vt:lpstr>TD</vt:lpstr>
      <vt:lpstr>resumen</vt:lpstr>
      <vt:lpstr>'PAA VR16 -2025 UAECOB BCS'!_Hlk177992892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Jose alberto Abril Bernal</cp:lastModifiedBy>
  <cp:lastPrinted>2024-06-25T20:21:52Z</cp:lastPrinted>
  <dcterms:created xsi:type="dcterms:W3CDTF">2023-10-09T19:40:49Z</dcterms:created>
  <dcterms:modified xsi:type="dcterms:W3CDTF">2025-10-22T21:38:49Z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0x0101002AB57DF123491041833F85DAE8892874</vt:lpwstr>
  </property>
</Properties>
</file>